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F8A694F2-1169-4F33-A2AC-645C8A70BDD5}" xr6:coauthVersionLast="47" xr6:coauthVersionMax="47" xr10:uidLastSave="{00000000-0000-0000-0000-000000000000}"/>
  <bookViews>
    <workbookView xWindow="-120" yWindow="-120" windowWidth="29040" windowHeight="17520" tabRatio="820" firstSheet="2" activeTab="76" xr2:uid="{00000000-000D-0000-FFFF-FFFF00000000}"/>
  </bookViews>
  <sheets>
    <sheet name="Информация" sheetId="40" state="hidden" r:id="rId1"/>
    <sheet name="Файл оценки" sheetId="36" state="hidden" r:id="rId2"/>
    <sheet name="ТрЗ_ОП" sheetId="1" r:id="rId3"/>
    <sheet name="Итоговый расчет АСУТП" sheetId="12"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DO АСУТП" sheetId="51"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лужебный АСУТП" sheetId="22" r:id="rId84"/>
    <sheet name="СУБД АСУТП" sheetId="47" r:id="rId85"/>
    <sheet name="ВМ СПО" sheetId="69" r:id="rId86"/>
    <sheet name="ВМ АСО" sheetId="70" state="hidden" r:id="rId87"/>
    <sheet name="ГОССОПКА АСУТП" sheetId="48" state="hidden" r:id="rId88"/>
    <sheet name="TLS АСУТП" sheetId="49" state="hidden" r:id="rId89"/>
    <sheet name="DCAP АСУТП" sheetId="50" state="hidden" r:id="rId90"/>
    <sheet name="NTA АСУТП" sheetId="52" state="hidden" r:id="rId91"/>
    <sheet name="SEG АСУТП" sheetId="53" state="hidden" r:id="rId92"/>
    <sheet name="WAF АСУТП" sheetId="67" state="hidden" r:id="rId93"/>
    <sheet name="APT АСУТП" sheetId="54" state="hidden" r:id="rId94"/>
    <sheet name="NAC АСУТП" sheetId="55" state="hidden" r:id="rId95"/>
    <sheet name="SANDBOX АСУТП" sheetId="56" state="hidden" r:id="rId96"/>
    <sheet name="EDR АСУТП" sheetId="57"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22" hidden="1">'DO АСУТП'!$A$2:$G$67</definedName>
    <definedName name="_xlnm._FilterDatabase" localSheetId="96" hidden="1">'EDR АСУТП'!$A$2:$K$105</definedName>
    <definedName name="_xlnm._FilterDatabase" localSheetId="76" hidden="1">'SIEM АСУТП'!$A$2:$K$66</definedName>
    <definedName name="_xlnm._FilterDatabase" localSheetId="97" hidden="1">'SOAR АСУТП'!$A$2:$O$105</definedName>
    <definedName name="_xlnm._FilterDatabase" localSheetId="11" hidden="1">'АВЗ АСУТП'!$A$2:$G$67</definedName>
    <definedName name="_xlnm._FilterDatabase" localSheetId="85" hidden="1">'ВМ СПО'!$A$2:$S$105</definedName>
    <definedName name="_xlnm._FilterDatabase" localSheetId="84"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2">#REF!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2">#REF!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2">#REF!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2">#REF!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2">#REF!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2">#REF!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2">#REF!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2">#REF!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2">#REF!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2">#REF!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2">#REF!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2">#REF!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2">'Служебный АСУТП'!#REF!</definedName>
    <definedName name="Специалисты" localSheetId="86">'Служебный АСУТП'!#REF!</definedName>
    <definedName name="Специалисты" localSheetId="80">'[6]Служебный АСУТП'!#REF!</definedName>
    <definedName name="Специалисты" localSheetId="85">'Служебный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2">'Служебный АСУТП'!#REF!</definedName>
    <definedName name="Стадии" localSheetId="86">'Служебный АСУТП'!#REF!</definedName>
    <definedName name="Стадии" localSheetId="80">'[6]Служебный АСУТП'!#REF!</definedName>
    <definedName name="Стадии" localSheetId="85">'Служебный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6" i="14" l="1"/>
  <c r="G10" i="14"/>
  <c r="A162" i="51" l="1"/>
  <c r="A159" i="51"/>
  <c r="A156" i="51"/>
  <c r="A153" i="51"/>
  <c r="A150" i="51"/>
  <c r="A147" i="51"/>
  <c r="A144" i="51"/>
  <c r="A141" i="51"/>
  <c r="A138" i="51"/>
  <c r="A135" i="51"/>
  <c r="A132" i="51"/>
  <c r="A129" i="51"/>
  <c r="A126" i="51"/>
  <c r="A123" i="51"/>
  <c r="A120" i="51"/>
  <c r="A117" i="51"/>
  <c r="A114" i="51"/>
  <c r="A111" i="51"/>
  <c r="A108" i="51"/>
  <c r="A105" i="51"/>
  <c r="A102" i="51"/>
  <c r="A99" i="51"/>
  <c r="A96" i="51"/>
  <c r="A93" i="51"/>
  <c r="A90" i="51"/>
  <c r="A87" i="51"/>
  <c r="A84" i="51"/>
  <c r="A81" i="51"/>
  <c r="A78" i="51"/>
  <c r="A75"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B38" i="1"/>
  <c r="A161" i="15" l="1"/>
  <c r="A158" i="15"/>
  <c r="A155" i="15"/>
  <c r="A152" i="15"/>
  <c r="A149" i="15"/>
  <c r="A146" i="15"/>
  <c r="A143" i="15"/>
  <c r="A140" i="15"/>
  <c r="A137" i="15"/>
  <c r="A134" i="15"/>
  <c r="A131" i="15"/>
  <c r="A128" i="15"/>
  <c r="A125" i="15"/>
  <c r="A122" i="15"/>
  <c r="A119" i="15"/>
  <c r="A116" i="15"/>
  <c r="A113" i="15"/>
  <c r="A110" i="15"/>
  <c r="A107" i="15"/>
  <c r="A104" i="15"/>
  <c r="A101" i="15"/>
  <c r="A98" i="15"/>
  <c r="A95" i="15"/>
  <c r="A92" i="15"/>
  <c r="A89" i="15"/>
  <c r="A86" i="15"/>
  <c r="A83" i="15"/>
  <c r="A80" i="15"/>
  <c r="A77" i="15"/>
  <c r="A74" i="15"/>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57" i="51"/>
  <c r="BS90" i="13" s="1"/>
  <c r="G56" i="51"/>
  <c r="BS89" i="13" s="1"/>
  <c r="BS88" i="13"/>
  <c r="G49" i="51"/>
  <c r="BS77" i="13" s="1"/>
  <c r="G48" i="51"/>
  <c r="BS76" i="13" s="1"/>
  <c r="BS75" i="13"/>
  <c r="BS66" i="13"/>
  <c r="G41" i="51"/>
  <c r="BS65" i="13" s="1"/>
  <c r="G40" i="51"/>
  <c r="BS64" i="13" s="1"/>
  <c r="BS63" i="13"/>
  <c r="BS57" i="13"/>
  <c r="BS42" i="13"/>
  <c r="BS34" i="13"/>
  <c r="BS28" i="13"/>
  <c r="BS19" i="13"/>
  <c r="G11" i="51"/>
  <c r="G10" i="51"/>
  <c r="BS16" i="13"/>
  <c r="BS5" i="13"/>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N94" i="13"/>
  <c r="M94" i="13"/>
  <c r="K56" i="15"/>
  <c r="N90" i="13" s="1"/>
  <c r="G56" i="15"/>
  <c r="M90" i="13" s="1"/>
  <c r="K55" i="15"/>
  <c r="N89" i="13" s="1"/>
  <c r="G55" i="15"/>
  <c r="M89" i="13" s="1"/>
  <c r="N88" i="13"/>
  <c r="M88" i="13"/>
  <c r="K48" i="15"/>
  <c r="N77" i="13" s="1"/>
  <c r="G48" i="15"/>
  <c r="M77" i="13" s="1"/>
  <c r="K47" i="15"/>
  <c r="N76" i="13" s="1"/>
  <c r="G47" i="15"/>
  <c r="M76" i="13" s="1"/>
  <c r="N75" i="13"/>
  <c r="M75" i="13"/>
  <c r="N66" i="13"/>
  <c r="M66" i="13"/>
  <c r="K40" i="15"/>
  <c r="N65" i="13" s="1"/>
  <c r="G40" i="15"/>
  <c r="M65" i="13" s="1"/>
  <c r="K39" i="15"/>
  <c r="N64" i="13" s="1"/>
  <c r="G39" i="15"/>
  <c r="M64" i="13" s="1"/>
  <c r="N63" i="13"/>
  <c r="M63" i="13"/>
  <c r="N57" i="13"/>
  <c r="M57" i="13"/>
  <c r="N28" i="13"/>
  <c r="M28" i="13"/>
  <c r="N25" i="13"/>
  <c r="M25" i="13"/>
  <c r="K11" i="15"/>
  <c r="N18" i="13" s="1"/>
  <c r="G11" i="15"/>
  <c r="M18" i="13" s="1"/>
  <c r="K10" i="15"/>
  <c r="N17" i="13" s="1"/>
  <c r="G10" i="15"/>
  <c r="M17" i="13" s="1"/>
  <c r="N16" i="13"/>
  <c r="M16" i="13"/>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K97" i="13"/>
  <c r="J97" i="13"/>
  <c r="I97" i="13"/>
  <c r="G97" i="13"/>
  <c r="F97" i="13"/>
  <c r="E97" i="13"/>
  <c r="L90" i="13"/>
  <c r="K90" i="13"/>
  <c r="J90" i="13"/>
  <c r="I90" i="13"/>
  <c r="H90" i="13"/>
  <c r="G90" i="13"/>
  <c r="F90" i="13"/>
  <c r="G57" i="14"/>
  <c r="E90" i="13" s="1"/>
  <c r="L89" i="13"/>
  <c r="K89" i="13"/>
  <c r="J89" i="13"/>
  <c r="I89" i="13"/>
  <c r="H89" i="13"/>
  <c r="G89" i="13"/>
  <c r="F89" i="13"/>
  <c r="E89" i="13"/>
  <c r="L88" i="13"/>
  <c r="K88" i="13"/>
  <c r="J88" i="13"/>
  <c r="I88" i="13"/>
  <c r="H88" i="13"/>
  <c r="G88" i="13"/>
  <c r="F88" i="13"/>
  <c r="E88" i="13"/>
  <c r="L77" i="13"/>
  <c r="K77" i="13"/>
  <c r="I77" i="13"/>
  <c r="H77" i="13"/>
  <c r="G77" i="13"/>
  <c r="F77" i="13"/>
  <c r="G49" i="14"/>
  <c r="E77" i="13" s="1"/>
  <c r="L76" i="13"/>
  <c r="K76" i="13"/>
  <c r="J76" i="13"/>
  <c r="I76" i="13"/>
  <c r="H76" i="13"/>
  <c r="G76" i="13"/>
  <c r="F76" i="13"/>
  <c r="G48" i="14"/>
  <c r="E76" i="13" s="1"/>
  <c r="L75" i="13"/>
  <c r="K75" i="13"/>
  <c r="J75" i="13"/>
  <c r="I75" i="13"/>
  <c r="G75" i="13"/>
  <c r="F75" i="13"/>
  <c r="E75" i="13"/>
  <c r="L66" i="13"/>
  <c r="K66" i="13"/>
  <c r="J66" i="13"/>
  <c r="I66" i="13"/>
  <c r="H66" i="13"/>
  <c r="G66" i="13"/>
  <c r="F66" i="13"/>
  <c r="E66" i="13"/>
  <c r="L63" i="13"/>
  <c r="K63" i="13"/>
  <c r="J63" i="13"/>
  <c r="I63" i="13"/>
  <c r="H63" i="13"/>
  <c r="G63" i="13"/>
  <c r="F63" i="13"/>
  <c r="E63" i="13"/>
  <c r="L54" i="13"/>
  <c r="K54" i="13"/>
  <c r="J54" i="13"/>
  <c r="I54" i="13"/>
  <c r="H54" i="13"/>
  <c r="G54" i="13"/>
  <c r="F54" i="13"/>
  <c r="E54" i="13"/>
  <c r="L25" i="13"/>
  <c r="J25" i="13"/>
  <c r="I25" i="13"/>
  <c r="H25" i="13"/>
  <c r="G25" i="13"/>
  <c r="F25" i="13"/>
  <c r="E25" i="13"/>
  <c r="L18" i="13"/>
  <c r="K18" i="13"/>
  <c r="J18" i="13"/>
  <c r="I18" i="13"/>
  <c r="H18" i="13"/>
  <c r="G18" i="13"/>
  <c r="F18" i="13"/>
  <c r="G11" i="14"/>
  <c r="E18" i="13" s="1"/>
  <c r="K17" i="13"/>
  <c r="J17" i="13"/>
  <c r="I17" i="13"/>
  <c r="H17" i="13"/>
  <c r="G17" i="13"/>
  <c r="F17" i="13"/>
  <c r="E17" i="13"/>
  <c r="L16" i="13"/>
  <c r="K16" i="13"/>
  <c r="J16" i="13"/>
  <c r="I16" i="13"/>
  <c r="H16" i="13"/>
  <c r="G16" i="13"/>
  <c r="F16" i="13"/>
  <c r="E16" i="13"/>
  <c r="L8" i="13"/>
  <c r="J8" i="13"/>
  <c r="I8" i="13"/>
  <c r="H8" i="13"/>
  <c r="G8" i="13"/>
  <c r="F8" i="13"/>
  <c r="E8" i="13"/>
  <c r="L5" i="13"/>
  <c r="K5" i="13"/>
  <c r="J5" i="13"/>
  <c r="H5" i="13"/>
  <c r="G5" i="13"/>
  <c r="F5" i="13"/>
  <c r="E5" i="13"/>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CT64" i="13"/>
  <c r="CQ64" i="13"/>
  <c r="CP64" i="13"/>
  <c r="CM64" i="13"/>
  <c r="CK64" i="13"/>
  <c r="CJ64" i="13"/>
  <c r="CI64" i="13"/>
  <c r="CF64" i="13"/>
  <c r="CE64" i="13"/>
  <c r="CA64" i="13"/>
  <c r="BZ64" i="13"/>
  <c r="BY64" i="13"/>
  <c r="BW64" i="13"/>
  <c r="BN64" i="13"/>
  <c r="BM64" i="13"/>
  <c r="BL64" i="13"/>
  <c r="BH64" i="13"/>
  <c r="BG64" i="13"/>
  <c r="BF64" i="13"/>
  <c r="BD64" i="13"/>
  <c r="BC64" i="13"/>
  <c r="AZ64" i="13"/>
  <c r="AW64" i="13"/>
  <c r="AQ64" i="13"/>
  <c r="AN64" i="13"/>
  <c r="AM64" i="13"/>
  <c r="AI64" i="13"/>
  <c r="AD64" i="13"/>
  <c r="AC64" i="13"/>
  <c r="CU63" i="13"/>
  <c r="CT63" i="13"/>
  <c r="CS63" i="13"/>
  <c r="CR63" i="13"/>
  <c r="CP63" i="13"/>
  <c r="CF63" i="13"/>
  <c r="CB63" i="13"/>
  <c r="BR63" i="13"/>
  <c r="BP63" i="13"/>
  <c r="BN63" i="13"/>
  <c r="BM63" i="13"/>
  <c r="BK63" i="13"/>
  <c r="BJ63" i="13"/>
  <c r="BE63" i="13"/>
  <c r="AX63" i="13"/>
  <c r="AU63" i="13"/>
  <c r="AP63" i="13"/>
  <c r="AO63" i="13"/>
  <c r="AI63" i="13"/>
  <c r="AH63" i="13"/>
  <c r="AF63" i="13"/>
  <c r="S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EF2" i="12"/>
  <c r="AF2" i="12"/>
  <c r="DA3" i="13"/>
  <c r="CV2" i="12"/>
  <c r="DL2" i="12"/>
  <c r="DM3" i="13"/>
  <c r="BG2" i="12"/>
  <c r="DP2" i="12"/>
  <c r="DN3" i="13"/>
  <c r="DN2" i="12"/>
  <c r="EL2" i="12"/>
  <c r="AM18" i="1"/>
  <c r="Z2" i="12"/>
  <c r="H34" i="1"/>
  <c r="CW3" i="13"/>
  <c r="D11" i="1"/>
  <c r="DD3" i="13"/>
  <c r="BM2" i="12"/>
  <c r="DB2" i="12"/>
  <c r="DF3" i="13"/>
  <c r="H2" i="12"/>
  <c r="CS2" i="12"/>
  <c r="DL3" i="13"/>
  <c r="H12" i="1"/>
  <c r="DV2" i="12"/>
  <c r="EP2" i="12"/>
  <c r="CE2" i="12"/>
  <c r="F39" i="1"/>
  <c r="EB2" i="12"/>
  <c r="DH2" i="12"/>
  <c r="D19" i="1"/>
  <c r="AU2" i="12"/>
  <c r="DK3" i="13"/>
  <c r="F19" i="1"/>
  <c r="CX3" i="13"/>
  <c r="DZ3" i="13"/>
  <c r="CQ2" i="12"/>
  <c r="CY3" i="13"/>
  <c r="F34" i="1"/>
  <c r="BV2" i="12"/>
  <c r="DT3" i="13"/>
  <c r="CX2" i="12"/>
  <c r="D12" i="1"/>
  <c r="EN2" i="12"/>
  <c r="AI2" i="12"/>
  <c r="DW3" i="13"/>
  <c r="DQ3" i="13"/>
  <c r="DR3" i="13"/>
  <c r="ED2" i="12"/>
  <c r="DC3" i="13"/>
  <c r="DV3" i="13"/>
  <c r="CK2" i="12"/>
  <c r="DD2" i="12"/>
  <c r="DH3" i="13"/>
  <c r="DB3" i="13"/>
  <c r="AX2" i="12"/>
  <c r="AC2" i="12"/>
  <c r="F40" i="1"/>
  <c r="DZ2" i="12"/>
  <c r="DY3" i="13"/>
  <c r="BP2" i="12"/>
  <c r="DR2" i="12"/>
  <c r="BA2" i="12"/>
  <c r="DE3" i="13"/>
  <c r="DU3" i="13"/>
  <c r="DS3" i="13"/>
  <c r="CU2" i="12"/>
  <c r="CT2" i="12"/>
  <c r="BY2" i="12"/>
  <c r="DJ2" i="12"/>
  <c r="CB2" i="12"/>
  <c r="CZ3" i="13"/>
  <c r="D14" i="1"/>
  <c r="D40" i="1"/>
  <c r="D34" i="1"/>
  <c r="DJ3" i="13"/>
  <c r="D39" i="1"/>
  <c r="EJ2" i="12"/>
  <c r="H40" i="1"/>
  <c r="AR2" i="12"/>
  <c r="CO2" i="12"/>
  <c r="F12" i="1"/>
  <c r="F14" i="1"/>
  <c r="H39" i="1"/>
  <c r="BS2" i="12"/>
  <c r="N2" i="12"/>
  <c r="Q2" i="12"/>
  <c r="ER2" i="12"/>
  <c r="DP3" i="13"/>
  <c r="H19" i="1"/>
  <c r="ET2" i="12"/>
  <c r="DT2" i="12"/>
  <c r="H14" i="1"/>
  <c r="BD2" i="12"/>
  <c r="CR2" i="12"/>
  <c r="AO2" i="12"/>
  <c r="CH2" i="12"/>
  <c r="DI3" i="13"/>
  <c r="CZ2" i="12"/>
  <c r="EH2" i="12"/>
  <c r="CP2" i="12"/>
  <c r="K2" i="12"/>
  <c r="BJ2" i="12"/>
  <c r="B2" i="12"/>
  <c r="DX3" i="13"/>
  <c r="F11" i="1"/>
  <c r="CN2" i="12"/>
  <c r="DX2" i="12"/>
  <c r="T2" i="12"/>
  <c r="W2" i="12"/>
  <c r="DO3" i="13"/>
  <c r="E2" i="12"/>
  <c r="H11" i="1"/>
  <c r="AH18" i="1"/>
  <c r="AL2" i="12"/>
  <c r="AE26" i="1" l="1"/>
  <c r="AE31" i="1"/>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H3" i="45"/>
  <c r="H102" i="45" s="1"/>
  <c r="V3" i="46"/>
  <c r="V91" i="46" s="1"/>
  <c r="E3" i="49"/>
  <c r="E103" i="49" s="1"/>
  <c r="G103" i="49" s="1"/>
  <c r="BN103" i="13" s="1"/>
  <c r="I3" i="57"/>
  <c r="I3" i="69"/>
  <c r="J3" i="80"/>
  <c r="P3" i="29"/>
  <c r="P101" i="29" s="1"/>
  <c r="S101" i="29" s="1"/>
  <c r="AS101" i="13" s="1"/>
  <c r="E3" i="45"/>
  <c r="E102" i="45" s="1"/>
  <c r="J3" i="47"/>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F4" i="51" s="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E3" i="14"/>
  <c r="D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Q18" i="1"/>
  <c r="AJ18" i="1"/>
  <c r="AF18" i="1"/>
  <c r="AI18" i="1"/>
  <c r="AP18" i="1"/>
  <c r="AN18" i="1"/>
  <c r="AL18" i="1"/>
  <c r="AO18" i="1"/>
  <c r="AK18" i="1"/>
  <c r="AG18" i="1"/>
  <c r="E14" i="14" l="1"/>
  <c r="E29" i="14"/>
  <c r="E37" i="14"/>
  <c r="E22" i="14"/>
  <c r="E38" i="14"/>
  <c r="E39" i="14"/>
  <c r="E23" i="14"/>
  <c r="E15" i="14"/>
  <c r="E24" i="14"/>
  <c r="E59" i="14"/>
  <c r="E58" i="14"/>
  <c r="E25" i="14"/>
  <c r="E60" i="14"/>
  <c r="E61" i="14"/>
  <c r="E18" i="14"/>
  <c r="E19" i="14"/>
  <c r="E28" i="14"/>
  <c r="E36" i="14"/>
  <c r="D12" i="14"/>
  <c r="D55" i="14"/>
  <c r="D20" i="14"/>
  <c r="D53" i="14"/>
  <c r="D64" i="14"/>
  <c r="D32" i="14"/>
  <c r="D31" i="14"/>
  <c r="D42" i="14"/>
  <c r="D21" i="14"/>
  <c r="D30" i="14"/>
  <c r="D54" i="14"/>
  <c r="D65" i="14"/>
  <c r="D13" i="14"/>
  <c r="D33" i="14"/>
  <c r="D43" i="14"/>
  <c r="D34" i="14"/>
  <c r="D50" i="14"/>
  <c r="D26" i="14"/>
  <c r="G26" i="14" s="1"/>
  <c r="D35" i="14"/>
  <c r="D51" i="14"/>
  <c r="D27" i="14"/>
  <c r="D52" i="14"/>
  <c r="F4" i="14"/>
  <c r="G4" i="14" s="1"/>
  <c r="E6" i="13" s="1"/>
  <c r="F6" i="14"/>
  <c r="G6" i="14" s="1"/>
  <c r="E9" i="13" s="1"/>
  <c r="F19" i="14"/>
  <c r="F28" i="14"/>
  <c r="F36" i="14"/>
  <c r="F52" i="14"/>
  <c r="F63" i="14"/>
  <c r="G63" i="14" s="1"/>
  <c r="E99" i="13" s="1"/>
  <c r="F38" i="14"/>
  <c r="F55" i="14"/>
  <c r="F32" i="14"/>
  <c r="F7" i="14"/>
  <c r="G7" i="14" s="1"/>
  <c r="E10" i="13" s="1"/>
  <c r="F64" i="14"/>
  <c r="F30" i="14"/>
  <c r="F66" i="14"/>
  <c r="F22" i="14"/>
  <c r="F67" i="14"/>
  <c r="F5" i="14"/>
  <c r="F20" i="14"/>
  <c r="F29" i="14"/>
  <c r="F37" i="14"/>
  <c r="F53" i="14"/>
  <c r="F9" i="14"/>
  <c r="F65" i="14"/>
  <c r="F31" i="14"/>
  <c r="F8" i="14"/>
  <c r="F21" i="14"/>
  <c r="F54" i="14"/>
  <c r="F39" i="14"/>
  <c r="F58" i="14"/>
  <c r="F18" i="14"/>
  <c r="F14" i="14"/>
  <c r="F15" i="14"/>
  <c r="F24" i="14"/>
  <c r="F33" i="14"/>
  <c r="F43" i="14"/>
  <c r="F59" i="14"/>
  <c r="F51" i="14"/>
  <c r="F16" i="14"/>
  <c r="G16" i="14" s="1"/>
  <c r="E26" i="13" s="1"/>
  <c r="F61" i="14"/>
  <c r="F23" i="14"/>
  <c r="F17" i="14"/>
  <c r="G17" i="14" s="1"/>
  <c r="E27" i="13" s="1"/>
  <c r="F25" i="14"/>
  <c r="F34" i="14"/>
  <c r="F50" i="14"/>
  <c r="F60" i="14"/>
  <c r="F35" i="14"/>
  <c r="F62" i="14"/>
  <c r="G62" i="14" s="1"/>
  <c r="E98" i="13" s="1"/>
  <c r="F42" i="14"/>
  <c r="F57" i="15"/>
  <c r="F31" i="15"/>
  <c r="F14" i="15"/>
  <c r="F28" i="15"/>
  <c r="F7" i="15"/>
  <c r="F27" i="15"/>
  <c r="F5" i="15"/>
  <c r="F23" i="15"/>
  <c r="F54" i="15"/>
  <c r="F30" i="15"/>
  <c r="F9" i="15"/>
  <c r="F51" i="15"/>
  <c r="F6" i="15"/>
  <c r="F50" i="15"/>
  <c r="F49" i="15"/>
  <c r="F53" i="15"/>
  <c r="F29" i="15"/>
  <c r="F8" i="15"/>
  <c r="F52" i="15"/>
  <c r="F24" i="15"/>
  <c r="F4" i="15"/>
  <c r="F35" i="15"/>
  <c r="F33" i="15"/>
  <c r="F65" i="15"/>
  <c r="F63" i="15"/>
  <c r="F18" i="15"/>
  <c r="G18" i="15" s="1"/>
  <c r="M30" i="13" s="1"/>
  <c r="F34" i="15"/>
  <c r="F66" i="15"/>
  <c r="F32" i="15"/>
  <c r="F64" i="15"/>
  <c r="F22" i="15"/>
  <c r="G22" i="15" s="1"/>
  <c r="M36" i="13" s="1"/>
  <c r="F21" i="15"/>
  <c r="G21" i="15" s="1"/>
  <c r="M35" i="13" s="1"/>
  <c r="F62" i="15"/>
  <c r="F20" i="15"/>
  <c r="F61" i="15"/>
  <c r="F60" i="15"/>
  <c r="G60" i="15" s="1"/>
  <c r="M96" i="13" s="1"/>
  <c r="F59" i="15"/>
  <c r="G59" i="15" s="1"/>
  <c r="M95" i="13" s="1"/>
  <c r="M29" i="13"/>
  <c r="F58" i="15"/>
  <c r="F42" i="15"/>
  <c r="F41" i="15"/>
  <c r="F17" i="15"/>
  <c r="G17" i="15" s="1"/>
  <c r="M27" i="13" s="1"/>
  <c r="F15" i="15"/>
  <c r="F16" i="15"/>
  <c r="G16" i="15" s="1"/>
  <c r="M26" i="13" s="1"/>
  <c r="F38" i="15"/>
  <c r="F37" i="15"/>
  <c r="F36" i="15"/>
  <c r="F19" i="15"/>
  <c r="N97" i="59"/>
  <c r="N62" i="59"/>
  <c r="N39" i="59"/>
  <c r="O39" i="59" s="1"/>
  <c r="BC39" i="13" s="1"/>
  <c r="N14" i="59"/>
  <c r="N96" i="59"/>
  <c r="O96" i="59" s="1"/>
  <c r="BC96" i="13" s="1"/>
  <c r="N61" i="59"/>
  <c r="N38" i="59"/>
  <c r="N13" i="59"/>
  <c r="N92" i="59"/>
  <c r="O92" i="59" s="1"/>
  <c r="BC92" i="13" s="1"/>
  <c r="N58" i="59"/>
  <c r="O58" i="59" s="1"/>
  <c r="BC58" i="13" s="1"/>
  <c r="N34" i="59"/>
  <c r="O34" i="59" s="1"/>
  <c r="BC34" i="13" s="1"/>
  <c r="N9" i="59"/>
  <c r="O9" i="59" s="1"/>
  <c r="BC9" i="13" s="1"/>
  <c r="N8" i="59"/>
  <c r="N55" i="59"/>
  <c r="N7" i="59"/>
  <c r="O7" i="59" s="1"/>
  <c r="BC7" i="13" s="1"/>
  <c r="N53" i="59"/>
  <c r="N95" i="59"/>
  <c r="O95" i="59" s="1"/>
  <c r="BC95" i="13" s="1"/>
  <c r="N60" i="59"/>
  <c r="N36" i="59"/>
  <c r="N12" i="59"/>
  <c r="N91" i="59"/>
  <c r="N86" i="59"/>
  <c r="N85" i="59"/>
  <c r="N6" i="59"/>
  <c r="O6" i="59" s="1"/>
  <c r="BC6" i="13" s="1"/>
  <c r="N93" i="59"/>
  <c r="O93" i="59" s="1"/>
  <c r="BC93" i="13" s="1"/>
  <c r="N59" i="59"/>
  <c r="O59" i="59" s="1"/>
  <c r="BC59" i="13" s="1"/>
  <c r="N35" i="59"/>
  <c r="N10" i="59"/>
  <c r="O10" i="59" s="1"/>
  <c r="BC10" i="13" s="1"/>
  <c r="N56" i="59"/>
  <c r="N33" i="59"/>
  <c r="N32" i="59"/>
  <c r="N31" i="59"/>
  <c r="N100" i="59"/>
  <c r="N45" i="59"/>
  <c r="N30" i="59"/>
  <c r="O30" i="59" s="1"/>
  <c r="BC30" i="13" s="1"/>
  <c r="N80" i="59"/>
  <c r="N99" i="59"/>
  <c r="O99" i="59" s="1"/>
  <c r="BC99" i="13" s="1"/>
  <c r="N42" i="59"/>
  <c r="N40" i="59"/>
  <c r="O40" i="59" s="1"/>
  <c r="BC40" i="13" s="1"/>
  <c r="N27" i="59"/>
  <c r="O27" i="59" s="1"/>
  <c r="BC27" i="13" s="1"/>
  <c r="N79" i="59"/>
  <c r="N26" i="59"/>
  <c r="O26" i="59" s="1"/>
  <c r="BC26" i="13" s="1"/>
  <c r="N24" i="59"/>
  <c r="N69" i="59"/>
  <c r="N98" i="59"/>
  <c r="O98" i="59" s="1"/>
  <c r="BC98" i="13" s="1"/>
  <c r="N83" i="59"/>
  <c r="N82" i="59"/>
  <c r="N29" i="59"/>
  <c r="O29" i="59" s="1"/>
  <c r="BC29" i="13" s="1"/>
  <c r="N23" i="59"/>
  <c r="N72" i="59"/>
  <c r="N68" i="59"/>
  <c r="N22" i="59"/>
  <c r="N103" i="59"/>
  <c r="N47" i="59"/>
  <c r="O47" i="59" s="1"/>
  <c r="BC47" i="13" s="1"/>
  <c r="N67" i="59"/>
  <c r="N19" i="59"/>
  <c r="N101" i="59"/>
  <c r="N105" i="59"/>
  <c r="O105" i="59" s="1"/>
  <c r="BC105" i="13" s="1"/>
  <c r="N52" i="59"/>
  <c r="N49" i="59"/>
  <c r="N102" i="59"/>
  <c r="N46" i="59"/>
  <c r="O46" i="59" s="1"/>
  <c r="BC46" i="13" s="1"/>
  <c r="N104" i="59"/>
  <c r="O104" i="59" s="1"/>
  <c r="BC104" i="13" s="1"/>
  <c r="N50" i="59"/>
  <c r="F93" i="59"/>
  <c r="G93" i="59" s="1"/>
  <c r="BA93" i="13" s="1"/>
  <c r="F53" i="59"/>
  <c r="F24" i="59"/>
  <c r="F92" i="59"/>
  <c r="G92" i="59" s="1"/>
  <c r="BA92" i="13" s="1"/>
  <c r="F52" i="59"/>
  <c r="F23" i="59"/>
  <c r="F83" i="59"/>
  <c r="F47" i="59"/>
  <c r="F46" i="59"/>
  <c r="F80" i="59"/>
  <c r="F79" i="59"/>
  <c r="F86" i="59"/>
  <c r="F50" i="59"/>
  <c r="F14" i="59"/>
  <c r="F10" i="59"/>
  <c r="G10" i="59" s="1"/>
  <c r="BA10" i="13" s="1"/>
  <c r="F82" i="59"/>
  <c r="F9" i="59"/>
  <c r="G9" i="59" s="1"/>
  <c r="BA9" i="13" s="1"/>
  <c r="F7" i="59"/>
  <c r="G7" i="59" s="1"/>
  <c r="BA7" i="13" s="1"/>
  <c r="F6" i="59"/>
  <c r="G6" i="59" s="1"/>
  <c r="BA6" i="13" s="1"/>
  <c r="F85" i="59"/>
  <c r="F49" i="59"/>
  <c r="F13" i="59"/>
  <c r="F40" i="59"/>
  <c r="G40" i="59" s="1"/>
  <c r="BA40" i="13" s="1"/>
  <c r="F39" i="59"/>
  <c r="G39" i="59" s="1"/>
  <c r="BA39" i="13" s="1"/>
  <c r="F98" i="59"/>
  <c r="G98" i="59" s="1"/>
  <c r="BA98" i="13" s="1"/>
  <c r="F29" i="59"/>
  <c r="G29" i="59" s="1"/>
  <c r="BA29" i="13" s="1"/>
  <c r="F95" i="59"/>
  <c r="G95" i="59" s="1"/>
  <c r="BA95" i="13" s="1"/>
  <c r="F67" i="59"/>
  <c r="F62" i="59"/>
  <c r="F61" i="59"/>
  <c r="F96" i="59"/>
  <c r="G96" i="59" s="1"/>
  <c r="BA96" i="13" s="1"/>
  <c r="F27" i="59"/>
  <c r="G27" i="59" s="1"/>
  <c r="BA27" i="13" s="1"/>
  <c r="F26" i="59"/>
  <c r="G26" i="59" s="1"/>
  <c r="BA26" i="13" s="1"/>
  <c r="F68" i="59"/>
  <c r="F59" i="59"/>
  <c r="F58" i="59"/>
  <c r="F56" i="59"/>
  <c r="F32" i="59"/>
  <c r="F55" i="59"/>
  <c r="F104" i="59"/>
  <c r="G104" i="59" s="1"/>
  <c r="BA104" i="13" s="1"/>
  <c r="F99" i="59"/>
  <c r="G99" i="59" s="1"/>
  <c r="BA99" i="13" s="1"/>
  <c r="F105" i="59"/>
  <c r="G105" i="59" s="1"/>
  <c r="BA105" i="13" s="1"/>
  <c r="F36" i="59"/>
  <c r="F33" i="59"/>
  <c r="F101" i="59"/>
  <c r="F30" i="59"/>
  <c r="G30" i="59" s="1"/>
  <c r="BA30" i="13" s="1"/>
  <c r="F35" i="59"/>
  <c r="F102" i="59"/>
  <c r="J97" i="59"/>
  <c r="J62" i="59"/>
  <c r="J39" i="59"/>
  <c r="K39" i="59" s="1"/>
  <c r="BB39" i="13" s="1"/>
  <c r="J14" i="59"/>
  <c r="J96" i="59"/>
  <c r="K96" i="59" s="1"/>
  <c r="BB96" i="13" s="1"/>
  <c r="J61" i="59"/>
  <c r="J38" i="59"/>
  <c r="J13" i="59"/>
  <c r="J92" i="59"/>
  <c r="K92" i="59" s="1"/>
  <c r="BB92" i="13" s="1"/>
  <c r="J58" i="59"/>
  <c r="K58" i="59" s="1"/>
  <c r="BB58" i="13" s="1"/>
  <c r="J34" i="59"/>
  <c r="K34" i="59" s="1"/>
  <c r="BB34" i="13" s="1"/>
  <c r="J55" i="59"/>
  <c r="J53" i="59"/>
  <c r="J95" i="59"/>
  <c r="K95" i="59" s="1"/>
  <c r="BB95" i="13" s="1"/>
  <c r="J60" i="59"/>
  <c r="J36" i="59"/>
  <c r="J12" i="59"/>
  <c r="J56" i="59"/>
  <c r="J33" i="59"/>
  <c r="J86" i="59"/>
  <c r="J7" i="59"/>
  <c r="K7" i="59" s="1"/>
  <c r="BB7" i="13" s="1"/>
  <c r="J85" i="59"/>
  <c r="J6" i="59"/>
  <c r="K6" i="59" s="1"/>
  <c r="BB6" i="13" s="1"/>
  <c r="J93" i="59"/>
  <c r="K93" i="59" s="1"/>
  <c r="BB93" i="13" s="1"/>
  <c r="J59" i="59"/>
  <c r="K59" i="59" s="1"/>
  <c r="BB59" i="13" s="1"/>
  <c r="J35" i="59"/>
  <c r="J10" i="59"/>
  <c r="K10" i="59" s="1"/>
  <c r="BB10" i="13" s="1"/>
  <c r="J9" i="59"/>
  <c r="K9" i="59" s="1"/>
  <c r="BB9" i="13" s="1"/>
  <c r="J91" i="59"/>
  <c r="J8" i="59"/>
  <c r="J32" i="59"/>
  <c r="J31" i="59"/>
  <c r="J100" i="59"/>
  <c r="J45" i="59"/>
  <c r="J30" i="59"/>
  <c r="K30" i="59" s="1"/>
  <c r="BB30" i="13" s="1"/>
  <c r="J80" i="59"/>
  <c r="J79" i="59"/>
  <c r="J72" i="59"/>
  <c r="J99" i="59"/>
  <c r="K99" i="59" s="1"/>
  <c r="BB99" i="13" s="1"/>
  <c r="J42" i="59"/>
  <c r="J98" i="59"/>
  <c r="K98" i="59" s="1"/>
  <c r="BB98" i="13" s="1"/>
  <c r="J40" i="59"/>
  <c r="K40" i="59" s="1"/>
  <c r="BB40" i="13" s="1"/>
  <c r="J83" i="59"/>
  <c r="J29" i="59"/>
  <c r="K29" i="59" s="1"/>
  <c r="BB29" i="13" s="1"/>
  <c r="J27" i="59"/>
  <c r="K27" i="59" s="1"/>
  <c r="BB27" i="13" s="1"/>
  <c r="J26" i="59"/>
  <c r="K26" i="59" s="1"/>
  <c r="BB26" i="13" s="1"/>
  <c r="J82" i="59"/>
  <c r="J68" i="59"/>
  <c r="J22" i="59"/>
  <c r="J50" i="59"/>
  <c r="J46" i="59"/>
  <c r="K46" i="59" s="1"/>
  <c r="BB46" i="13" s="1"/>
  <c r="J24" i="59"/>
  <c r="J23" i="59"/>
  <c r="J67" i="59"/>
  <c r="J19" i="59"/>
  <c r="J102" i="59"/>
  <c r="J105" i="59"/>
  <c r="K105" i="59" s="1"/>
  <c r="BB105" i="13" s="1"/>
  <c r="J52" i="59"/>
  <c r="J49" i="59"/>
  <c r="J69" i="59"/>
  <c r="J104" i="59"/>
  <c r="K104" i="59" s="1"/>
  <c r="BB104" i="13" s="1"/>
  <c r="J103" i="59"/>
  <c r="J101" i="59"/>
  <c r="J47" i="59"/>
  <c r="K47" i="59" s="1"/>
  <c r="BB47" i="13" s="1"/>
  <c r="F55" i="51"/>
  <c r="F43" i="51"/>
  <c r="F21" i="51"/>
  <c r="G21" i="51" s="1"/>
  <c r="BS33" i="13" s="1"/>
  <c r="DP33" i="13" s="1"/>
  <c r="F20" i="51"/>
  <c r="G20" i="51" s="1"/>
  <c r="BS32" i="13" s="1"/>
  <c r="DP32" i="13" s="1"/>
  <c r="F65" i="51"/>
  <c r="F19" i="51"/>
  <c r="F64" i="51"/>
  <c r="F29" i="51"/>
  <c r="F17" i="51"/>
  <c r="G17" i="51" s="1"/>
  <c r="BS27" i="13" s="1"/>
  <c r="DP27" i="13" s="1"/>
  <c r="F62" i="51"/>
  <c r="G62" i="51" s="1"/>
  <c r="BS98" i="13" s="1"/>
  <c r="DP98" i="13" s="1"/>
  <c r="F53" i="51"/>
  <c r="F25" i="51"/>
  <c r="F67" i="51"/>
  <c r="G67" i="51" s="1"/>
  <c r="BS105" i="13" s="1"/>
  <c r="DP105" i="13" s="1"/>
  <c r="F54" i="51"/>
  <c r="F42" i="51"/>
  <c r="F31" i="51"/>
  <c r="F14" i="51"/>
  <c r="F51" i="51"/>
  <c r="F34" i="51"/>
  <c r="F9" i="51"/>
  <c r="F28" i="51"/>
  <c r="F8" i="51"/>
  <c r="F66" i="51"/>
  <c r="G66" i="51" s="1"/>
  <c r="BS104" i="13" s="1"/>
  <c r="DP104" i="13" s="1"/>
  <c r="F30" i="51"/>
  <c r="F35" i="51"/>
  <c r="F50" i="51"/>
  <c r="F18" i="51"/>
  <c r="F63" i="51"/>
  <c r="G63" i="51" s="1"/>
  <c r="BS99" i="13" s="1"/>
  <c r="DP99" i="13" s="1"/>
  <c r="F16" i="51"/>
  <c r="G16" i="51" s="1"/>
  <c r="BS26" i="13" s="1"/>
  <c r="DP26" i="13" s="1"/>
  <c r="EA13" i="12" s="1"/>
  <c r="F39" i="51"/>
  <c r="F59" i="51"/>
  <c r="F58" i="51"/>
  <c r="F61" i="51"/>
  <c r="F33" i="51"/>
  <c r="F15" i="51"/>
  <c r="F32" i="51"/>
  <c r="F7" i="51"/>
  <c r="F60" i="51"/>
  <c r="F22" i="51"/>
  <c r="F24" i="51"/>
  <c r="F38" i="51"/>
  <c r="F23" i="51"/>
  <c r="F37" i="51"/>
  <c r="F6" i="51"/>
  <c r="F36" i="51"/>
  <c r="F5" i="51"/>
  <c r="F5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60" i="15"/>
  <c r="K60" i="15" s="1"/>
  <c r="N96" i="13" s="1"/>
  <c r="J37" i="15"/>
  <c r="J8" i="15"/>
  <c r="J57" i="15"/>
  <c r="J35" i="15"/>
  <c r="J6" i="15"/>
  <c r="J20" i="15"/>
  <c r="J54" i="15"/>
  <c r="J5" i="15"/>
  <c r="J59" i="15"/>
  <c r="K59" i="15" s="1"/>
  <c r="N95" i="13" s="1"/>
  <c r="J22" i="15"/>
  <c r="K22" i="15" s="1"/>
  <c r="N36" i="13" s="1"/>
  <c r="N34" i="13"/>
  <c r="J34" i="15"/>
  <c r="J33" i="15"/>
  <c r="J32" i="15"/>
  <c r="J58" i="15"/>
  <c r="J36" i="15"/>
  <c r="J21" i="15"/>
  <c r="K21" i="15" s="1"/>
  <c r="N35" i="13" s="1"/>
  <c r="J7" i="15"/>
  <c r="J19" i="15"/>
  <c r="J53" i="15"/>
  <c r="J4" i="15"/>
  <c r="J31" i="15"/>
  <c r="J63" i="15"/>
  <c r="J27" i="15"/>
  <c r="J61" i="15"/>
  <c r="J64" i="15"/>
  <c r="J30" i="15"/>
  <c r="J9" i="15"/>
  <c r="J29" i="15"/>
  <c r="J28" i="15"/>
  <c r="J62" i="15"/>
  <c r="J50" i="15"/>
  <c r="J18" i="15"/>
  <c r="K18" i="15" s="1"/>
  <c r="N30" i="13" s="1"/>
  <c r="J14" i="15"/>
  <c r="J38" i="15"/>
  <c r="J52" i="15"/>
  <c r="J49" i="15"/>
  <c r="N29" i="13"/>
  <c r="J17" i="15"/>
  <c r="K17" i="15" s="1"/>
  <c r="N27" i="13" s="1"/>
  <c r="J41" i="15"/>
  <c r="J65" i="15"/>
  <c r="J24" i="15"/>
  <c r="J51" i="15"/>
  <c r="J16" i="15"/>
  <c r="K16" i="15" s="1"/>
  <c r="N26" i="13" s="1"/>
  <c r="J42" i="15"/>
  <c r="J66" i="15"/>
  <c r="J15" i="15"/>
  <c r="J23" i="15"/>
  <c r="J97" i="57"/>
  <c r="J62" i="57"/>
  <c r="J39" i="57"/>
  <c r="J14" i="57"/>
  <c r="J96" i="57"/>
  <c r="J61" i="57"/>
  <c r="J38" i="57"/>
  <c r="J13" i="57"/>
  <c r="J92" i="57"/>
  <c r="J58" i="57"/>
  <c r="J34" i="57"/>
  <c r="K34" i="57" s="1"/>
  <c r="CF34" i="13" s="1"/>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K27" i="57" s="1"/>
  <c r="CF27" i="13" s="1"/>
  <c r="J80" i="57"/>
  <c r="J26" i="57"/>
  <c r="K26" i="57" s="1"/>
  <c r="CF26" i="13" s="1"/>
  <c r="J72" i="57"/>
  <c r="J46" i="57"/>
  <c r="J45" i="57"/>
  <c r="E15" i="51"/>
  <c r="E29" i="51"/>
  <c r="E8" i="51"/>
  <c r="E19" i="51"/>
  <c r="E9" i="51"/>
  <c r="E18" i="51"/>
  <c r="E14" i="51"/>
  <c r="E28" i="51"/>
  <c r="E24" i="51"/>
  <c r="E7" i="51"/>
  <c r="E61" i="51"/>
  <c r="E13" i="51"/>
  <c r="E12" i="51"/>
  <c r="E25" i="51"/>
  <c r="E60" i="51"/>
  <c r="E59" i="51"/>
  <c r="E58" i="51"/>
  <c r="E39" i="51"/>
  <c r="E38" i="51"/>
  <c r="E37" i="51"/>
  <c r="E23" i="51"/>
  <c r="E6" i="51"/>
  <c r="E4" i="51"/>
  <c r="E26" i="51"/>
  <c r="E36" i="51"/>
  <c r="E22" i="51"/>
  <c r="E5" i="51"/>
  <c r="E27" i="51"/>
  <c r="D65" i="51"/>
  <c r="D31" i="51"/>
  <c r="D64" i="51"/>
  <c r="D55" i="51"/>
  <c r="D43" i="51"/>
  <c r="D30" i="51"/>
  <c r="D35" i="51"/>
  <c r="D51" i="51"/>
  <c r="D50" i="51"/>
  <c r="D54" i="51"/>
  <c r="D42" i="51"/>
  <c r="D34" i="51"/>
  <c r="D26" i="51"/>
  <c r="D13" i="51"/>
  <c r="D33" i="51"/>
  <c r="D12" i="51"/>
  <c r="D32" i="51"/>
  <c r="D53" i="51"/>
  <c r="D27" i="51"/>
  <c r="D52" i="51"/>
  <c r="D67" i="59"/>
  <c r="D56" i="59"/>
  <c r="D55" i="59"/>
  <c r="D23" i="59"/>
  <c r="D21" i="59"/>
  <c r="D68" i="59"/>
  <c r="D61" i="59"/>
  <c r="D85" i="59"/>
  <c r="D20" i="59"/>
  <c r="D14" i="59"/>
  <c r="D13" i="59"/>
  <c r="D43" i="59"/>
  <c r="D36" i="59"/>
  <c r="D62" i="59"/>
  <c r="D44" i="59"/>
  <c r="D86" i="59"/>
  <c r="D35" i="59"/>
  <c r="D24" i="59"/>
  <c r="L62" i="59"/>
  <c r="L42" i="59"/>
  <c r="L31" i="59"/>
  <c r="L19" i="59"/>
  <c r="L78" i="59"/>
  <c r="O78" i="59" s="1"/>
  <c r="BC78" i="13" s="1"/>
  <c r="L61" i="59"/>
  <c r="L51" i="59"/>
  <c r="O51" i="59" s="1"/>
  <c r="BC51" i="13" s="1"/>
  <c r="L14" i="59"/>
  <c r="L86" i="59"/>
  <c r="L56" i="59"/>
  <c r="L23" i="59"/>
  <c r="L72" i="59"/>
  <c r="L35" i="59"/>
  <c r="L68" i="59"/>
  <c r="L55" i="59"/>
  <c r="L67" i="59"/>
  <c r="L43" i="59"/>
  <c r="L20" i="59"/>
  <c r="L81" i="59"/>
  <c r="O81" i="59" s="1"/>
  <c r="BC81" i="13" s="1"/>
  <c r="L54" i="59"/>
  <c r="O54" i="59" s="1"/>
  <c r="BC54" i="13" s="1"/>
  <c r="L44" i="59"/>
  <c r="L21" i="59"/>
  <c r="L13" i="59"/>
  <c r="L85" i="59"/>
  <c r="L84" i="59"/>
  <c r="O84" i="59" s="1"/>
  <c r="BC84" i="13" s="1"/>
  <c r="L69" i="59"/>
  <c r="L48" i="59"/>
  <c r="O48" i="59" s="1"/>
  <c r="BC48" i="13" s="1"/>
  <c r="L36" i="59"/>
  <c r="L24" i="59"/>
  <c r="M32" i="59"/>
  <c r="M103" i="59"/>
  <c r="M91" i="59"/>
  <c r="M79" i="59"/>
  <c r="M52" i="59"/>
  <c r="M102" i="59"/>
  <c r="M86" i="59"/>
  <c r="M72" i="59"/>
  <c r="M60" i="59"/>
  <c r="M101" i="59"/>
  <c r="M49" i="59"/>
  <c r="M83" i="59"/>
  <c r="M68" i="59"/>
  <c r="M80" i="59"/>
  <c r="M97" i="59"/>
  <c r="M55" i="59"/>
  <c r="M45" i="59"/>
  <c r="M22" i="59"/>
  <c r="M38" i="59" s="1"/>
  <c r="M8" i="59"/>
  <c r="M82" i="59"/>
  <c r="M44" i="59"/>
  <c r="M21" i="59"/>
  <c r="M43" i="59"/>
  <c r="M20" i="59"/>
  <c r="M5" i="59"/>
  <c r="M85" i="59"/>
  <c r="M67" i="59"/>
  <c r="M33" i="59"/>
  <c r="M53" i="59"/>
  <c r="M50" i="59"/>
  <c r="M69" i="59"/>
  <c r="M56" i="59"/>
  <c r="M12" i="59"/>
  <c r="M100" i="59"/>
  <c r="H67" i="59"/>
  <c r="H43" i="59"/>
  <c r="H20" i="59"/>
  <c r="H62" i="59"/>
  <c r="H42" i="59"/>
  <c r="H31" i="59"/>
  <c r="H19" i="59"/>
  <c r="H51" i="59"/>
  <c r="K51" i="59" s="1"/>
  <c r="BB51" i="13" s="1"/>
  <c r="H86" i="59"/>
  <c r="H85" i="59"/>
  <c r="H48" i="59"/>
  <c r="K48" i="59" s="1"/>
  <c r="BB48" i="13" s="1"/>
  <c r="H24" i="59"/>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H72" i="59"/>
  <c r="H13" i="59"/>
  <c r="I43" i="59"/>
  <c r="I20" i="59"/>
  <c r="I80" i="59"/>
  <c r="I53" i="59"/>
  <c r="I32" i="59"/>
  <c r="I5" i="59"/>
  <c r="I103" i="59"/>
  <c r="I91" i="59"/>
  <c r="I79" i="59"/>
  <c r="I52" i="59"/>
  <c r="I100" i="59"/>
  <c r="I69" i="59"/>
  <c r="I12" i="59"/>
  <c r="I72" i="59"/>
  <c r="I56" i="59"/>
  <c r="I102" i="59"/>
  <c r="I60" i="59"/>
  <c r="I44" i="59"/>
  <c r="I83" i="59"/>
  <c r="I68" i="59"/>
  <c r="I55" i="59"/>
  <c r="I45" i="59"/>
  <c r="I22" i="59"/>
  <c r="I38" i="59" s="1"/>
  <c r="I8" i="59"/>
  <c r="I82" i="59"/>
  <c r="I21" i="59"/>
  <c r="I67" i="59"/>
  <c r="I97" i="59"/>
  <c r="I33" i="59"/>
  <c r="I86" i="59"/>
  <c r="I50" i="59"/>
  <c r="I101" i="59"/>
  <c r="I85" i="59"/>
  <c r="I49" i="59"/>
  <c r="N5" i="59"/>
  <c r="E67" i="59"/>
  <c r="E102" i="59"/>
  <c r="E101" i="59"/>
  <c r="E85" i="59"/>
  <c r="E80" i="59"/>
  <c r="E68" i="59"/>
  <c r="E79" i="59"/>
  <c r="E86" i="59"/>
  <c r="E56" i="59"/>
  <c r="E55" i="59"/>
  <c r="E83" i="59"/>
  <c r="E82" i="59"/>
  <c r="E53" i="59"/>
  <c r="E49" i="59"/>
  <c r="E52" i="59"/>
  <c r="E50" i="59"/>
  <c r="E33" i="59"/>
  <c r="E32" i="59"/>
  <c r="E44" i="59"/>
  <c r="E21" i="59"/>
  <c r="E20" i="59"/>
  <c r="E43" i="59"/>
  <c r="J5" i="59"/>
  <c r="D84" i="59"/>
  <c r="G84" i="59" s="1"/>
  <c r="BA84" i="13" s="1"/>
  <c r="D69" i="59"/>
  <c r="D54" i="59"/>
  <c r="G54" i="59" s="1"/>
  <c r="BA54" i="13" s="1"/>
  <c r="D81" i="59"/>
  <c r="G81" i="59" s="1"/>
  <c r="BA81" i="13" s="1"/>
  <c r="D19" i="59"/>
  <c r="D42" i="59"/>
  <c r="D31" i="59"/>
  <c r="D78" i="59"/>
  <c r="G78" i="59" s="1"/>
  <c r="BA78" i="13" s="1"/>
  <c r="D72" i="59"/>
  <c r="D51" i="59"/>
  <c r="G51" i="59" s="1"/>
  <c r="BA51" i="13" s="1"/>
  <c r="D48" i="59"/>
  <c r="G48" i="59" s="1"/>
  <c r="BA48" i="13" s="1"/>
  <c r="E22" i="59"/>
  <c r="E38" i="59" s="1"/>
  <c r="E97" i="59"/>
  <c r="E45" i="59"/>
  <c r="E103" i="59"/>
  <c r="E60" i="59"/>
  <c r="E91" i="59"/>
  <c r="E12" i="59"/>
  <c r="E72" i="59"/>
  <c r="E5" i="59"/>
  <c r="E100" i="59"/>
  <c r="E8" i="59"/>
  <c r="E69" i="59"/>
  <c r="F22" i="59"/>
  <c r="F34" i="59"/>
  <c r="G34" i="59" s="1"/>
  <c r="BA34" i="13" s="1"/>
  <c r="F97" i="59"/>
  <c r="F45" i="59"/>
  <c r="F19" i="59"/>
  <c r="F103" i="59"/>
  <c r="F42" i="59"/>
  <c r="F31" i="59"/>
  <c r="F91" i="59"/>
  <c r="F12" i="59"/>
  <c r="F72" i="59"/>
  <c r="F100" i="59"/>
  <c r="F38" i="59"/>
  <c r="F8" i="59"/>
  <c r="F5" i="59"/>
  <c r="F60" i="59"/>
  <c r="F69" i="59"/>
  <c r="J98" i="13"/>
  <c r="J9" i="13"/>
  <c r="J7" i="13"/>
  <c r="J6" i="13"/>
  <c r="J27" i="13"/>
  <c r="J26" i="13"/>
  <c r="J10" i="13"/>
  <c r="J99" i="13"/>
  <c r="G84" i="13"/>
  <c r="F84" i="13"/>
  <c r="H84" i="13"/>
  <c r="J84" i="13"/>
  <c r="J53" i="13"/>
  <c r="I94" i="13"/>
  <c r="I6" i="13"/>
  <c r="I99" i="13"/>
  <c r="I27" i="13"/>
  <c r="I26" i="13"/>
  <c r="I7" i="13"/>
  <c r="I98" i="13"/>
  <c r="I10" i="13"/>
  <c r="I9" i="13"/>
  <c r="J95" i="13"/>
  <c r="J36" i="13"/>
  <c r="J94" i="13"/>
  <c r="K94" i="13"/>
  <c r="F94" i="13"/>
  <c r="D67" i="57"/>
  <c r="D44" i="57"/>
  <c r="D102" i="57"/>
  <c r="D56" i="57"/>
  <c r="D50" i="57"/>
  <c r="D55" i="57"/>
  <c r="D49" i="57"/>
  <c r="D101" i="57"/>
  <c r="D68" i="57"/>
  <c r="D33" i="57"/>
  <c r="D83" i="57"/>
  <c r="D52" i="57"/>
  <c r="D98" i="57"/>
  <c r="D53" i="57"/>
  <c r="D32" i="57"/>
  <c r="D85" i="57"/>
  <c r="D86" i="57"/>
  <c r="D43" i="57"/>
  <c r="D99" i="57"/>
  <c r="D21" i="57"/>
  <c r="D20" i="57"/>
  <c r="D82" i="57"/>
  <c r="H94" i="13"/>
  <c r="E95" i="57"/>
  <c r="E98" i="57"/>
  <c r="E82" i="57"/>
  <c r="E80" i="57"/>
  <c r="E55" i="57"/>
  <c r="E49" i="57"/>
  <c r="E35" i="57"/>
  <c r="E13" i="57"/>
  <c r="E30" i="57"/>
  <c r="E47" i="57"/>
  <c r="E79" i="57"/>
  <c r="E33" i="57"/>
  <c r="E101" i="57"/>
  <c r="E32" i="57"/>
  <c r="E29" i="57"/>
  <c r="E68" i="57"/>
  <c r="E24" i="57"/>
  <c r="E83" i="57"/>
  <c r="E46" i="57"/>
  <c r="E92" i="57"/>
  <c r="E67" i="57"/>
  <c r="E14" i="57"/>
  <c r="E62" i="57"/>
  <c r="E61" i="57"/>
  <c r="E50" i="57"/>
  <c r="E105" i="57"/>
  <c r="E85" i="57"/>
  <c r="E23" i="57"/>
  <c r="E52" i="57"/>
  <c r="E86" i="57"/>
  <c r="E59" i="57"/>
  <c r="E96" i="57"/>
  <c r="E93" i="57"/>
  <c r="E44" i="57"/>
  <c r="E104" i="57"/>
  <c r="E43" i="57"/>
  <c r="E56" i="57"/>
  <c r="E53" i="57"/>
  <c r="E102" i="57"/>
  <c r="E21" i="57"/>
  <c r="E99" i="57"/>
  <c r="E20" i="57"/>
  <c r="E58" i="57"/>
  <c r="E39" i="57"/>
  <c r="E40" i="57"/>
  <c r="E36" i="57"/>
  <c r="H98" i="13"/>
  <c r="H99" i="13"/>
  <c r="H10" i="13"/>
  <c r="H27" i="13"/>
  <c r="H26" i="13"/>
  <c r="H6" i="13"/>
  <c r="H9" i="13"/>
  <c r="H7" i="13"/>
  <c r="J5" i="57"/>
  <c r="F7" i="13"/>
  <c r="F27" i="13"/>
  <c r="F26" i="13"/>
  <c r="F10" i="13"/>
  <c r="F98" i="13"/>
  <c r="F9" i="13"/>
  <c r="F99" i="13"/>
  <c r="F6" i="13"/>
  <c r="I98" i="57"/>
  <c r="I79" i="57"/>
  <c r="I62" i="57"/>
  <c r="I29" i="57"/>
  <c r="I14" i="57"/>
  <c r="I93" i="57"/>
  <c r="I82" i="57"/>
  <c r="I32" i="57"/>
  <c r="I21" i="57"/>
  <c r="I68" i="57"/>
  <c r="I56" i="57"/>
  <c r="I100" i="57"/>
  <c r="I92" i="57"/>
  <c r="I49" i="57"/>
  <c r="I40" i="57"/>
  <c r="I20" i="57"/>
  <c r="I5" i="57"/>
  <c r="I99" i="57"/>
  <c r="I91" i="57"/>
  <c r="I80" i="57"/>
  <c r="I67" i="57"/>
  <c r="I55" i="57"/>
  <c r="I39" i="57"/>
  <c r="I30" i="57"/>
  <c r="I58" i="57"/>
  <c r="I43" i="57"/>
  <c r="I24" i="57"/>
  <c r="I105" i="57"/>
  <c r="I53" i="57"/>
  <c r="I23" i="57"/>
  <c r="I104" i="57"/>
  <c r="I72" i="57"/>
  <c r="I96" i="57"/>
  <c r="I95" i="57"/>
  <c r="I101" i="57"/>
  <c r="I102" i="57"/>
  <c r="I83" i="57"/>
  <c r="I35" i="57"/>
  <c r="I8" i="57"/>
  <c r="I61" i="57"/>
  <c r="I44" i="57"/>
  <c r="I60" i="57"/>
  <c r="I13" i="57"/>
  <c r="I85" i="57"/>
  <c r="I52" i="57"/>
  <c r="I103" i="57"/>
  <c r="I36" i="57"/>
  <c r="I59" i="57"/>
  <c r="I12" i="57"/>
  <c r="I33" i="57"/>
  <c r="I50" i="57"/>
  <c r="I86" i="57"/>
  <c r="I69" i="57"/>
  <c r="I47" i="57"/>
  <c r="I46" i="57"/>
  <c r="I97" i="57"/>
  <c r="I45" i="57"/>
  <c r="I22" i="57"/>
  <c r="I38" i="57" s="1"/>
  <c r="L6" i="13"/>
  <c r="L27" i="13"/>
  <c r="L26" i="13"/>
  <c r="L99" i="13"/>
  <c r="L10" i="13"/>
  <c r="L98" i="13"/>
  <c r="L9" i="13"/>
  <c r="L7" i="13"/>
  <c r="L84" i="13"/>
  <c r="L86" i="13"/>
  <c r="K26" i="13"/>
  <c r="K99" i="13"/>
  <c r="K98" i="13"/>
  <c r="K10" i="13"/>
  <c r="K9" i="13"/>
  <c r="K7" i="13"/>
  <c r="K27" i="13"/>
  <c r="K6" i="13"/>
  <c r="I34" i="13"/>
  <c r="H34" i="13"/>
  <c r="L34" i="13"/>
  <c r="I84" i="13"/>
  <c r="H28" i="13"/>
  <c r="L28" i="13"/>
  <c r="F28" i="13"/>
  <c r="G28" i="13"/>
  <c r="K28" i="13"/>
  <c r="F60" i="13"/>
  <c r="I28" i="13"/>
  <c r="H86" i="57"/>
  <c r="H101" i="57"/>
  <c r="H50" i="57"/>
  <c r="H42" i="57"/>
  <c r="H82" i="57"/>
  <c r="H32" i="57"/>
  <c r="H21" i="57"/>
  <c r="H81" i="57"/>
  <c r="K81" i="57" s="1"/>
  <c r="CF81" i="13" s="1"/>
  <c r="H68" i="57"/>
  <c r="H56" i="57"/>
  <c r="H49" i="57"/>
  <c r="H31" i="57"/>
  <c r="H20" i="57"/>
  <c r="H48" i="57"/>
  <c r="K48" i="57" s="1"/>
  <c r="CF48" i="13" s="1"/>
  <c r="H67" i="57"/>
  <c r="H55" i="57"/>
  <c r="H19" i="57"/>
  <c r="H79" i="57"/>
  <c r="H78" i="57"/>
  <c r="K78" i="57" s="1"/>
  <c r="CF78" i="13" s="1"/>
  <c r="H54" i="57"/>
  <c r="K54" i="57" s="1"/>
  <c r="CF54" i="13" s="1"/>
  <c r="H43" i="57"/>
  <c r="H53" i="57"/>
  <c r="H102" i="57"/>
  <c r="H83" i="57"/>
  <c r="H85" i="57"/>
  <c r="H52" i="57"/>
  <c r="H44" i="57"/>
  <c r="H80" i="57"/>
  <c r="H84" i="57"/>
  <c r="K84" i="57" s="1"/>
  <c r="CF84" i="13" s="1"/>
  <c r="H51" i="57"/>
  <c r="K51" i="57" s="1"/>
  <c r="CF51" i="13" s="1"/>
  <c r="H99" i="57"/>
  <c r="H33" i="57"/>
  <c r="H98" i="57"/>
  <c r="H72" i="57"/>
  <c r="H69" i="57"/>
  <c r="G94" i="13"/>
  <c r="L94" i="13"/>
  <c r="K81" i="13"/>
  <c r="J51" i="13"/>
  <c r="I78" i="13"/>
  <c r="H48" i="13"/>
  <c r="K100" i="13"/>
  <c r="H81" i="13"/>
  <c r="F78" i="13"/>
  <c r="L48" i="13"/>
  <c r="L57" i="13"/>
  <c r="I81" i="13"/>
  <c r="H51" i="13"/>
  <c r="G78" i="13"/>
  <c r="F48" i="13"/>
  <c r="F57" i="13"/>
  <c r="L100" i="13"/>
  <c r="I51" i="13"/>
  <c r="G48" i="13"/>
  <c r="F100" i="13"/>
  <c r="J81" i="13"/>
  <c r="H100" i="13"/>
  <c r="I100" i="13"/>
  <c r="J57" i="13"/>
  <c r="H78" i="13"/>
  <c r="K57" i="13"/>
  <c r="F51" i="13"/>
  <c r="L78" i="13"/>
  <c r="L81" i="13"/>
  <c r="J78" i="13"/>
  <c r="L51" i="13"/>
  <c r="I48" i="13"/>
  <c r="G57" i="13"/>
  <c r="J48" i="13"/>
  <c r="J100" i="13"/>
  <c r="G81" i="13"/>
  <c r="K51" i="13"/>
  <c r="G100" i="13"/>
  <c r="F81" i="13"/>
  <c r="I57" i="13"/>
  <c r="K78" i="13"/>
  <c r="G51" i="13"/>
  <c r="H57" i="13"/>
  <c r="G99" i="13"/>
  <c r="G10" i="13"/>
  <c r="G98" i="13"/>
  <c r="G27" i="13"/>
  <c r="G26" i="13"/>
  <c r="G9" i="13"/>
  <c r="G7" i="13"/>
  <c r="G6" i="13"/>
  <c r="K84" i="13"/>
  <c r="D72" i="57"/>
  <c r="D48" i="57"/>
  <c r="G48" i="57" s="1"/>
  <c r="CE48" i="13" s="1"/>
  <c r="D31" i="57"/>
  <c r="D78" i="57"/>
  <c r="G78" i="57" s="1"/>
  <c r="CE78" i="13" s="1"/>
  <c r="D80" i="57"/>
  <c r="D42" i="57"/>
  <c r="D84" i="57"/>
  <c r="G84" i="57" s="1"/>
  <c r="CE84" i="13" s="1"/>
  <c r="D69" i="57"/>
  <c r="D54" i="57"/>
  <c r="G54" i="57" s="1"/>
  <c r="CE54" i="13" s="1"/>
  <c r="D19" i="57"/>
  <c r="D81" i="57"/>
  <c r="G81" i="57" s="1"/>
  <c r="CE81" i="13" s="1"/>
  <c r="D51" i="57"/>
  <c r="G51" i="57" s="1"/>
  <c r="CE51" i="13" s="1"/>
  <c r="D79" i="57"/>
  <c r="E100" i="57"/>
  <c r="E8" i="57"/>
  <c r="E45" i="57"/>
  <c r="E60" i="57"/>
  <c r="E12" i="57"/>
  <c r="E69" i="57"/>
  <c r="E97" i="57"/>
  <c r="E22" i="57"/>
  <c r="E38" i="57" s="1"/>
  <c r="E5" i="57"/>
  <c r="E103" i="57"/>
  <c r="E91" i="57"/>
  <c r="E72" i="57"/>
  <c r="F8" i="57"/>
  <c r="F69" i="57"/>
  <c r="F103" i="57"/>
  <c r="F72" i="57"/>
  <c r="F22" i="57"/>
  <c r="F5" i="57"/>
  <c r="F97" i="57"/>
  <c r="F31" i="57"/>
  <c r="F12" i="57"/>
  <c r="F91" i="57"/>
  <c r="F100" i="57"/>
  <c r="F38" i="57"/>
  <c r="F34" i="57"/>
  <c r="G34" i="57" s="1"/>
  <c r="CE34" i="13" s="1"/>
  <c r="F45" i="57"/>
  <c r="F19" i="57"/>
  <c r="F42" i="57"/>
  <c r="F60" i="57"/>
  <c r="D52" i="15"/>
  <c r="D51" i="15"/>
  <c r="D49" i="15"/>
  <c r="D62" i="15"/>
  <c r="D50" i="15"/>
  <c r="D61" i="15"/>
  <c r="D42" i="15"/>
  <c r="D41" i="15"/>
  <c r="D54" i="15"/>
  <c r="D53" i="15"/>
  <c r="D34" i="15"/>
  <c r="D33" i="15"/>
  <c r="D29" i="15"/>
  <c r="D64" i="15"/>
  <c r="D32" i="15"/>
  <c r="D63" i="15"/>
  <c r="D31" i="15"/>
  <c r="D30" i="15"/>
  <c r="E58" i="15"/>
  <c r="E38" i="15"/>
  <c r="E57" i="15"/>
  <c r="E37" i="15"/>
  <c r="E36" i="15"/>
  <c r="E35" i="15"/>
  <c r="I9" i="15"/>
  <c r="I57" i="15"/>
  <c r="I38" i="15"/>
  <c r="I28" i="15"/>
  <c r="I8" i="15"/>
  <c r="I37" i="15"/>
  <c r="I27" i="15"/>
  <c r="I36" i="15"/>
  <c r="I24" i="15"/>
  <c r="I35" i="15"/>
  <c r="I15" i="15"/>
  <c r="I23" i="15"/>
  <c r="I14" i="15"/>
  <c r="I58" i="15"/>
  <c r="H51" i="15"/>
  <c r="H41" i="15"/>
  <c r="H26" i="15"/>
  <c r="H19" i="15"/>
  <c r="H30" i="15"/>
  <c r="H63" i="15"/>
  <c r="H54" i="15"/>
  <c r="N48" i="13"/>
  <c r="H62" i="15"/>
  <c r="H53" i="15"/>
  <c r="N84" i="13"/>
  <c r="H34" i="15"/>
  <c r="H32" i="15"/>
  <c r="H50" i="15"/>
  <c r="H64" i="15"/>
  <c r="H61" i="15"/>
  <c r="N81" i="13"/>
  <c r="H31" i="15"/>
  <c r="N51" i="13"/>
  <c r="H52" i="15"/>
  <c r="H42" i="15"/>
  <c r="H33" i="15"/>
  <c r="H13" i="15"/>
  <c r="K13" i="15" s="1"/>
  <c r="N21" i="13" s="1"/>
  <c r="N54" i="13"/>
  <c r="H20" i="15"/>
  <c r="H12" i="15"/>
  <c r="H25" i="15"/>
  <c r="H49" i="15"/>
  <c r="N78" i="13"/>
  <c r="H29" i="15"/>
  <c r="E28" i="15"/>
  <c r="E27" i="15"/>
  <c r="E15" i="15"/>
  <c r="E8" i="15"/>
  <c r="E24" i="15"/>
  <c r="E14" i="15"/>
  <c r="E23" i="15"/>
  <c r="E9" i="15"/>
  <c r="D13" i="15"/>
  <c r="D19" i="15"/>
  <c r="D12" i="15"/>
  <c r="D25" i="15"/>
  <c r="D20" i="15"/>
  <c r="D26" i="15"/>
  <c r="J65" i="13"/>
  <c r="J64" i="13"/>
  <c r="H65" i="13"/>
  <c r="H64" i="13"/>
  <c r="K64" i="13"/>
  <c r="K65" i="13"/>
  <c r="L65" i="13"/>
  <c r="L64" i="13"/>
  <c r="F65" i="13"/>
  <c r="F64" i="13"/>
  <c r="I64" i="13"/>
  <c r="I65" i="13"/>
  <c r="E94" i="13"/>
  <c r="G41" i="14"/>
  <c r="E65" i="13" s="1"/>
  <c r="G40" i="14"/>
  <c r="E64" i="13" s="1"/>
  <c r="E84" i="13"/>
  <c r="G64" i="13"/>
  <c r="G65" i="13"/>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BS12" i="13"/>
  <c r="DP12"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46" i="51"/>
  <c r="BS73" i="13" s="1"/>
  <c r="DP73" i="13" s="1"/>
  <c r="BS94" i="13"/>
  <c r="DP94" i="13" s="1"/>
  <c r="L58" i="30"/>
  <c r="O58" i="30" s="1"/>
  <c r="AV58"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L69" i="30"/>
  <c r="V73" i="46"/>
  <c r="V74" i="46"/>
  <c r="BS38" i="13"/>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45" i="51"/>
  <c r="BS71" i="13" s="1"/>
  <c r="DP71"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BS45" i="13"/>
  <c r="DP45" i="13" s="1"/>
  <c r="BS103" i="13"/>
  <c r="DP103" i="13" s="1"/>
  <c r="E105" i="52"/>
  <c r="G105" i="52" s="1"/>
  <c r="BT105" i="13" s="1"/>
  <c r="L86" i="18"/>
  <c r="L84" i="18"/>
  <c r="M66" i="18"/>
  <c r="L74" i="30"/>
  <c r="L19" i="30"/>
  <c r="L32" i="19"/>
  <c r="L43" i="30"/>
  <c r="F31" i="55"/>
  <c r="E91" i="53"/>
  <c r="G91" i="53" s="1"/>
  <c r="BX91" i="13" s="1"/>
  <c r="DR91" i="13" s="1"/>
  <c r="H56" i="49"/>
  <c r="K56" i="49" s="1"/>
  <c r="BO56"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BS60" i="13"/>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BS72" i="13"/>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47" i="51"/>
  <c r="BS74" i="13" s="1"/>
  <c r="DP74" i="13" s="1"/>
  <c r="BS69" i="13"/>
  <c r="DP69" i="13" s="1"/>
  <c r="E91" i="52"/>
  <c r="G91" i="52" s="1"/>
  <c r="BT91" i="13" s="1"/>
  <c r="L69" i="18"/>
  <c r="L82" i="18"/>
  <c r="L78" i="18"/>
  <c r="I47" i="30"/>
  <c r="M48" i="21"/>
  <c r="L31" i="30"/>
  <c r="L12" i="30" s="1"/>
  <c r="O12" i="30" s="1"/>
  <c r="AV12" i="13" s="1"/>
  <c r="I62" i="20"/>
  <c r="K62" i="20" s="1"/>
  <c r="AG62" i="13" s="1"/>
  <c r="L55" i="19"/>
  <c r="O55" i="19" s="1"/>
  <c r="AC55" i="13" s="1"/>
  <c r="F105" i="55"/>
  <c r="H69" i="49"/>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BS91" i="13"/>
  <c r="DP91" i="13"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94" i="57"/>
  <c r="CF94" i="13" s="1"/>
  <c r="D55" i="55"/>
  <c r="G55" i="55" s="1"/>
  <c r="CB55" i="13" s="1"/>
  <c r="DT55" i="13" s="1"/>
  <c r="D19" i="55"/>
  <c r="N91" i="16"/>
  <c r="N10" i="16"/>
  <c r="L54" i="54"/>
  <c r="O54" i="54" s="1"/>
  <c r="CA54"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D31" i="55"/>
  <c r="L49" i="54"/>
  <c r="N38" i="16"/>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N52" i="21"/>
  <c r="BD12" i="13"/>
  <c r="BD62" i="13"/>
  <c r="N55" i="21"/>
  <c r="O94" i="59"/>
  <c r="BC94" i="13" s="1"/>
  <c r="BD94" i="13"/>
  <c r="G94" i="59"/>
  <c r="BA94" i="13" s="1"/>
  <c r="BD38" i="13"/>
  <c r="BD61" i="13"/>
  <c r="N48" i="21"/>
  <c r="N54" i="21"/>
  <c r="L72" i="67"/>
  <c r="M92" i="50"/>
  <c r="O92" i="50" s="1"/>
  <c r="BR92" i="13" s="1"/>
  <c r="M94" i="50"/>
  <c r="O94" i="50" s="1"/>
  <c r="BR94" i="13" s="1"/>
  <c r="H6" i="70"/>
  <c r="K6" i="70" s="1"/>
  <c r="CU6" i="13" s="1"/>
  <c r="E79" i="18"/>
  <c r="L56" i="67"/>
  <c r="O56" i="67" s="1"/>
  <c r="CI56" i="13" s="1"/>
  <c r="N50" i="21"/>
  <c r="L50" i="17"/>
  <c r="O50" i="17" s="1"/>
  <c r="U50" i="13" s="1"/>
  <c r="N56" i="21"/>
  <c r="K94" i="59"/>
  <c r="BB94" i="13" s="1"/>
  <c r="BD40" i="13"/>
  <c r="L43" i="67"/>
  <c r="L54" i="67"/>
  <c r="O54" i="67" s="1"/>
  <c r="CI54" i="13" s="1"/>
  <c r="M24" i="50"/>
  <c r="O24" i="50" s="1"/>
  <c r="BR24" i="13" s="1"/>
  <c r="M70" i="50"/>
  <c r="H10" i="70"/>
  <c r="K10" i="70" s="1"/>
  <c r="CU10" i="13" s="1"/>
  <c r="L21" i="67"/>
  <c r="E9" i="55"/>
  <c r="L51" i="17"/>
  <c r="O51" i="17" s="1"/>
  <c r="U51" i="13" s="1"/>
  <c r="N51" i="21"/>
  <c r="BD105" i="13"/>
  <c r="BD60" i="13"/>
  <c r="E100" i="55"/>
  <c r="I39" i="48"/>
  <c r="K39" i="48" s="1"/>
  <c r="BM39" i="13" s="1"/>
  <c r="I102" i="48"/>
  <c r="K102" i="48" s="1"/>
  <c r="BM102" i="13" s="1"/>
  <c r="M71" i="50"/>
  <c r="E100" i="45"/>
  <c r="E92" i="45"/>
  <c r="G92" i="45" s="1"/>
  <c r="AX92" i="13" s="1"/>
  <c r="L48" i="67"/>
  <c r="O48" i="67" s="1"/>
  <c r="CI48" i="13" s="1"/>
  <c r="P31" i="29"/>
  <c r="L53" i="17"/>
  <c r="O53" i="17" s="1"/>
  <c r="U53" i="13" s="1"/>
  <c r="BD103" i="13"/>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BS81" i="13"/>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BS22" i="13"/>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BS48" i="13"/>
  <c r="DP48" i="13" s="1"/>
  <c r="U61" i="46"/>
  <c r="W61" i="46" s="1"/>
  <c r="BI61" i="13" s="1"/>
  <c r="U40" i="46"/>
  <c r="L80" i="50"/>
  <c r="O80" i="50" s="1"/>
  <c r="BR80" i="13" s="1"/>
  <c r="H85" i="52"/>
  <c r="K85" i="52" s="1"/>
  <c r="BU85" i="13" s="1"/>
  <c r="L86" i="50"/>
  <c r="O86" i="50" s="1"/>
  <c r="BR86" i="13" s="1"/>
  <c r="U39" i="46"/>
  <c r="U73" i="46"/>
  <c r="L54" i="50"/>
  <c r="O54" i="50" s="1"/>
  <c r="BR54" i="13" s="1"/>
  <c r="L85" i="50"/>
  <c r="O85" i="50" s="1"/>
  <c r="BR85" i="13" s="1"/>
  <c r="H31" i="52"/>
  <c r="K31" i="52" s="1"/>
  <c r="BU31" i="13" s="1"/>
  <c r="L79" i="50"/>
  <c r="O79" i="50" s="1"/>
  <c r="BR79" i="13" s="1"/>
  <c r="BS78" i="13"/>
  <c r="DP78" i="13" s="1"/>
  <c r="U95" i="46"/>
  <c r="L78" i="50"/>
  <c r="O78" i="50" s="1"/>
  <c r="BR78" i="13" s="1"/>
  <c r="H33" i="52"/>
  <c r="K33" i="52" s="1"/>
  <c r="BU33" i="13" s="1"/>
  <c r="L74" i="50"/>
  <c r="U70" i="46"/>
  <c r="H32" i="52"/>
  <c r="K32" i="52" s="1"/>
  <c r="BU32" i="13" s="1"/>
  <c r="L69" i="50"/>
  <c r="H73" i="52"/>
  <c r="K73" i="52" s="1"/>
  <c r="BU73" i="13" s="1"/>
  <c r="L51" i="50"/>
  <c r="O51" i="50" s="1"/>
  <c r="BR51" i="13" s="1"/>
  <c r="BS97" i="13"/>
  <c r="DP97" i="13" s="1"/>
  <c r="U72" i="46"/>
  <c r="T56" i="46"/>
  <c r="W56" i="46" s="1"/>
  <c r="BI56" i="13" s="1"/>
  <c r="F74" i="30"/>
  <c r="L53" i="50"/>
  <c r="O53" i="50" s="1"/>
  <c r="BR53" i="13" s="1"/>
  <c r="H83" i="52"/>
  <c r="K83" i="52" s="1"/>
  <c r="BU83" i="13" s="1"/>
  <c r="U96" i="46"/>
  <c r="H98" i="45"/>
  <c r="K98" i="45" s="1"/>
  <c r="AY98" i="13" s="1"/>
  <c r="L32" i="50"/>
  <c r="O32" i="50" s="1"/>
  <c r="BR32" i="13" s="1"/>
  <c r="H99" i="52"/>
  <c r="K99" i="52" s="1"/>
  <c r="BU99" i="13" s="1"/>
  <c r="BS51" i="13"/>
  <c r="DP51" i="13" s="1"/>
  <c r="U71" i="46"/>
  <c r="H33" i="45"/>
  <c r="H74" i="52"/>
  <c r="K74" i="52" s="1"/>
  <c r="BU74" i="13" s="1"/>
  <c r="H66" i="52"/>
  <c r="K66" i="52" s="1"/>
  <c r="BU66" i="13" s="1"/>
  <c r="BS54" i="13"/>
  <c r="DP54" i="13" s="1"/>
  <c r="H97" i="45"/>
  <c r="K97" i="45" s="1"/>
  <c r="AY97" i="13" s="1"/>
  <c r="U105" i="46"/>
  <c r="W105" i="46" s="1"/>
  <c r="BI105" i="13" s="1"/>
  <c r="H31" i="45"/>
  <c r="L82" i="50"/>
  <c r="O82" i="50" s="1"/>
  <c r="BR82" i="13" s="1"/>
  <c r="H68" i="52"/>
  <c r="K68" i="52" s="1"/>
  <c r="BU68" i="13" s="1"/>
  <c r="BS84" i="13"/>
  <c r="DP84" i="13" s="1"/>
  <c r="H32" i="45"/>
  <c r="U103" i="46"/>
  <c r="W103" i="46" s="1"/>
  <c r="BI103" i="13" s="1"/>
  <c r="L101" i="50"/>
  <c r="O101" i="50" s="1"/>
  <c r="BR101" i="13" s="1"/>
  <c r="L33" i="50"/>
  <c r="O33" i="50" s="1"/>
  <c r="BR33" i="13" s="1"/>
  <c r="H78" i="52"/>
  <c r="K78" i="52" s="1"/>
  <c r="BU78" i="13" s="1"/>
  <c r="U62" i="46"/>
  <c r="W62" i="46" s="1"/>
  <c r="BI62" i="13" s="1"/>
  <c r="H101" i="52"/>
  <c r="K101" i="52" s="1"/>
  <c r="BU101" i="13" s="1"/>
  <c r="L84" i="50"/>
  <c r="O84" i="50" s="1"/>
  <c r="BR84" i="13" s="1"/>
  <c r="H80" i="52"/>
  <c r="K80" i="52" s="1"/>
  <c r="BU80" i="13" s="1"/>
  <c r="L49" i="50"/>
  <c r="O49" i="50" s="1"/>
  <c r="BR49" i="13" s="1"/>
  <c r="BS31" i="13"/>
  <c r="DP31" i="13" s="1"/>
  <c r="U60" i="46"/>
  <c r="W60" i="46" s="1"/>
  <c r="BI60" i="13" s="1"/>
  <c r="H56" i="52"/>
  <c r="K56" i="52" s="1"/>
  <c r="BU56" i="13" s="1"/>
  <c r="L55" i="50"/>
  <c r="O55" i="50" s="1"/>
  <c r="BR55" i="13" s="1"/>
  <c r="L97" i="50"/>
  <c r="O97" i="50" s="1"/>
  <c r="BR97" i="13" s="1"/>
  <c r="H82" i="52"/>
  <c r="K82" i="52" s="1"/>
  <c r="BU82" i="13" s="1"/>
  <c r="BS100" i="13"/>
  <c r="DP100" i="13" s="1"/>
  <c r="U69" i="46"/>
  <c r="L70" i="50"/>
  <c r="H100" i="45"/>
  <c r="L72" i="50"/>
  <c r="H84" i="52"/>
  <c r="K84" i="52" s="1"/>
  <c r="BU84"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I22" i="17"/>
  <c r="K22" i="17" s="1"/>
  <c r="T22" i="13" s="1"/>
  <c r="M70" i="54"/>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V22" i="19"/>
  <c r="H33" i="48"/>
  <c r="K33" i="48" s="1"/>
  <c r="BM33" i="13" s="1"/>
  <c r="M71" i="54"/>
  <c r="V24" i="19"/>
  <c r="H49" i="48"/>
  <c r="K49" i="48" s="1"/>
  <c r="BM49" i="13" s="1"/>
  <c r="V33" i="19"/>
  <c r="V32" i="19"/>
  <c r="V23" i="19"/>
  <c r="H32" i="48"/>
  <c r="K32" i="48" s="1"/>
  <c r="BM32" i="13" s="1"/>
  <c r="M48" i="54"/>
  <c r="H48" i="48"/>
  <c r="K48" i="48" s="1"/>
  <c r="BM48" i="13" s="1"/>
  <c r="H52" i="48"/>
  <c r="K52" i="48" s="1"/>
  <c r="BM52"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44"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H32" i="54"/>
  <c r="K32" i="54" s="1"/>
  <c r="BZ32" i="13" s="1"/>
  <c r="F6" i="67"/>
  <c r="F44" i="67"/>
  <c r="F33" i="67"/>
  <c r="D44" i="67"/>
  <c r="F101" i="67"/>
  <c r="F9" i="67"/>
  <c r="F73" i="67"/>
  <c r="F42" i="67"/>
  <c r="M40" i="52"/>
  <c r="O40" i="52" s="1"/>
  <c r="BV40" i="13" s="1"/>
  <c r="G28" i="57"/>
  <c r="CE28" i="13" s="1"/>
  <c r="M52" i="52"/>
  <c r="F45" i="67"/>
  <c r="F100" i="67"/>
  <c r="F31" i="67"/>
  <c r="F72" i="67"/>
  <c r="F5" i="67"/>
  <c r="F74" i="67"/>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H86" i="54"/>
  <c r="K86" i="54" s="1"/>
  <c r="BZ86"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I73" i="49"/>
  <c r="BD56" i="13"/>
  <c r="H101" i="50"/>
  <c r="K101" i="50" s="1"/>
  <c r="BQ101" i="13" s="1"/>
  <c r="H82" i="50"/>
  <c r="K82" i="50" s="1"/>
  <c r="BQ82"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P82" i="30"/>
  <c r="P57" i="30"/>
  <c r="S57" i="30" s="1"/>
  <c r="AW57" i="13" s="1"/>
  <c r="BD31" i="13"/>
  <c r="P31" i="30"/>
  <c r="P12" i="30" s="1"/>
  <c r="P85" i="30"/>
  <c r="S85" i="30" s="1"/>
  <c r="AW85" i="13" s="1"/>
  <c r="T31" i="46"/>
  <c r="W31" i="46" s="1"/>
  <c r="BI31" i="13" s="1"/>
  <c r="D79" i="46"/>
  <c r="G79" i="46" s="1"/>
  <c r="BE79" i="13" s="1"/>
  <c r="BD55" i="13"/>
  <c r="P21" i="30"/>
  <c r="P78" i="30"/>
  <c r="S78" i="30" s="1"/>
  <c r="AW78" i="13" s="1"/>
  <c r="P31" i="46"/>
  <c r="S31" i="46" s="1"/>
  <c r="BH31" i="13" s="1"/>
  <c r="BD53" i="13"/>
  <c r="D102" i="46"/>
  <c r="G102" i="46" s="1"/>
  <c r="BE102" i="13" s="1"/>
  <c r="P42" i="30"/>
  <c r="P80" i="30"/>
  <c r="S80" i="30" s="1"/>
  <c r="AW80" i="13" s="1"/>
  <c r="L32" i="46"/>
  <c r="O32" i="46" s="1"/>
  <c r="BG32" i="13" s="1"/>
  <c r="BD49" i="13"/>
  <c r="BD54" i="13"/>
  <c r="T33" i="46"/>
  <c r="W33" i="46" s="1"/>
  <c r="BI33" i="13" s="1"/>
  <c r="P19" i="30"/>
  <c r="D99" i="46"/>
  <c r="G99" i="46" s="1"/>
  <c r="BE99" i="13" s="1"/>
  <c r="BD52" i="13"/>
  <c r="H32" i="46"/>
  <c r="K32" i="46" s="1"/>
  <c r="BF32" i="13" s="1"/>
  <c r="P48" i="30"/>
  <c r="D101" i="46"/>
  <c r="G101" i="46" s="1"/>
  <c r="BE101" i="13" s="1"/>
  <c r="D78" i="46"/>
  <c r="G78" i="46" s="1"/>
  <c r="BE78" i="13" s="1"/>
  <c r="J92" i="46"/>
  <c r="BD32" i="13"/>
  <c r="BD50" i="13"/>
  <c r="P43" i="30"/>
  <c r="P70" i="30"/>
  <c r="L31" i="46"/>
  <c r="O31" i="46" s="1"/>
  <c r="BG31" i="13" s="1"/>
  <c r="D31" i="46"/>
  <c r="G31" i="46" s="1"/>
  <c r="BE31" i="13" s="1"/>
  <c r="D83" i="46"/>
  <c r="G83" i="46" s="1"/>
  <c r="BE83" i="13" s="1"/>
  <c r="BD48" i="13"/>
  <c r="P53" i="30"/>
  <c r="P73" i="30"/>
  <c r="J69" i="46"/>
  <c r="J38" i="46"/>
  <c r="D82" i="46"/>
  <c r="G82" i="46" s="1"/>
  <c r="BE82" i="13" s="1"/>
  <c r="P58" i="30"/>
  <c r="S58" i="30" s="1"/>
  <c r="AW58" i="13" s="1"/>
  <c r="P51" i="30"/>
  <c r="P50" i="30"/>
  <c r="P20" i="30"/>
  <c r="D100" i="46"/>
  <c r="G100" i="46" s="1"/>
  <c r="BE100" i="13" s="1"/>
  <c r="P32" i="46"/>
  <c r="S32" i="46" s="1"/>
  <c r="BH32" i="13" s="1"/>
  <c r="BD101" i="13"/>
  <c r="P69" i="30"/>
  <c r="P83" i="30"/>
  <c r="P59" i="30"/>
  <c r="S59" i="30" s="1"/>
  <c r="AW59" i="13" s="1"/>
  <c r="D85" i="46"/>
  <c r="G85" i="46" s="1"/>
  <c r="BE85" i="13" s="1"/>
  <c r="BD99" i="13"/>
  <c r="BD102" i="13"/>
  <c r="P79" i="30"/>
  <c r="S79" i="30" s="1"/>
  <c r="AW79" i="13" s="1"/>
  <c r="P71" i="30"/>
  <c r="D86" i="46"/>
  <c r="G86" i="46" s="1"/>
  <c r="BE86" i="13" s="1"/>
  <c r="D54" i="46"/>
  <c r="G54" i="46" s="1"/>
  <c r="BE54" i="13" s="1"/>
  <c r="BD97" i="13"/>
  <c r="BD100" i="13"/>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P65" i="18"/>
  <c r="M51" i="13"/>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Q100" i="18"/>
  <c r="S100" i="18" s="1"/>
  <c r="Y100" i="13" s="1"/>
  <c r="Q102" i="18"/>
  <c r="S102" i="18" s="1"/>
  <c r="Y102" i="13" s="1"/>
  <c r="U81" i="18"/>
  <c r="M48" i="13"/>
  <c r="U50" i="18"/>
  <c r="U65" i="18"/>
  <c r="M96" i="19"/>
  <c r="O96" i="19" s="1"/>
  <c r="AC96" i="13" s="1"/>
  <c r="M84" i="13"/>
  <c r="J39" i="19"/>
  <c r="H49" i="21"/>
  <c r="P71" i="18"/>
  <c r="U31" i="18"/>
  <c r="U85" i="18"/>
  <c r="M62" i="19"/>
  <c r="O62" i="19" s="1"/>
  <c r="AC62" i="13" s="1"/>
  <c r="N33" i="19"/>
  <c r="M78" i="13"/>
  <c r="J22" i="19"/>
  <c r="U62" i="18"/>
  <c r="N31" i="19"/>
  <c r="J31" i="19"/>
  <c r="J23" i="19"/>
  <c r="N22" i="19"/>
  <c r="J12" i="19"/>
  <c r="J13" i="19"/>
  <c r="P56" i="18"/>
  <c r="D67" i="21"/>
  <c r="U80" i="18"/>
  <c r="D67" i="18"/>
  <c r="Q98" i="18"/>
  <c r="U38" i="18"/>
  <c r="D51" i="18"/>
  <c r="J24" i="19"/>
  <c r="P79" i="18"/>
  <c r="Q97" i="18"/>
  <c r="U7" i="18"/>
  <c r="W7" i="18" s="1"/>
  <c r="Z7" i="13" s="1"/>
  <c r="U55" i="18"/>
  <c r="T33" i="18"/>
  <c r="Q101" i="18"/>
  <c r="S101" i="18" s="1"/>
  <c r="Y101" i="13" s="1"/>
  <c r="Q96" i="18"/>
  <c r="U27" i="18"/>
  <c r="W27" i="18" s="1"/>
  <c r="Z27" i="13" s="1"/>
  <c r="U52" i="18"/>
  <c r="U102" i="18"/>
  <c r="W102" i="18" s="1"/>
  <c r="Z102" i="13" s="1"/>
  <c r="P69" i="18"/>
  <c r="P63" i="18"/>
  <c r="U32" i="18"/>
  <c r="U39" i="18"/>
  <c r="T61" i="18"/>
  <c r="Q92" i="18"/>
  <c r="P83" i="18"/>
  <c r="U54" i="18"/>
  <c r="E98" i="18"/>
  <c r="G98" i="18" s="1"/>
  <c r="V98" i="13" s="1"/>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M31" i="18"/>
  <c r="M27" i="18"/>
  <c r="O27" i="18" s="1"/>
  <c r="X27" i="13" s="1"/>
  <c r="U23" i="19"/>
  <c r="U13" i="19" s="1"/>
  <c r="M94" i="19"/>
  <c r="O94" i="19" s="1"/>
  <c r="AC94" i="13" s="1"/>
  <c r="P56" i="19"/>
  <c r="S56" i="19" s="1"/>
  <c r="AD56" i="13" s="1"/>
  <c r="P31" i="18"/>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E46" i="17"/>
  <c r="G46" i="17" s="1"/>
  <c r="S46" i="13" s="1"/>
  <c r="L82" i="16"/>
  <c r="M23" i="16"/>
  <c r="E61" i="17"/>
  <c r="G61" i="17" s="1"/>
  <c r="S61" i="13" s="1"/>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M54" i="13"/>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J38" i="16"/>
  <c r="F34" i="16"/>
  <c r="F38" i="16"/>
  <c r="F93" i="16"/>
  <c r="J95" i="16"/>
  <c r="E9" i="16"/>
  <c r="E68" i="16"/>
  <c r="E13" i="16"/>
  <c r="F92" i="16"/>
  <c r="F7" i="16"/>
  <c r="F61" i="16"/>
  <c r="E83" i="16"/>
  <c r="E60" i="16"/>
  <c r="F62" i="16"/>
  <c r="J46" i="16"/>
  <c r="J99" i="16"/>
  <c r="E39" i="16"/>
  <c r="E56" i="16"/>
  <c r="F99" i="16"/>
  <c r="M14" i="16"/>
  <c r="M32" i="16"/>
  <c r="M13" i="16"/>
  <c r="M67" i="16"/>
  <c r="M48" i="16"/>
  <c r="M83" i="16"/>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M81" i="13"/>
  <c r="M34" i="13"/>
  <c r="M22" i="16"/>
  <c r="E103" i="13"/>
  <c r="E34" i="13"/>
  <c r="G34" i="13"/>
  <c r="H101" i="80"/>
  <c r="K101" i="80" s="1"/>
  <c r="AL101" i="13" s="1"/>
  <c r="H86" i="80"/>
  <c r="K86" i="80" s="1"/>
  <c r="AL86" i="13" s="1"/>
  <c r="D83" i="80"/>
  <c r="D48" i="80"/>
  <c r="H80" i="80"/>
  <c r="H78" i="80"/>
  <c r="E28" i="13"/>
  <c r="H51" i="80"/>
  <c r="H32" i="80"/>
  <c r="H102" i="80"/>
  <c r="K102" i="80" s="1"/>
  <c r="AL102" i="13" s="1"/>
  <c r="D99" i="80"/>
  <c r="D81" i="80"/>
  <c r="H83" i="80"/>
  <c r="D54" i="80"/>
  <c r="G54" i="80" s="1"/>
  <c r="AK54" i="13" s="1"/>
  <c r="H48" i="80"/>
  <c r="H98" i="80"/>
  <c r="H52" i="80"/>
  <c r="F34" i="13"/>
  <c r="J34" i="13"/>
  <c r="E13" i="80"/>
  <c r="K34" i="13"/>
  <c r="I7" i="80"/>
  <c r="I95" i="80"/>
  <c r="E28" i="80"/>
  <c r="G28" i="80" s="1"/>
  <c r="AK28" i="13" s="1"/>
  <c r="J28" i="13"/>
  <c r="H79" i="80"/>
  <c r="D82" i="80"/>
  <c r="E30" i="80"/>
  <c r="G30" i="80" s="1"/>
  <c r="AK30" i="13" s="1"/>
  <c r="E45" i="80"/>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L71" i="13"/>
  <c r="I47" i="80"/>
  <c r="I12" i="80"/>
  <c r="E29" i="80"/>
  <c r="G29" i="80" s="1"/>
  <c r="AK29" i="13" s="1"/>
  <c r="D50" i="80"/>
  <c r="I14" i="80"/>
  <c r="I45" i="80"/>
  <c r="E5" i="80"/>
  <c r="I22" i="80"/>
  <c r="I60" i="80"/>
  <c r="E57" i="13"/>
  <c r="E51" i="13"/>
  <c r="E48" i="13"/>
  <c r="E100" i="13"/>
  <c r="E81" i="13"/>
  <c r="E78" i="13"/>
  <c r="I39" i="80"/>
  <c r="I24" i="80"/>
  <c r="I62" i="80"/>
  <c r="E8" i="80"/>
  <c r="K48" i="13"/>
  <c r="E47" i="80"/>
  <c r="E93" i="80"/>
  <c r="E61" i="80"/>
  <c r="E92" i="80"/>
  <c r="I28" i="80"/>
  <c r="K28" i="80" s="1"/>
  <c r="AL28" i="13" s="1"/>
  <c r="I8" i="80"/>
  <c r="H82" i="80"/>
  <c r="I92" i="80"/>
  <c r="E94" i="80"/>
  <c r="I6" i="80"/>
  <c r="E40" i="80"/>
  <c r="I9" i="80"/>
  <c r="I94" i="80"/>
  <c r="E96" i="80"/>
  <c r="H19" i="13"/>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O60" i="59" l="1"/>
  <c r="BC60" i="13" s="1"/>
  <c r="K33" i="15"/>
  <c r="N55" i="13" s="1"/>
  <c r="G52" i="51"/>
  <c r="BS82" i="13" s="1"/>
  <c r="DP82" i="13" s="1"/>
  <c r="G51" i="51"/>
  <c r="BS80" i="13" s="1"/>
  <c r="DP80" i="13" s="1"/>
  <c r="K36" i="57"/>
  <c r="CF36" i="13" s="1"/>
  <c r="K62" i="59"/>
  <c r="BB62" i="13" s="1"/>
  <c r="O100" i="59"/>
  <c r="BC100" i="13" s="1"/>
  <c r="O62" i="59"/>
  <c r="BC62" i="13" s="1"/>
  <c r="G53" i="59"/>
  <c r="BA53" i="13" s="1"/>
  <c r="K50" i="59"/>
  <c r="BB50" i="13" s="1"/>
  <c r="K56" i="59"/>
  <c r="BB56" i="13" s="1"/>
  <c r="K24" i="59"/>
  <c r="BB24" i="13" s="1"/>
  <c r="O80" i="59"/>
  <c r="BC80" i="13" s="1"/>
  <c r="G32" i="51"/>
  <c r="BS52" i="13" s="1"/>
  <c r="DP52" i="13" s="1"/>
  <c r="K33" i="59"/>
  <c r="BB33" i="13" s="1"/>
  <c r="G33" i="51"/>
  <c r="BS53" i="13" s="1"/>
  <c r="DP53" i="13" s="1"/>
  <c r="K60" i="59"/>
  <c r="BB60" i="13" s="1"/>
  <c r="G25" i="51"/>
  <c r="BS40" i="13" s="1"/>
  <c r="DP40" i="13" s="1"/>
  <c r="G30" i="57"/>
  <c r="CE30" i="13" s="1"/>
  <c r="G36" i="59"/>
  <c r="BA36" i="13" s="1"/>
  <c r="G34" i="51"/>
  <c r="BS55" i="13" s="1"/>
  <c r="DP55" i="13" s="1"/>
  <c r="G15" i="51"/>
  <c r="BS24" i="13" s="1"/>
  <c r="DP24" i="13" s="1"/>
  <c r="G56" i="59"/>
  <c r="BA56" i="13" s="1"/>
  <c r="O61" i="59"/>
  <c r="BC61" i="13" s="1"/>
  <c r="K61" i="59"/>
  <c r="BB61" i="13" s="1"/>
  <c r="K13" i="59"/>
  <c r="BB13" i="13" s="1"/>
  <c r="K55" i="59"/>
  <c r="BB55" i="13" s="1"/>
  <c r="G55" i="59"/>
  <c r="BA55" i="13" s="1"/>
  <c r="O52" i="59"/>
  <c r="BC52" i="13" s="1"/>
  <c r="G50" i="51"/>
  <c r="BS79" i="13" s="1"/>
  <c r="DP79" i="13" s="1"/>
  <c r="O13" i="59"/>
  <c r="BC13" i="13" s="1"/>
  <c r="G38" i="51"/>
  <c r="BS61" i="13" s="1"/>
  <c r="DP61" i="13" s="1"/>
  <c r="EA26" i="12" s="1"/>
  <c r="G35" i="51"/>
  <c r="BS56" i="13" s="1"/>
  <c r="DP56" i="13" s="1"/>
  <c r="G14" i="51"/>
  <c r="BS23" i="13" s="1"/>
  <c r="DP23" i="13" s="1"/>
  <c r="EA12" i="12" s="1"/>
  <c r="K100" i="59"/>
  <c r="BB100" i="13" s="1"/>
  <c r="G29" i="15"/>
  <c r="M49" i="13" s="1"/>
  <c r="K34" i="15"/>
  <c r="N56" i="13" s="1"/>
  <c r="K60" i="57"/>
  <c r="CF60" i="13" s="1"/>
  <c r="O97" i="59"/>
  <c r="BC97" i="13" s="1"/>
  <c r="K97" i="57"/>
  <c r="CF97" i="13" s="1"/>
  <c r="G61" i="51"/>
  <c r="BS96" i="13" s="1"/>
  <c r="DP96" i="13" s="1"/>
  <c r="K97" i="59"/>
  <c r="BB97" i="13" s="1"/>
  <c r="G30" i="51"/>
  <c r="BS49" i="13" s="1"/>
  <c r="DP49" i="13" s="1"/>
  <c r="H79" i="13"/>
  <c r="G29" i="51"/>
  <c r="BS47" i="13" s="1"/>
  <c r="DP47" i="13" s="1"/>
  <c r="O101" i="59"/>
  <c r="BC101" i="13" s="1"/>
  <c r="G9" i="51"/>
  <c r="BS14" i="13" s="1"/>
  <c r="DP14" i="13" s="1"/>
  <c r="O38" i="59"/>
  <c r="BC38" i="13" s="1"/>
  <c r="G62" i="57"/>
  <c r="CE62" i="13" s="1"/>
  <c r="G49" i="15"/>
  <c r="M79" i="13" s="1"/>
  <c r="I52" i="13"/>
  <c r="J80" i="13"/>
  <c r="I29" i="13"/>
  <c r="G96" i="57"/>
  <c r="CE96" i="13" s="1"/>
  <c r="K96" i="57"/>
  <c r="CF96" i="13" s="1"/>
  <c r="H102" i="13"/>
  <c r="O91" i="59"/>
  <c r="BC91" i="13" s="1"/>
  <c r="L35" i="13"/>
  <c r="K100" i="57"/>
  <c r="CF100" i="13" s="1"/>
  <c r="I86" i="13"/>
  <c r="O32" i="59"/>
  <c r="BC32" i="13" s="1"/>
  <c r="G55" i="51"/>
  <c r="BS86" i="13" s="1"/>
  <c r="DP86" i="13" s="1"/>
  <c r="G31" i="15"/>
  <c r="M52" i="13" s="1"/>
  <c r="G52" i="15"/>
  <c r="M83" i="13" s="1"/>
  <c r="K53" i="13"/>
  <c r="G43" i="51"/>
  <c r="BS68" i="13" s="1"/>
  <c r="DP68" i="13" s="1"/>
  <c r="O45" i="59"/>
  <c r="BC45" i="13" s="1"/>
  <c r="K49" i="15"/>
  <c r="N79" i="13" s="1"/>
  <c r="I80" i="13"/>
  <c r="G24" i="59"/>
  <c r="BA24" i="13" s="1"/>
  <c r="G24" i="15"/>
  <c r="M40" i="13" s="1"/>
  <c r="G60" i="51"/>
  <c r="BS95" i="13" s="1"/>
  <c r="DP95" i="13" s="1"/>
  <c r="EA38" i="12" s="1"/>
  <c r="G8" i="51"/>
  <c r="BS13" i="13" s="1"/>
  <c r="DP13" i="13" s="1"/>
  <c r="EA8" i="12" s="1"/>
  <c r="G23" i="59"/>
  <c r="BA23" i="13" s="1"/>
  <c r="O22" i="59"/>
  <c r="BC22" i="13" s="1"/>
  <c r="G79" i="13"/>
  <c r="K22" i="59"/>
  <c r="BB22" i="13" s="1"/>
  <c r="O103" i="59"/>
  <c r="BC103" i="13" s="1"/>
  <c r="G23" i="14"/>
  <c r="E36" i="13" s="1"/>
  <c r="G102" i="13"/>
  <c r="K38" i="59"/>
  <c r="BB38" i="13" s="1"/>
  <c r="K79" i="57"/>
  <c r="CF79" i="13" s="1"/>
  <c r="G95" i="57"/>
  <c r="CE95" i="13" s="1"/>
  <c r="H82" i="13"/>
  <c r="J50" i="13"/>
  <c r="K80" i="13"/>
  <c r="K98" i="57"/>
  <c r="CF98" i="13" s="1"/>
  <c r="I82" i="13"/>
  <c r="H29" i="13"/>
  <c r="G50" i="57"/>
  <c r="CE50" i="13" s="1"/>
  <c r="J83" i="13"/>
  <c r="G31" i="14"/>
  <c r="E50" i="13" s="1"/>
  <c r="G83" i="13"/>
  <c r="F79" i="13"/>
  <c r="G32" i="59"/>
  <c r="BA32" i="13" s="1"/>
  <c r="K59" i="57"/>
  <c r="CF59" i="13" s="1"/>
  <c r="K29" i="15"/>
  <c r="N49" i="13" s="1"/>
  <c r="L52" i="13"/>
  <c r="J52" i="13"/>
  <c r="H50" i="13"/>
  <c r="I95" i="13"/>
  <c r="O86" i="18"/>
  <c r="X86" i="13" s="1"/>
  <c r="K32" i="15"/>
  <c r="N53" i="13" s="1"/>
  <c r="K79" i="13"/>
  <c r="G36" i="14"/>
  <c r="E58" i="13" s="1"/>
  <c r="G49" i="59"/>
  <c r="BA49" i="13" s="1"/>
  <c r="K49" i="59"/>
  <c r="BB49" i="13" s="1"/>
  <c r="O49" i="59"/>
  <c r="BC49" i="13" s="1"/>
  <c r="I58" i="13"/>
  <c r="O24" i="59"/>
  <c r="BC24" i="13" s="1"/>
  <c r="K99" i="57"/>
  <c r="CF99" i="13" s="1"/>
  <c r="K32" i="59"/>
  <c r="BB32" i="13" s="1"/>
  <c r="I59" i="13"/>
  <c r="G54" i="15"/>
  <c r="M86" i="13" s="1"/>
  <c r="G82" i="13"/>
  <c r="H95" i="13"/>
  <c r="K36" i="13"/>
  <c r="F67" i="13"/>
  <c r="G31" i="59"/>
  <c r="BA31" i="13" s="1"/>
  <c r="G58" i="13"/>
  <c r="G34" i="15"/>
  <c r="M56" i="13" s="1"/>
  <c r="K50" i="13"/>
  <c r="G29" i="57"/>
  <c r="CE29" i="13" s="1"/>
  <c r="L53" i="13"/>
  <c r="F101" i="13"/>
  <c r="G53" i="13"/>
  <c r="G51" i="15"/>
  <c r="M82" i="13" s="1"/>
  <c r="G60" i="59"/>
  <c r="BA60" i="13" s="1"/>
  <c r="F85" i="13"/>
  <c r="F59" i="13"/>
  <c r="F80" i="13"/>
  <c r="G24" i="14"/>
  <c r="J49" i="13"/>
  <c r="K83" i="13"/>
  <c r="G50" i="13"/>
  <c r="K53" i="15"/>
  <c r="N85" i="13" s="1"/>
  <c r="G97" i="59"/>
  <c r="BA97" i="13" s="1"/>
  <c r="M19" i="13"/>
  <c r="G18" i="14"/>
  <c r="E29" i="13" s="1"/>
  <c r="G99" i="57"/>
  <c r="CE99" i="13" s="1"/>
  <c r="L29" i="13"/>
  <c r="H52" i="13"/>
  <c r="L59" i="13"/>
  <c r="L49" i="13"/>
  <c r="L96" i="13"/>
  <c r="F30" i="13"/>
  <c r="H86" i="13"/>
  <c r="I85" i="13"/>
  <c r="G33" i="59"/>
  <c r="BA33" i="13" s="1"/>
  <c r="G67" i="13"/>
  <c r="K30" i="57"/>
  <c r="CF30" i="13" s="1"/>
  <c r="K52" i="59"/>
  <c r="BB52" i="13" s="1"/>
  <c r="I53" i="13"/>
  <c r="G15" i="15"/>
  <c r="M24" i="13" s="1"/>
  <c r="G35" i="57"/>
  <c r="CE35" i="13" s="1"/>
  <c r="G30" i="15"/>
  <c r="M50" i="13" s="1"/>
  <c r="K29" i="57"/>
  <c r="CF29" i="13" s="1"/>
  <c r="G53" i="57"/>
  <c r="CE53" i="13" s="1"/>
  <c r="K50" i="57"/>
  <c r="CF50" i="13" s="1"/>
  <c r="K35" i="57"/>
  <c r="CF35" i="13" s="1"/>
  <c r="K54" i="15"/>
  <c r="N86" i="13" s="1"/>
  <c r="G101" i="13"/>
  <c r="L101" i="13"/>
  <c r="G83" i="57"/>
  <c r="CE83" i="13" s="1"/>
  <c r="I92" i="13"/>
  <c r="J82" i="13"/>
  <c r="K49" i="13"/>
  <c r="G98" i="57"/>
  <c r="CE98" i="13" s="1"/>
  <c r="F50" i="13"/>
  <c r="J61" i="13"/>
  <c r="F35" i="13"/>
  <c r="K96" i="13"/>
  <c r="I67" i="13"/>
  <c r="J59" i="13"/>
  <c r="H83" i="13"/>
  <c r="F56" i="13"/>
  <c r="H101" i="13"/>
  <c r="G62" i="59"/>
  <c r="BA62" i="13" s="1"/>
  <c r="I68" i="13"/>
  <c r="F68" i="13"/>
  <c r="H56" i="13"/>
  <c r="L58" i="13"/>
  <c r="G8" i="14"/>
  <c r="F86" i="13"/>
  <c r="F82" i="13"/>
  <c r="G102" i="57"/>
  <c r="CE102" i="13" s="1"/>
  <c r="K55" i="13"/>
  <c r="K29" i="13"/>
  <c r="G37" i="14"/>
  <c r="E59" i="13" s="1"/>
  <c r="G30" i="13"/>
  <c r="G5" i="14"/>
  <c r="E7" i="13" s="1"/>
  <c r="CW7" i="13" s="1"/>
  <c r="G100" i="59"/>
  <c r="BA100" i="13" s="1"/>
  <c r="L80" i="13"/>
  <c r="G91" i="59"/>
  <c r="BA91" i="13" s="1"/>
  <c r="G56" i="57"/>
  <c r="CE56" i="13" s="1"/>
  <c r="G72" i="13"/>
  <c r="J56" i="13"/>
  <c r="G58" i="51"/>
  <c r="BS92" i="13" s="1"/>
  <c r="DP92" i="13" s="1"/>
  <c r="EA37" i="12" s="1"/>
  <c r="K31" i="59"/>
  <c r="BB31" i="13" s="1"/>
  <c r="G102" i="59"/>
  <c r="BA102" i="13" s="1"/>
  <c r="O31" i="59"/>
  <c r="BC31" i="13" s="1"/>
  <c r="O53" i="59"/>
  <c r="BC53" i="13" s="1"/>
  <c r="G53" i="15"/>
  <c r="M85" i="13" s="1"/>
  <c r="K30" i="13"/>
  <c r="F53" i="13"/>
  <c r="F49" i="13"/>
  <c r="G86" i="13"/>
  <c r="G30" i="14"/>
  <c r="E49" i="13" s="1"/>
  <c r="G64" i="51"/>
  <c r="BS101" i="13" s="1"/>
  <c r="DP101" i="13" s="1"/>
  <c r="G65" i="51"/>
  <c r="BS102" i="13" s="1"/>
  <c r="DP102" i="13" s="1"/>
  <c r="G52" i="59"/>
  <c r="BA52" i="13" s="1"/>
  <c r="G28" i="51"/>
  <c r="BS46" i="13" s="1"/>
  <c r="DP46" i="13" s="1"/>
  <c r="EA21" i="12" s="1"/>
  <c r="F52" i="13"/>
  <c r="G19" i="14"/>
  <c r="E30" i="13" s="1"/>
  <c r="G53" i="51"/>
  <c r="BS83" i="13" s="1"/>
  <c r="DP83" i="13" s="1"/>
  <c r="G31" i="51"/>
  <c r="BS50" i="13" s="1"/>
  <c r="DP50" i="13" s="1"/>
  <c r="O50" i="59"/>
  <c r="BC50" i="13" s="1"/>
  <c r="K85" i="57"/>
  <c r="CF85" i="13" s="1"/>
  <c r="F102" i="13"/>
  <c r="J30" i="13"/>
  <c r="G32" i="14"/>
  <c r="E52" i="13" s="1"/>
  <c r="K82" i="13"/>
  <c r="L68" i="13"/>
  <c r="K101" i="13"/>
  <c r="K68" i="13"/>
  <c r="H96" i="13"/>
  <c r="H36" i="13"/>
  <c r="F47" i="13"/>
  <c r="K59" i="13"/>
  <c r="I50" i="13"/>
  <c r="H49" i="13"/>
  <c r="J35" i="13"/>
  <c r="K101" i="59"/>
  <c r="BB101" i="13" s="1"/>
  <c r="J96" i="13"/>
  <c r="G52" i="14"/>
  <c r="E82" i="13" s="1"/>
  <c r="G49" i="13"/>
  <c r="G33" i="14"/>
  <c r="E53" i="13" s="1"/>
  <c r="J102" i="13"/>
  <c r="G35" i="59"/>
  <c r="BA35" i="13" s="1"/>
  <c r="G39" i="51"/>
  <c r="BS62" i="13" s="1"/>
  <c r="DP62" i="13" s="1"/>
  <c r="J29" i="13"/>
  <c r="DV48" i="13"/>
  <c r="L79" i="13"/>
  <c r="K80" i="57"/>
  <c r="CF80" i="13" s="1"/>
  <c r="H80" i="13"/>
  <c r="I101" i="13"/>
  <c r="G68" i="13"/>
  <c r="G56" i="13"/>
  <c r="G103" i="59"/>
  <c r="BA103" i="13" s="1"/>
  <c r="L85" i="13"/>
  <c r="L36" i="13"/>
  <c r="J58" i="13"/>
  <c r="H53" i="13"/>
  <c r="O56" i="59"/>
  <c r="BC56" i="13" s="1"/>
  <c r="I56" i="13"/>
  <c r="H67" i="13"/>
  <c r="K85" i="13"/>
  <c r="L67" i="13"/>
  <c r="G55" i="13"/>
  <c r="H59" i="13"/>
  <c r="G52" i="57"/>
  <c r="CE52" i="13" s="1"/>
  <c r="I36" i="13"/>
  <c r="J55" i="13"/>
  <c r="H85" i="13"/>
  <c r="G19" i="51"/>
  <c r="BS30" i="13" s="1"/>
  <c r="DP30" i="13" s="1"/>
  <c r="G55" i="14"/>
  <c r="E86" i="13" s="1"/>
  <c r="G43" i="59"/>
  <c r="BA43" i="13" s="1"/>
  <c r="K83" i="57"/>
  <c r="CF83" i="13" s="1"/>
  <c r="I49" i="13"/>
  <c r="L50" i="13"/>
  <c r="K102" i="13"/>
  <c r="K53" i="57"/>
  <c r="CF53" i="13" s="1"/>
  <c r="G44" i="59"/>
  <c r="BA44" i="13" s="1"/>
  <c r="G7" i="51"/>
  <c r="BS10" i="13" s="1"/>
  <c r="DP10" i="13" s="1"/>
  <c r="G20" i="59"/>
  <c r="BA20" i="13" s="1"/>
  <c r="L102" i="13"/>
  <c r="G38" i="59"/>
  <c r="BA38" i="13" s="1"/>
  <c r="K52" i="13"/>
  <c r="G86" i="57"/>
  <c r="CE86" i="13" s="1"/>
  <c r="K52" i="57"/>
  <c r="CF52" i="13" s="1"/>
  <c r="G49" i="57"/>
  <c r="CE49" i="13" s="1"/>
  <c r="I30" i="13"/>
  <c r="J79" i="13"/>
  <c r="G39" i="14"/>
  <c r="E62" i="13" s="1"/>
  <c r="G85" i="57"/>
  <c r="CE85" i="13" s="1"/>
  <c r="G55" i="57"/>
  <c r="CE55" i="13" s="1"/>
  <c r="G85" i="13"/>
  <c r="G59" i="13"/>
  <c r="K102" i="57"/>
  <c r="CF102" i="13" s="1"/>
  <c r="I102" i="13"/>
  <c r="G67" i="57"/>
  <c r="CE67" i="13" s="1"/>
  <c r="G59" i="51"/>
  <c r="BS93" i="13" s="1"/>
  <c r="DP93" i="13" s="1"/>
  <c r="K95" i="57"/>
  <c r="CF95" i="13" s="1"/>
  <c r="K31" i="15"/>
  <c r="N52" i="13" s="1"/>
  <c r="G54" i="51"/>
  <c r="BS85" i="13" s="1"/>
  <c r="DP85" i="13" s="1"/>
  <c r="K103" i="59"/>
  <c r="BB103" i="13" s="1"/>
  <c r="O33" i="59"/>
  <c r="BC33" i="13" s="1"/>
  <c r="O55" i="59"/>
  <c r="BC55" i="13" s="1"/>
  <c r="G50" i="15"/>
  <c r="M80" i="13" s="1"/>
  <c r="K55" i="57"/>
  <c r="CF55" i="13" s="1"/>
  <c r="K50" i="15"/>
  <c r="N80" i="13" s="1"/>
  <c r="G36" i="57"/>
  <c r="CE36" i="13" s="1"/>
  <c r="DV36" i="13" s="1"/>
  <c r="K91" i="59"/>
  <c r="BB91" i="13" s="1"/>
  <c r="K53" i="59"/>
  <c r="BB53" i="13" s="1"/>
  <c r="G101" i="59"/>
  <c r="BA101" i="13" s="1"/>
  <c r="G50" i="59"/>
  <c r="BA50" i="13" s="1"/>
  <c r="O102" i="59"/>
  <c r="BC102" i="13" s="1"/>
  <c r="G43" i="14"/>
  <c r="E68" i="13" s="1"/>
  <c r="F96" i="13"/>
  <c r="H68" i="13"/>
  <c r="G42" i="51"/>
  <c r="BS67" i="13" s="1"/>
  <c r="DP67" i="13" s="1"/>
  <c r="EA28" i="12" s="1"/>
  <c r="H58" i="13"/>
  <c r="F83" i="13"/>
  <c r="F55" i="13"/>
  <c r="G79" i="57"/>
  <c r="CE79" i="13" s="1"/>
  <c r="G82" i="57"/>
  <c r="CE82" i="13" s="1"/>
  <c r="I83" i="13"/>
  <c r="I55" i="13"/>
  <c r="G80" i="13"/>
  <c r="J67" i="13"/>
  <c r="L30" i="13"/>
  <c r="F58" i="13"/>
  <c r="K58" i="13"/>
  <c r="L83" i="13"/>
  <c r="L82" i="13"/>
  <c r="K82" i="57"/>
  <c r="CF82" i="13" s="1"/>
  <c r="F29" i="13"/>
  <c r="L56" i="13"/>
  <c r="DV26" i="13"/>
  <c r="EM13" i="12" s="1"/>
  <c r="K68" i="57"/>
  <c r="CF68" i="13" s="1"/>
  <c r="G12" i="51"/>
  <c r="BS20" i="13" s="1"/>
  <c r="DP20" i="13" s="1"/>
  <c r="G5" i="51"/>
  <c r="BS7" i="13" s="1"/>
  <c r="DP7" i="13" s="1"/>
  <c r="K67" i="13"/>
  <c r="G13" i="51"/>
  <c r="BS21" i="13" s="1"/>
  <c r="DP21" i="13" s="1"/>
  <c r="G22" i="51"/>
  <c r="BS35" i="13" s="1"/>
  <c r="DP35" i="13" s="1"/>
  <c r="EA16" i="12" s="1"/>
  <c r="G26" i="51"/>
  <c r="BS43" i="13" s="1"/>
  <c r="DP43" i="13" s="1"/>
  <c r="EA20" i="12" s="1"/>
  <c r="G36" i="51"/>
  <c r="BS58" i="13" s="1"/>
  <c r="DP58" i="13" s="1"/>
  <c r="G24" i="51"/>
  <c r="BS39" i="13" s="1"/>
  <c r="DP39" i="13" s="1"/>
  <c r="G52" i="13"/>
  <c r="K86" i="57"/>
  <c r="CF86" i="13" s="1"/>
  <c r="G61" i="59"/>
  <c r="BA61" i="13" s="1"/>
  <c r="G22" i="59"/>
  <c r="BA22" i="13" s="1"/>
  <c r="G6" i="51"/>
  <c r="BS9" i="13" s="1"/>
  <c r="DP9" i="13" s="1"/>
  <c r="EA6" i="12" s="1"/>
  <c r="G37" i="51"/>
  <c r="BS59" i="13" s="1"/>
  <c r="DP59" i="13" s="1"/>
  <c r="G29" i="13"/>
  <c r="K49" i="57"/>
  <c r="CF49" i="13" s="1"/>
  <c r="DJ78" i="13"/>
  <c r="L55" i="13"/>
  <c r="DJ6" i="13"/>
  <c r="DO5" i="12" s="1"/>
  <c r="G4" i="51"/>
  <c r="BS6" i="13" s="1"/>
  <c r="DP6" i="13" s="1"/>
  <c r="EA5" i="12" s="1"/>
  <c r="G18" i="51"/>
  <c r="BS29" i="13" s="1"/>
  <c r="DP29" i="13" s="1"/>
  <c r="EA14" i="12" s="1"/>
  <c r="G23" i="51"/>
  <c r="BS36" i="13" s="1"/>
  <c r="DP36" i="13" s="1"/>
  <c r="O72" i="59"/>
  <c r="BC72" i="13" s="1"/>
  <c r="G21" i="59"/>
  <c r="BA21" i="13" s="1"/>
  <c r="DJ27" i="13"/>
  <c r="G27" i="51"/>
  <c r="BS44" i="13" s="1"/>
  <c r="DP44" i="13" s="1"/>
  <c r="DJ84" i="13"/>
  <c r="DJ81" i="13"/>
  <c r="DJ10" i="13"/>
  <c r="DV27" i="13"/>
  <c r="K52" i="15"/>
  <c r="N83" i="13" s="1"/>
  <c r="K56" i="57"/>
  <c r="CF56" i="13" s="1"/>
  <c r="K101" i="57"/>
  <c r="CF101" i="13" s="1"/>
  <c r="G101" i="57"/>
  <c r="CE101" i="13" s="1"/>
  <c r="G80" i="57"/>
  <c r="CE80" i="13" s="1"/>
  <c r="N60" i="13"/>
  <c r="G64" i="14"/>
  <c r="E101" i="13" s="1"/>
  <c r="DJ34" i="13"/>
  <c r="K82" i="59"/>
  <c r="BB82" i="13" s="1"/>
  <c r="K79" i="59"/>
  <c r="BB79" i="13" s="1"/>
  <c r="DJ9" i="13"/>
  <c r="DO6" i="12" s="1"/>
  <c r="DJ30" i="13"/>
  <c r="DJ26" i="13"/>
  <c r="DO13" i="12" s="1"/>
  <c r="K86" i="13"/>
  <c r="K56" i="13"/>
  <c r="G100" i="57"/>
  <c r="CE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G95" i="13"/>
  <c r="H30" i="13"/>
  <c r="CX27" i="13"/>
  <c r="G42" i="14"/>
  <c r="E67" i="13" s="1"/>
  <c r="G60" i="14"/>
  <c r="E95" i="13" s="1"/>
  <c r="G35" i="14"/>
  <c r="E56" i="13" s="1"/>
  <c r="K67" i="57"/>
  <c r="CF67" i="13" s="1"/>
  <c r="G72" i="59"/>
  <c r="BA72" i="13" s="1"/>
  <c r="G79" i="59"/>
  <c r="BA79" i="13" s="1"/>
  <c r="G32" i="15"/>
  <c r="M53" i="13" s="1"/>
  <c r="G67" i="59"/>
  <c r="BA67" i="13" s="1"/>
  <c r="G8" i="59"/>
  <c r="BA8" i="13" s="1"/>
  <c r="G82" i="59"/>
  <c r="BA82" i="13" s="1"/>
  <c r="G34" i="14"/>
  <c r="E55" i="13" s="1"/>
  <c r="G59" i="59"/>
  <c r="BA59" i="13" s="1"/>
  <c r="DJ59" i="13" s="1"/>
  <c r="G45" i="59"/>
  <c r="BA45" i="13" s="1"/>
  <c r="G36" i="15"/>
  <c r="M59" i="13" s="1"/>
  <c r="G42" i="59"/>
  <c r="BA42" i="13" s="1"/>
  <c r="G68" i="59"/>
  <c r="BA68" i="13" s="1"/>
  <c r="G97" i="57"/>
  <c r="CE97" i="13" s="1"/>
  <c r="G46" i="59"/>
  <c r="BA46" i="13" s="1"/>
  <c r="DJ46" i="13" s="1"/>
  <c r="DO21" i="12" s="1"/>
  <c r="G83" i="59"/>
  <c r="BA83" i="13" s="1"/>
  <c r="G5" i="59"/>
  <c r="BA5" i="13" s="1"/>
  <c r="G80" i="59"/>
  <c r="BA80" i="13" s="1"/>
  <c r="G47" i="59"/>
  <c r="BA47" i="13" s="1"/>
  <c r="DJ47" i="13" s="1"/>
  <c r="G19" i="59"/>
  <c r="BA19" i="13" s="1"/>
  <c r="K41" i="15"/>
  <c r="N67" i="13" s="1"/>
  <c r="G58" i="59"/>
  <c r="BA58" i="13" s="1"/>
  <c r="DJ58" i="13" s="1"/>
  <c r="G69" i="59"/>
  <c r="BA69" i="13" s="1"/>
  <c r="CX26" i="13"/>
  <c r="CQ13" i="12" s="1"/>
  <c r="G86" i="59"/>
  <c r="BA86" i="13" s="1"/>
  <c r="K36" i="15"/>
  <c r="N59" i="13" s="1"/>
  <c r="G33" i="15"/>
  <c r="M55" i="13" s="1"/>
  <c r="CX55" i="13" s="1"/>
  <c r="G85" i="59"/>
  <c r="BA85" i="13" s="1"/>
  <c r="G51" i="14"/>
  <c r="E80" i="13" s="1"/>
  <c r="G50" i="14"/>
  <c r="E79" i="13" s="1"/>
  <c r="K30" i="15"/>
  <c r="N50" i="13" s="1"/>
  <c r="CX29" i="13"/>
  <c r="CQ14" i="12" s="1"/>
  <c r="CW26" i="13"/>
  <c r="CO13" i="12" s="1"/>
  <c r="CW27" i="13"/>
  <c r="K58" i="57"/>
  <c r="CF58" i="13" s="1"/>
  <c r="G53" i="14"/>
  <c r="E83" i="13" s="1"/>
  <c r="G59" i="57"/>
  <c r="CE59" i="13" s="1"/>
  <c r="G54" i="14"/>
  <c r="E85" i="13" s="1"/>
  <c r="K51" i="15"/>
  <c r="N82" i="13" s="1"/>
  <c r="CX82" i="13" s="1"/>
  <c r="L95" i="13"/>
  <c r="I79" i="13"/>
  <c r="H55" i="13"/>
  <c r="J86" i="13"/>
  <c r="J85" i="13"/>
  <c r="J101" i="13"/>
  <c r="J68" i="13"/>
  <c r="K39" i="13"/>
  <c r="G61" i="14"/>
  <c r="E96" i="13" s="1"/>
  <c r="G36" i="13"/>
  <c r="G68" i="57"/>
  <c r="CE68" i="13" s="1"/>
  <c r="DV68" i="13" s="1"/>
  <c r="K42" i="15"/>
  <c r="N68" i="13" s="1"/>
  <c r="K35" i="15"/>
  <c r="N58" i="13" s="1"/>
  <c r="G65" i="14"/>
  <c r="E102" i="13" s="1"/>
  <c r="DV54" i="13"/>
  <c r="G58" i="57"/>
  <c r="CE58" i="13" s="1"/>
  <c r="F36" i="13"/>
  <c r="CX95" i="13"/>
  <c r="CQ38" i="12" s="1"/>
  <c r="G35" i="15"/>
  <c r="M58" i="13" s="1"/>
  <c r="CX96" i="13"/>
  <c r="G35" i="13"/>
  <c r="G41" i="15"/>
  <c r="M67" i="13" s="1"/>
  <c r="G42" i="15"/>
  <c r="M68" i="13" s="1"/>
  <c r="H35" i="13"/>
  <c r="K35" i="13"/>
  <c r="G22" i="14"/>
  <c r="E35" i="13" s="1"/>
  <c r="G96" i="13"/>
  <c r="J47" i="13"/>
  <c r="I96" i="13"/>
  <c r="I35" i="13"/>
  <c r="L60" i="13"/>
  <c r="H24" i="13"/>
  <c r="CW98" i="13"/>
  <c r="CW10" i="13"/>
  <c r="CW99" i="13"/>
  <c r="CW9" i="13"/>
  <c r="CO6" i="12" s="1"/>
  <c r="CW6" i="13"/>
  <c r="CO5" i="12" s="1"/>
  <c r="F95" i="13"/>
  <c r="K95" i="13"/>
  <c r="CW64" i="13"/>
  <c r="CO27" i="12" s="1"/>
  <c r="CW65" i="13"/>
  <c r="S35" i="16"/>
  <c r="R35" i="13" s="1"/>
  <c r="EA15" i="12"/>
  <c r="EE26" i="12"/>
  <c r="EA29" i="12"/>
  <c r="EE37" i="12"/>
  <c r="EA30" i="12"/>
  <c r="EC21" i="12"/>
  <c r="EE15" i="12"/>
  <c r="EI12" i="12"/>
  <c r="EE21" i="12"/>
  <c r="EE28" i="12"/>
  <c r="DV51" i="13"/>
  <c r="N39" i="1"/>
  <c r="N26" i="1"/>
  <c r="EE38" i="12"/>
  <c r="EI16" i="12"/>
  <c r="EI37"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G61" i="13"/>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G93" i="13"/>
  <c r="O98" i="18"/>
  <c r="X98" i="13" s="1"/>
  <c r="S13" i="16"/>
  <c r="R13" i="13" s="1"/>
  <c r="O99" i="18"/>
  <c r="X99" i="13" s="1"/>
  <c r="K84" i="30"/>
  <c r="AU84" i="13" s="1"/>
  <c r="G12" i="55"/>
  <c r="CB12" i="13" s="1"/>
  <c r="DT12" i="13" s="1"/>
  <c r="G23" i="13"/>
  <c r="O81" i="18"/>
  <c r="X81" i="13" s="1"/>
  <c r="S79" i="16"/>
  <c r="R79" i="13" s="1"/>
  <c r="O68" i="18"/>
  <c r="X68" i="13" s="1"/>
  <c r="EZ36" i="12"/>
  <c r="T43" i="1" s="1"/>
  <c r="G40" i="13"/>
  <c r="I71" i="13"/>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G104" i="13"/>
  <c r="O73" i="21"/>
  <c r="AJ73" i="13" s="1"/>
  <c r="W73" i="46"/>
  <c r="BI73" i="13" s="1"/>
  <c r="K8" i="57"/>
  <c r="CF8" i="13" s="1"/>
  <c r="DD78" i="13"/>
  <c r="K93" i="30"/>
  <c r="AU93" i="13" s="1"/>
  <c r="DN78" i="13"/>
  <c r="W23" i="18"/>
  <c r="Z23" i="13" s="1"/>
  <c r="DU99" i="13"/>
  <c r="I69" i="13"/>
  <c r="G21" i="13"/>
  <c r="W39" i="18"/>
  <c r="Z39" i="13" s="1"/>
  <c r="G91" i="13"/>
  <c r="DN86" i="13"/>
  <c r="I23" i="13"/>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G46" i="13"/>
  <c r="CZ49" i="13"/>
  <c r="O33" i="30"/>
  <c r="AV33" i="13" s="1"/>
  <c r="I22" i="13"/>
  <c r="DQ95" i="13"/>
  <c r="N45" i="13"/>
  <c r="K105" i="57"/>
  <c r="CF105" i="13" s="1"/>
  <c r="O98" i="16"/>
  <c r="Q92" i="13" s="1"/>
  <c r="O97" i="18"/>
  <c r="X97" i="13" s="1"/>
  <c r="O103" i="18"/>
  <c r="X103" i="13" s="1"/>
  <c r="O31" i="30"/>
  <c r="AV31" i="13" s="1"/>
  <c r="O83" i="30"/>
  <c r="AV83" i="13" s="1"/>
  <c r="K62" i="57"/>
  <c r="CF62" i="13" s="1"/>
  <c r="DM40" i="13"/>
  <c r="G13" i="59"/>
  <c r="BA13" i="13" s="1"/>
  <c r="O34" i="16"/>
  <c r="Q34" i="13" s="1"/>
  <c r="G24" i="13"/>
  <c r="DM101" i="13"/>
  <c r="K39" i="57"/>
  <c r="CF39" i="13" s="1"/>
  <c r="G73" i="55"/>
  <c r="CB73" i="13" s="1"/>
  <c r="DT73" i="13" s="1"/>
  <c r="K103" i="57"/>
  <c r="CF103" i="13" s="1"/>
  <c r="G39" i="18"/>
  <c r="V39" i="13" s="1"/>
  <c r="O39" i="16"/>
  <c r="Q39" i="13" s="1"/>
  <c r="W94" i="18"/>
  <c r="Z94" i="13" s="1"/>
  <c r="S34" i="16"/>
  <c r="R34" i="13" s="1"/>
  <c r="DU92" i="13"/>
  <c r="DM73" i="13"/>
  <c r="DU30" i="12" s="1"/>
  <c r="K23" i="59"/>
  <c r="BB23" i="13" s="1"/>
  <c r="I61" i="13"/>
  <c r="O91" i="18"/>
  <c r="X91" i="13" s="1"/>
  <c r="O103" i="67"/>
  <c r="CI103" i="13" s="1"/>
  <c r="S84" i="16"/>
  <c r="R84" i="13" s="1"/>
  <c r="K40" i="57"/>
  <c r="CF40" i="13" s="1"/>
  <c r="DU31" i="13"/>
  <c r="DC103" i="13"/>
  <c r="DC62" i="13"/>
  <c r="DM62" i="13"/>
  <c r="L43" i="103"/>
  <c r="I93" i="13"/>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I72" i="13"/>
  <c r="DC81" i="13"/>
  <c r="G74" i="49"/>
  <c r="BN74" i="13" s="1"/>
  <c r="O70" i="18"/>
  <c r="X70" i="13" s="1"/>
  <c r="S63" i="16"/>
  <c r="R63" i="13" s="1"/>
  <c r="I38" i="13"/>
  <c r="I103" i="13"/>
  <c r="I91" i="13"/>
  <c r="O32" i="19"/>
  <c r="AC32" i="13" s="1"/>
  <c r="H21" i="13"/>
  <c r="DM93" i="13"/>
  <c r="DU37" i="12" s="1"/>
  <c r="W40" i="18"/>
  <c r="Z40" i="13" s="1"/>
  <c r="K85" i="30"/>
  <c r="AU85" i="13" s="1"/>
  <c r="I105" i="13"/>
  <c r="DQ92" i="13"/>
  <c r="I60" i="13"/>
  <c r="S60" i="16"/>
  <c r="R60" i="13" s="1"/>
  <c r="G23" i="19"/>
  <c r="AA23" i="13" s="1"/>
  <c r="K70" i="49"/>
  <c r="BO70" i="13" s="1"/>
  <c r="K71" i="49"/>
  <c r="BO71" i="13" s="1"/>
  <c r="G47" i="13"/>
  <c r="O96" i="18"/>
  <c r="X96" i="13" s="1"/>
  <c r="DO104" i="13"/>
  <c r="DV28" i="13"/>
  <c r="G56" i="18"/>
  <c r="V56" i="13" s="1"/>
  <c r="O105" i="18"/>
  <c r="X105" i="13" s="1"/>
  <c r="O64" i="18"/>
  <c r="X64" i="13" s="1"/>
  <c r="O22" i="45"/>
  <c r="AZ22" i="13" s="1"/>
  <c r="O19" i="30"/>
  <c r="AV19" i="13" s="1"/>
  <c r="K69" i="49"/>
  <c r="BO69" i="13" s="1"/>
  <c r="S78" i="16"/>
  <c r="R78" i="13" s="1"/>
  <c r="K9" i="57"/>
  <c r="CF9" i="13" s="1"/>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4" i="15"/>
  <c r="N6" i="13" s="1"/>
  <c r="O69" i="18"/>
  <c r="X69" i="13" s="1"/>
  <c r="K31" i="57"/>
  <c r="CF31" i="13" s="1"/>
  <c r="K43" i="57"/>
  <c r="CF43" i="13" s="1"/>
  <c r="O40" i="21"/>
  <c r="AJ40" i="13" s="1"/>
  <c r="S82" i="16"/>
  <c r="R82" i="13" s="1"/>
  <c r="K45" i="57"/>
  <c r="CF45" i="13" s="1"/>
  <c r="K12" i="57"/>
  <c r="CF12" i="13" s="1"/>
  <c r="DJ96" i="13"/>
  <c r="W93" i="46"/>
  <c r="BI93" i="13" s="1"/>
  <c r="G21" i="55"/>
  <c r="CB21" i="13" s="1"/>
  <c r="DT21" i="13" s="1"/>
  <c r="W22" i="18"/>
  <c r="Z22" i="13" s="1"/>
  <c r="G105" i="13"/>
  <c r="G60" i="18"/>
  <c r="V60" i="13" s="1"/>
  <c r="O51" i="18"/>
  <c r="X51" i="13" s="1"/>
  <c r="DU22" i="13"/>
  <c r="CX54" i="13"/>
  <c r="DN50" i="13"/>
  <c r="DN48" i="13"/>
  <c r="I70" i="13"/>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I39" i="13"/>
  <c r="I24" i="13"/>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14" i="15"/>
  <c r="N23" i="13" s="1"/>
  <c r="K73" i="49"/>
  <c r="BO73" i="13" s="1"/>
  <c r="I62" i="13"/>
  <c r="O23" i="16"/>
  <c r="Q23" i="13" s="1"/>
  <c r="W38" i="18"/>
  <c r="Z38" i="13" s="1"/>
  <c r="DM39" i="13"/>
  <c r="O40" i="16"/>
  <c r="Q40" i="13" s="1"/>
  <c r="G19" i="13"/>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63" i="15"/>
  <c r="N101" i="13" s="1"/>
  <c r="K19" i="57"/>
  <c r="CF19" i="13" s="1"/>
  <c r="G61" i="55"/>
  <c r="CB61" i="13" s="1"/>
  <c r="DT61" i="13" s="1"/>
  <c r="I104" i="13"/>
  <c r="I40" i="13"/>
  <c r="I46" i="13"/>
  <c r="DM100" i="13"/>
  <c r="O67" i="18"/>
  <c r="X67" i="13" s="1"/>
  <c r="N12" i="13"/>
  <c r="W72" i="46"/>
  <c r="BI72" i="13" s="1"/>
  <c r="G71" i="53"/>
  <c r="BX71" i="13" s="1"/>
  <c r="DR71" i="13" s="1"/>
  <c r="DJ92" i="13"/>
  <c r="K61" i="57"/>
  <c r="CF61" i="13" s="1"/>
  <c r="K21" i="57"/>
  <c r="CF21" i="13" s="1"/>
  <c r="O20" i="30"/>
  <c r="AV20" i="13" s="1"/>
  <c r="DN31" i="13"/>
  <c r="S99" i="16"/>
  <c r="R93" i="13" s="1"/>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26" i="15"/>
  <c r="N44" i="13" s="1"/>
  <c r="O39" i="21"/>
  <c r="AJ39" i="13" s="1"/>
  <c r="DQ99" i="13"/>
  <c r="DZ92" i="13"/>
  <c r="G74" i="53"/>
  <c r="BX74" i="13" s="1"/>
  <c r="DR74" i="13" s="1"/>
  <c r="O52" i="21"/>
  <c r="AJ52" i="13" s="1"/>
  <c r="K92" i="57"/>
  <c r="CF92" i="13" s="1"/>
  <c r="K72" i="49"/>
  <c r="BO72" i="13" s="1"/>
  <c r="DU49" i="13"/>
  <c r="K7"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K7" i="57"/>
  <c r="CF7" i="13" s="1"/>
  <c r="S65" i="16"/>
  <c r="R65" i="13" s="1"/>
  <c r="G92" i="13"/>
  <c r="G19" i="55"/>
  <c r="CB19" i="13" s="1"/>
  <c r="DT19" i="13" s="1"/>
  <c r="S74" i="16"/>
  <c r="R74" i="13" s="1"/>
  <c r="G51" i="30"/>
  <c r="AT51" i="13" s="1"/>
  <c r="DU104" i="13"/>
  <c r="W105" i="18"/>
  <c r="Z105" i="13" s="1"/>
  <c r="O54" i="18"/>
  <c r="X54" i="13" s="1"/>
  <c r="O81" i="30"/>
  <c r="AV81" i="13" s="1"/>
  <c r="O53" i="30"/>
  <c r="AV53" i="13" s="1"/>
  <c r="DU52" i="13"/>
  <c r="S61" i="16"/>
  <c r="R61" i="13" s="1"/>
  <c r="G45" i="13"/>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G38" i="13"/>
  <c r="DU85" i="13"/>
  <c r="K5"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G22" i="13"/>
  <c r="S62" i="16"/>
  <c r="R62" i="13" s="1"/>
  <c r="K46" i="30"/>
  <c r="AU46" i="13" s="1"/>
  <c r="DI61" i="13"/>
  <c r="DV81" i="13"/>
  <c r="DU105" i="13"/>
  <c r="DU83" i="13"/>
  <c r="S70" i="16"/>
  <c r="R70" i="13" s="1"/>
  <c r="G20" i="13"/>
  <c r="S6" i="16"/>
  <c r="R6" i="13" s="1"/>
  <c r="G103" i="45"/>
  <c r="AX103" i="13" s="1"/>
  <c r="DV78" i="13"/>
  <c r="DU54" i="13"/>
  <c r="DU23" i="13"/>
  <c r="G100" i="55"/>
  <c r="CB100" i="13" s="1"/>
  <c r="DT100" i="13" s="1"/>
  <c r="K37" i="15"/>
  <c r="N61" i="13" s="1"/>
  <c r="W104" i="18"/>
  <c r="Z104" i="13" s="1"/>
  <c r="O33" i="19"/>
  <c r="AC33" i="13" s="1"/>
  <c r="DU12" i="13"/>
  <c r="S56" i="16"/>
  <c r="R56" i="13" s="1"/>
  <c r="S72" i="16"/>
  <c r="R72" i="13" s="1"/>
  <c r="G43" i="13"/>
  <c r="G42" i="13"/>
  <c r="DM102" i="13"/>
  <c r="DU93" i="13"/>
  <c r="DU80" i="13"/>
  <c r="DU101" i="13"/>
  <c r="I47" i="13"/>
  <c r="I73" i="13"/>
  <c r="O47" i="16"/>
  <c r="Q47" i="13" s="1"/>
  <c r="O86" i="30"/>
  <c r="AV86" i="13" s="1"/>
  <c r="K71" i="52"/>
  <c r="BU71" i="13" s="1"/>
  <c r="K43" i="15"/>
  <c r="N70" i="13" s="1"/>
  <c r="S55" i="16"/>
  <c r="R55" i="13" s="1"/>
  <c r="S71" i="16"/>
  <c r="R71" i="13" s="1"/>
  <c r="K14" i="57"/>
  <c r="CF14" i="13" s="1"/>
  <c r="O44" i="67"/>
  <c r="CI44" i="13" s="1"/>
  <c r="K9"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15" i="15"/>
  <c r="N24" i="13" s="1"/>
  <c r="K12" i="15"/>
  <c r="N20" i="13" s="1"/>
  <c r="DJ39" i="13"/>
  <c r="DJ105" i="13"/>
  <c r="O49" i="21"/>
  <c r="AJ49" i="13" s="1"/>
  <c r="O73" i="54"/>
  <c r="CA73" i="13" s="1"/>
  <c r="W71" i="46"/>
  <c r="BI71" i="13" s="1"/>
  <c r="K57" i="15"/>
  <c r="N92" i="13" s="1"/>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G44" i="13"/>
  <c r="G86" i="18"/>
  <c r="V86" i="13" s="1"/>
  <c r="O83" i="18"/>
  <c r="X83" i="13" s="1"/>
  <c r="O74" i="30"/>
  <c r="AV74" i="13" s="1"/>
  <c r="DN60" i="13"/>
  <c r="I45" i="13"/>
  <c r="CZ54" i="13"/>
  <c r="DN51" i="13"/>
  <c r="G103" i="13"/>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23" i="15"/>
  <c r="N39" i="13" s="1"/>
  <c r="S24" i="16"/>
  <c r="R24" i="13" s="1"/>
  <c r="G27" i="93"/>
  <c r="G22" i="93"/>
  <c r="G28" i="93" s="1"/>
  <c r="I74" i="13"/>
  <c r="S103" i="16"/>
  <c r="R97" i="13" s="1"/>
  <c r="G79" i="18"/>
  <c r="V79" i="13" s="1"/>
  <c r="G54" i="18"/>
  <c r="V54" i="13" s="1"/>
  <c r="DC102" i="13"/>
  <c r="F21" i="83"/>
  <c r="E27" i="83" s="1"/>
  <c r="G21" i="83"/>
  <c r="F27" i="83" s="1"/>
  <c r="S31" i="16"/>
  <c r="R31" i="13" s="1"/>
  <c r="DU100" i="13"/>
  <c r="DU51" i="13"/>
  <c r="K61" i="15"/>
  <c r="N98" i="13" s="1"/>
  <c r="I49" i="103"/>
  <c r="N91" i="13"/>
  <c r="F24" i="86"/>
  <c r="F30" i="86" s="1"/>
  <c r="N43" i="103"/>
  <c r="DZ6" i="13"/>
  <c r="EU5" i="12" s="1"/>
  <c r="G71" i="52"/>
  <c r="BT71" i="13" s="1"/>
  <c r="K93" i="57"/>
  <c r="CF93" i="13" s="1"/>
  <c r="K65" i="15"/>
  <c r="N104" i="13" s="1"/>
  <c r="DU50" i="13"/>
  <c r="K62" i="15"/>
  <c r="N99" i="13" s="1"/>
  <c r="N97" i="13"/>
  <c r="O66" i="21"/>
  <c r="AJ66" i="13" s="1"/>
  <c r="K64"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O94" i="16"/>
  <c r="Q88" i="13" s="1"/>
  <c r="W31" i="19"/>
  <c r="AE31" i="13" s="1"/>
  <c r="K6" i="57"/>
  <c r="CF6" i="13" s="1"/>
  <c r="K28" i="15"/>
  <c r="N47" i="13" s="1"/>
  <c r="DJ95" i="13"/>
  <c r="DJ93" i="13"/>
  <c r="DN53" i="13"/>
  <c r="G74" i="30"/>
  <c r="AT74" i="13" s="1"/>
  <c r="DM32" i="13"/>
  <c r="O55" i="21"/>
  <c r="AJ55" i="13" s="1"/>
  <c r="O21" i="67"/>
  <c r="CI21" i="13" s="1"/>
  <c r="N19" i="13"/>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19" i="15"/>
  <c r="N32" i="13" s="1"/>
  <c r="K70" i="52"/>
  <c r="BU70" i="13" s="1"/>
  <c r="K8" i="15"/>
  <c r="N13" i="13" s="1"/>
  <c r="K27" i="15"/>
  <c r="N46" i="13" s="1"/>
  <c r="N22" i="13"/>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DD79" i="13"/>
  <c r="DN84" i="13"/>
  <c r="DC86" i="13"/>
  <c r="H20" i="13"/>
  <c r="S36" i="16"/>
  <c r="R36" i="13" s="1"/>
  <c r="DC78" i="13"/>
  <c r="K45" i="30"/>
  <c r="AU45" i="13" s="1"/>
  <c r="DZ23" i="13"/>
  <c r="S91" i="16"/>
  <c r="G50" i="30"/>
  <c r="AT50" i="13" s="1"/>
  <c r="K22" i="48"/>
  <c r="BM22" i="13" s="1"/>
  <c r="DC100" i="13"/>
  <c r="G19" i="30"/>
  <c r="AT19" i="13" s="1"/>
  <c r="DC54" i="13"/>
  <c r="O50" i="21"/>
  <c r="AJ50" i="13" s="1"/>
  <c r="S95" i="16"/>
  <c r="R89" i="13" s="1"/>
  <c r="G60" i="13"/>
  <c r="W33" i="19"/>
  <c r="AE33" i="13" s="1"/>
  <c r="O72" i="30"/>
  <c r="AV72" i="13" s="1"/>
  <c r="O51" i="30"/>
  <c r="AV51" i="13" s="1"/>
  <c r="DM49" i="13"/>
  <c r="G53" i="18"/>
  <c r="V53" i="13" s="1"/>
  <c r="DZ38" i="13"/>
  <c r="G81" i="18"/>
  <c r="V81" i="13" s="1"/>
  <c r="G51" i="18"/>
  <c r="V51" i="13" s="1"/>
  <c r="S104" i="16"/>
  <c r="R98" i="13" s="1"/>
  <c r="DM105" i="13"/>
  <c r="N69" i="13"/>
  <c r="DN23" i="13"/>
  <c r="K23" i="48"/>
  <c r="BM23" i="13" s="1"/>
  <c r="E13" i="53"/>
  <c r="G13" i="53" s="1"/>
  <c r="BX13" i="13" s="1"/>
  <c r="DR13" i="13" s="1"/>
  <c r="EE8" i="12" s="1"/>
  <c r="O103" i="16"/>
  <c r="Q97" i="13" s="1"/>
  <c r="K38" i="15"/>
  <c r="N62" i="13" s="1"/>
  <c r="G43" i="55"/>
  <c r="CB43" i="13" s="1"/>
  <c r="DT43" i="13" s="1"/>
  <c r="DZ39" i="13"/>
  <c r="DU13" i="13"/>
  <c r="EK8" i="12" s="1"/>
  <c r="G8" i="55"/>
  <c r="CB8" i="13" s="1"/>
  <c r="DT8" i="13" s="1"/>
  <c r="AA14" i="68"/>
  <c r="CO14" i="13" s="1"/>
  <c r="O60" i="67"/>
  <c r="CI60" i="13" s="1"/>
  <c r="O74" i="54"/>
  <c r="CA74" i="13" s="1"/>
  <c r="N8" i="13"/>
  <c r="G104" i="55"/>
  <c r="CB104" i="13" s="1"/>
  <c r="DT104" i="13" s="1"/>
  <c r="G13" i="55"/>
  <c r="CB13" i="13" s="1"/>
  <c r="DT13" i="13" s="1"/>
  <c r="EI8" i="12" s="1"/>
  <c r="S32" i="29"/>
  <c r="AS32" i="13" s="1"/>
  <c r="O48" i="54"/>
  <c r="CA48" i="13" s="1"/>
  <c r="N72" i="13"/>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N31" i="13"/>
  <c r="O6" i="67"/>
  <c r="CI6" i="13" s="1"/>
  <c r="W39" i="46"/>
  <c r="BI39" i="13" s="1"/>
  <c r="O73" i="67"/>
  <c r="CI73" i="13" s="1"/>
  <c r="O45" i="67"/>
  <c r="CI45" i="13" s="1"/>
  <c r="K24" i="15"/>
  <c r="N40" i="13" s="1"/>
  <c r="O98" i="67"/>
  <c r="CI98" i="13" s="1"/>
  <c r="G40" i="18"/>
  <c r="V40" i="13" s="1"/>
  <c r="DI40" i="13"/>
  <c r="K32" i="45"/>
  <c r="AY32" i="13" s="1"/>
  <c r="S96" i="16"/>
  <c r="R90" i="13" s="1"/>
  <c r="AA32" i="68"/>
  <c r="CO32" i="13" s="1"/>
  <c r="G39" i="19"/>
  <c r="AA39" i="13" s="1"/>
  <c r="DZ7" i="13"/>
  <c r="O46" i="67"/>
  <c r="CI46" i="13" s="1"/>
  <c r="W14" i="19"/>
  <c r="AE14" i="13" s="1"/>
  <c r="DM61" i="13"/>
  <c r="N42" i="13"/>
  <c r="G5" i="55"/>
  <c r="CB5" i="13" s="1"/>
  <c r="DT5" i="13" s="1"/>
  <c r="DS81" i="13"/>
  <c r="DO81" i="13"/>
  <c r="G14" i="55"/>
  <c r="CB14" i="13" s="1"/>
  <c r="DT14" i="13" s="1"/>
  <c r="G33" i="55"/>
  <c r="CB33" i="13" s="1"/>
  <c r="DT33" i="13" s="1"/>
  <c r="AA24" i="68"/>
  <c r="CO24" i="13" s="1"/>
  <c r="N5" i="13"/>
  <c r="CX48" i="13"/>
  <c r="W13" i="19"/>
  <c r="AE13" i="13" s="1"/>
  <c r="K44" i="15"/>
  <c r="N71" i="13" s="1"/>
  <c r="O10" i="67"/>
  <c r="CI10" i="13" s="1"/>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N100" i="13"/>
  <c r="O101" i="67"/>
  <c r="CI101" i="13" s="1"/>
  <c r="O31" i="67"/>
  <c r="CI31" i="13" s="1"/>
  <c r="G62" i="55"/>
  <c r="CB62" i="13" s="1"/>
  <c r="DT62" i="13" s="1"/>
  <c r="O33" i="67"/>
  <c r="CI33" i="13" s="1"/>
  <c r="AA33" i="68"/>
  <c r="CO33" i="13" s="1"/>
  <c r="O70" i="54"/>
  <c r="CA70" i="13" s="1"/>
  <c r="O47" i="67"/>
  <c r="CI47" i="13" s="1"/>
  <c r="O62" i="67"/>
  <c r="CI62" i="13" s="1"/>
  <c r="O9" i="67"/>
  <c r="CI9" i="13" s="1"/>
  <c r="K20" i="15"/>
  <c r="N33" i="13" s="1"/>
  <c r="K25" i="15"/>
  <c r="N43" i="13" s="1"/>
  <c r="K46" i="15"/>
  <c r="N74" i="13" s="1"/>
  <c r="W38" i="19"/>
  <c r="AE38" i="13" s="1"/>
  <c r="O93" i="16"/>
  <c r="DM12" i="13"/>
  <c r="DM38" i="13"/>
  <c r="G12" i="30"/>
  <c r="AT12" i="13" s="1"/>
  <c r="G73" i="30"/>
  <c r="AT73" i="13" s="1"/>
  <c r="DN47" i="13"/>
  <c r="DW21" i="12" s="1"/>
  <c r="DM51" i="13"/>
  <c r="DN62" i="13"/>
  <c r="O31" i="68"/>
  <c r="CL31" i="13" s="1"/>
  <c r="G72" i="55"/>
  <c r="CB72" i="13" s="1"/>
  <c r="DT72" i="13" s="1"/>
  <c r="K58" i="15"/>
  <c r="N93" i="13" s="1"/>
  <c r="O71" i="54"/>
  <c r="CA71" i="13" s="1"/>
  <c r="K6" i="15"/>
  <c r="N9" i="13" s="1"/>
  <c r="DN91" i="13"/>
  <c r="CX81" i="13"/>
  <c r="O45" i="16"/>
  <c r="Q45" i="13" s="1"/>
  <c r="CX51" i="13"/>
  <c r="O97" i="67"/>
  <c r="CI97" i="13" s="1"/>
  <c r="AA12" i="68"/>
  <c r="CO12" i="13" s="1"/>
  <c r="G93" i="30"/>
  <c r="AT93" i="13" s="1"/>
  <c r="G48" i="30"/>
  <c r="AT48" i="13" s="1"/>
  <c r="DC50" i="13"/>
  <c r="G38" i="19"/>
  <c r="AA38" i="13" s="1"/>
  <c r="W32" i="19"/>
  <c r="AE32" i="13" s="1"/>
  <c r="O5" i="16"/>
  <c r="Q5" i="13" s="1"/>
  <c r="K45" i="15"/>
  <c r="N73" i="13" s="1"/>
  <c r="O49" i="54"/>
  <c r="CA49" i="13" s="1"/>
  <c r="O101" i="68"/>
  <c r="CL101" i="13" s="1"/>
  <c r="AA31" i="68"/>
  <c r="CO31" i="13" s="1"/>
  <c r="O102" i="67"/>
  <c r="CI102" i="13" s="1"/>
  <c r="O70" i="67"/>
  <c r="CI70" i="13" s="1"/>
  <c r="O5" i="67"/>
  <c r="CI5" i="13" s="1"/>
  <c r="K66" i="15"/>
  <c r="N105" i="13" s="1"/>
  <c r="DM69" i="13"/>
  <c r="G49" i="30"/>
  <c r="AT49" i="13" s="1"/>
  <c r="O7" i="67"/>
  <c r="CI7" i="13" s="1"/>
  <c r="N38" i="13"/>
  <c r="DC43" i="13"/>
  <c r="G52" i="30"/>
  <c r="AT52" i="13" s="1"/>
  <c r="DC44" i="13"/>
  <c r="O23" i="45"/>
  <c r="AZ23" i="13" s="1"/>
  <c r="DC33" i="13"/>
  <c r="G73" i="49"/>
  <c r="BN73" i="13" s="1"/>
  <c r="O74" i="67"/>
  <c r="CI74" i="13" s="1"/>
  <c r="N103" i="13"/>
  <c r="O13" i="16"/>
  <c r="Q13" i="13" s="1"/>
  <c r="DC25" i="13"/>
  <c r="G83" i="30"/>
  <c r="AT83" i="13" s="1"/>
  <c r="G70" i="30"/>
  <c r="AT70" i="13" s="1"/>
  <c r="G21" i="30"/>
  <c r="AT21" i="13" s="1"/>
  <c r="G39" i="13"/>
  <c r="O97" i="16"/>
  <c r="Q91" i="13" s="1"/>
  <c r="O104" i="18"/>
  <c r="X104" i="13" s="1"/>
  <c r="G47" i="30"/>
  <c r="AT47" i="13" s="1"/>
  <c r="K12" i="30"/>
  <c r="AU12" i="13" s="1"/>
  <c r="G14" i="30"/>
  <c r="AT14" i="13" s="1"/>
  <c r="O31" i="45"/>
  <c r="AZ31" i="13" s="1"/>
  <c r="DJ62" i="13" l="1"/>
  <c r="DJ60" i="13"/>
  <c r="DV30" i="13"/>
  <c r="DJ61" i="13"/>
  <c r="CX49" i="13"/>
  <c r="CX56" i="13"/>
  <c r="DV97" i="13"/>
  <c r="DV96" i="13"/>
  <c r="CX79" i="13"/>
  <c r="DV100" i="13"/>
  <c r="CX52" i="13"/>
  <c r="CX83" i="13"/>
  <c r="DJ45" i="13"/>
  <c r="DV53" i="13"/>
  <c r="DV95" i="13"/>
  <c r="EM38" i="12" s="1"/>
  <c r="DJ38" i="13"/>
  <c r="DV59" i="13"/>
  <c r="DV79" i="13"/>
  <c r="DV98" i="13"/>
  <c r="DV29" i="13"/>
  <c r="EM14" i="12" s="1"/>
  <c r="DV99" i="13"/>
  <c r="DV50" i="13"/>
  <c r="CX53" i="13"/>
  <c r="CX85" i="13"/>
  <c r="DV35" i="13"/>
  <c r="EM16" i="12" s="1"/>
  <c r="CX50" i="13"/>
  <c r="CX86" i="13"/>
  <c r="DV83" i="13"/>
  <c r="DV67" i="13"/>
  <c r="EM28" i="12" s="1"/>
  <c r="DJ91" i="13"/>
  <c r="DV49" i="13"/>
  <c r="DV102" i="13"/>
  <c r="DJ103" i="13"/>
  <c r="DV80" i="13"/>
  <c r="DV85" i="13"/>
  <c r="DV52" i="13"/>
  <c r="DV82" i="13"/>
  <c r="CW68" i="13"/>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DA20" i="12"/>
  <c r="EK37" i="12"/>
  <c r="EK38" i="12"/>
  <c r="DO37" i="12"/>
  <c r="DW37" i="12"/>
  <c r="EU37" i="12"/>
  <c r="EI15"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G62" i="13"/>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M91" i="13"/>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M12" i="13"/>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G74" i="13"/>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61" i="15"/>
  <c r="M98" i="13" s="1"/>
  <c r="CX98" i="13" s="1"/>
  <c r="K94" i="18"/>
  <c r="W94" i="13" s="1"/>
  <c r="S108" i="13"/>
  <c r="K39" i="21"/>
  <c r="AI39" i="13" s="1"/>
  <c r="W85" i="18"/>
  <c r="Z85" i="13" s="1"/>
  <c r="S95" i="18"/>
  <c r="Y95" i="13" s="1"/>
  <c r="G70" i="21"/>
  <c r="AH70" i="13" s="1"/>
  <c r="E110" i="38"/>
  <c r="G50" i="21"/>
  <c r="AH50" i="13" s="1"/>
  <c r="G92" i="18"/>
  <c r="V92" i="13" s="1"/>
  <c r="G5"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28" i="15"/>
  <c r="M47" i="13" s="1"/>
  <c r="CX47" i="13" s="1"/>
  <c r="S104" i="18"/>
  <c r="Y104" i="13" s="1"/>
  <c r="G31" i="18"/>
  <c r="V31" i="13" s="1"/>
  <c r="V107" i="13" s="1"/>
  <c r="G65"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20" i="15"/>
  <c r="M33" i="13" s="1"/>
  <c r="CX33" i="13" s="1"/>
  <c r="G57" i="15"/>
  <c r="M92" i="13" s="1"/>
  <c r="CX92" i="13" s="1"/>
  <c r="K12" i="16"/>
  <c r="P12" i="13" s="1"/>
  <c r="DD86" i="13"/>
  <c r="W49" i="18"/>
  <c r="Z49" i="13" s="1"/>
  <c r="S40" i="18"/>
  <c r="Y40" i="13" s="1"/>
  <c r="G46" i="15"/>
  <c r="M74" i="13" s="1"/>
  <c r="CX74" i="13" s="1"/>
  <c r="O31" i="16"/>
  <c r="Q31" i="13" s="1"/>
  <c r="Q110" i="13" s="1"/>
  <c r="M103" i="13"/>
  <c r="CX103" i="13" s="1"/>
  <c r="W83" i="18"/>
  <c r="Z83" i="13" s="1"/>
  <c r="W33" i="18"/>
  <c r="Z33" i="13" s="1"/>
  <c r="Z112" i="13" s="1"/>
  <c r="K62" i="18"/>
  <c r="W62" i="13" s="1"/>
  <c r="G52" i="21"/>
  <c r="AH52" i="13" s="1"/>
  <c r="G7" i="15"/>
  <c r="M10" i="13" s="1"/>
  <c r="CX10" i="13" s="1"/>
  <c r="DD31" i="13"/>
  <c r="CZ62" i="13"/>
  <c r="W60" i="18"/>
  <c r="Z60" i="13" s="1"/>
  <c r="K69" i="13"/>
  <c r="S80" i="18"/>
  <c r="Y80" i="13" s="1"/>
  <c r="DD12" i="13"/>
  <c r="W65" i="18"/>
  <c r="Z65" i="13" s="1"/>
  <c r="AH110" i="13"/>
  <c r="AV112" i="13"/>
  <c r="G27" i="15"/>
  <c r="M46" i="13" s="1"/>
  <c r="CX46" i="13" s="1"/>
  <c r="W84" i="18"/>
  <c r="Z84" i="13" s="1"/>
  <c r="S81" i="18"/>
  <c r="Y81" i="13" s="1"/>
  <c r="G67" i="21"/>
  <c r="AH67" i="13" s="1"/>
  <c r="O22" i="19"/>
  <c r="AC22" i="13" s="1"/>
  <c r="AC113" i="13" s="1"/>
  <c r="G38" i="15"/>
  <c r="M62" i="13" s="1"/>
  <c r="CX62" i="13" s="1"/>
  <c r="G58" i="15"/>
  <c r="M93" i="13" s="1"/>
  <c r="CX93" i="13" s="1"/>
  <c r="S85" i="18"/>
  <c r="Y85" i="13" s="1"/>
  <c r="G31" i="19"/>
  <c r="AA31" i="13" s="1"/>
  <c r="AA116" i="13" s="1"/>
  <c r="M97" i="13"/>
  <c r="CX97" i="13" s="1"/>
  <c r="U114" i="13"/>
  <c r="M100" i="13"/>
  <c r="M45" i="13"/>
  <c r="CX45" i="13" s="1"/>
  <c r="W50" i="18"/>
  <c r="Z50" i="13" s="1"/>
  <c r="G95" i="18"/>
  <c r="V95" i="13" s="1"/>
  <c r="G45" i="15"/>
  <c r="M73" i="13" s="1"/>
  <c r="CX73" i="13" s="1"/>
  <c r="CQ30" i="12" s="1"/>
  <c r="G49" i="16"/>
  <c r="O49" i="13" s="1"/>
  <c r="AF108" i="13"/>
  <c r="DC32" i="13"/>
  <c r="DA15" i="12" s="1"/>
  <c r="G60" i="16"/>
  <c r="O60" i="13" s="1"/>
  <c r="S65" i="18"/>
  <c r="Y65" i="13" s="1"/>
  <c r="DB46" i="13"/>
  <c r="G66" i="15"/>
  <c r="M105" i="13" s="1"/>
  <c r="CX105" i="13" s="1"/>
  <c r="G25" i="15"/>
  <c r="M43" i="13" s="1"/>
  <c r="CX43" i="13" s="1"/>
  <c r="K52" i="18"/>
  <c r="W52" i="13" s="1"/>
  <c r="W55" i="18"/>
  <c r="Z55" i="13" s="1"/>
  <c r="O31" i="18"/>
  <c r="X31" i="13" s="1"/>
  <c r="X107" i="13" s="1"/>
  <c r="S92" i="18"/>
  <c r="Y92" i="13" s="1"/>
  <c r="AF111" i="13"/>
  <c r="G62" i="15"/>
  <c r="M99" i="13" s="1"/>
  <c r="CX99" i="13" s="1"/>
  <c r="AF114" i="13"/>
  <c r="G50" i="16"/>
  <c r="O50" i="13" s="1"/>
  <c r="CZ22" i="13"/>
  <c r="W81" i="18"/>
  <c r="Z81" i="13" s="1"/>
  <c r="M42" i="13"/>
  <c r="CX42" i="13" s="1"/>
  <c r="S56" i="18"/>
  <c r="Y56" i="13" s="1"/>
  <c r="G64" i="15"/>
  <c r="M102" i="13" s="1"/>
  <c r="K31" i="19"/>
  <c r="AB31" i="13" s="1"/>
  <c r="AB107" i="13" s="1"/>
  <c r="DB93" i="13"/>
  <c r="M22" i="13"/>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14" i="15"/>
  <c r="M23" i="13" s="1"/>
  <c r="CX23" i="13" s="1"/>
  <c r="G12" i="19"/>
  <c r="AA12" i="13" s="1"/>
  <c r="G4"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F69" i="13"/>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M69" i="13"/>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44" i="15"/>
  <c r="M71" i="13" s="1"/>
  <c r="CX71" i="13" s="1"/>
  <c r="K105" i="16"/>
  <c r="P99" i="13" s="1"/>
  <c r="CY99" i="13" s="1"/>
  <c r="G78" i="16"/>
  <c r="O78" i="13" s="1"/>
  <c r="G54" i="16"/>
  <c r="O54" i="13" s="1"/>
  <c r="S60" i="18"/>
  <c r="Y60" i="13" s="1"/>
  <c r="G82" i="16"/>
  <c r="O82" i="13" s="1"/>
  <c r="G12" i="15"/>
  <c r="M20" i="13" s="1"/>
  <c r="CX20" i="13" s="1"/>
  <c r="K38" i="18"/>
  <c r="W38" i="13" s="1"/>
  <c r="G69" i="18"/>
  <c r="V69" i="13" s="1"/>
  <c r="DB78" i="13"/>
  <c r="S22" i="19"/>
  <c r="AD22" i="13" s="1"/>
  <c r="G13"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M5" i="13"/>
  <c r="CX5" i="13" s="1"/>
  <c r="O52" i="16"/>
  <c r="Q52" i="13" s="1"/>
  <c r="DA27" i="13"/>
  <c r="G94" i="18"/>
  <c r="V94" i="13" s="1"/>
  <c r="DB92" i="13"/>
  <c r="CZ32" i="13"/>
  <c r="G97" i="16"/>
  <c r="O91" i="13" s="1"/>
  <c r="J104" i="13"/>
  <c r="S116" i="13"/>
  <c r="J103" i="13"/>
  <c r="K81" i="16"/>
  <c r="P81" i="13" s="1"/>
  <c r="G91" i="16"/>
  <c r="DB52" i="13"/>
  <c r="G83" i="16"/>
  <c r="O83" i="13" s="1"/>
  <c r="S66" i="18"/>
  <c r="Y66" i="13" s="1"/>
  <c r="DB81" i="13"/>
  <c r="O24" i="18"/>
  <c r="X24" i="13" s="1"/>
  <c r="W23" i="19"/>
  <c r="AE23" i="13" s="1"/>
  <c r="AE117" i="13" s="1"/>
  <c r="O80" i="16"/>
  <c r="Q80" i="13" s="1"/>
  <c r="E19" i="13"/>
  <c r="M38" i="13"/>
  <c r="CX38" i="13" s="1"/>
  <c r="G72" i="16"/>
  <c r="O72" i="13" s="1"/>
  <c r="K24" i="16"/>
  <c r="P24" i="13" s="1"/>
  <c r="W67" i="18"/>
  <c r="Z67" i="13" s="1"/>
  <c r="O14" i="19"/>
  <c r="AC14" i="13" s="1"/>
  <c r="O38" i="18"/>
  <c r="X38" i="13" s="1"/>
  <c r="E39" i="13"/>
  <c r="CZ53" i="13"/>
  <c r="G6"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37" i="15"/>
  <c r="M61" i="13" s="1"/>
  <c r="CX61" i="13" s="1"/>
  <c r="K78" i="16"/>
  <c r="P78" i="13" s="1"/>
  <c r="K79" i="16"/>
  <c r="P79" i="13" s="1"/>
  <c r="L69" i="13"/>
  <c r="K92" i="16"/>
  <c r="K83" i="16"/>
  <c r="P83" i="13" s="1"/>
  <c r="G23"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J44" i="13"/>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8" i="15"/>
  <c r="M13" i="13" s="1"/>
  <c r="CX13" i="13" s="1"/>
  <c r="CQ8" i="12" s="1"/>
  <c r="O70" i="16"/>
  <c r="Q70" i="13" s="1"/>
  <c r="G10" i="16"/>
  <c r="O10" i="13" s="1"/>
  <c r="K46" i="16"/>
  <c r="P46" i="13" s="1"/>
  <c r="K96" i="16"/>
  <c r="P90" i="13" s="1"/>
  <c r="K70" i="18"/>
  <c r="W70" i="13" s="1"/>
  <c r="AS108" i="13"/>
  <c r="O71" i="16"/>
  <c r="Q71" i="13" s="1"/>
  <c r="CX19" i="13"/>
  <c r="M31" i="13"/>
  <c r="K53" i="16"/>
  <c r="P53" i="13" s="1"/>
  <c r="O78" i="16"/>
  <c r="Q78" i="13" s="1"/>
  <c r="S50" i="18"/>
  <c r="Y50" i="13" s="1"/>
  <c r="K82" i="18"/>
  <c r="W82" i="13" s="1"/>
  <c r="M72" i="13"/>
  <c r="CX72" i="13" s="1"/>
  <c r="O64" i="16"/>
  <c r="Q64" i="13" s="1"/>
  <c r="CY95" i="13"/>
  <c r="O68" i="16"/>
  <c r="Q68" i="13" s="1"/>
  <c r="K55" i="16"/>
  <c r="P55" i="13" s="1"/>
  <c r="G43" i="15"/>
  <c r="M70" i="13" s="1"/>
  <c r="CX70" i="13" s="1"/>
  <c r="G45" i="16"/>
  <c r="O45" i="13" s="1"/>
  <c r="G46" i="14"/>
  <c r="E73" i="13" s="1"/>
  <c r="K49" i="16"/>
  <c r="P49" i="13" s="1"/>
  <c r="G9" i="15"/>
  <c r="M14" i="13" s="1"/>
  <c r="CX14" i="13" s="1"/>
  <c r="G26" i="15"/>
  <c r="M44" i="13" s="1"/>
  <c r="G38" i="16"/>
  <c r="O38" i="13" s="1"/>
  <c r="J93" i="13"/>
  <c r="G31" i="16"/>
  <c r="O31" i="13" s="1"/>
  <c r="G86" i="16"/>
  <c r="O86" i="13" s="1"/>
  <c r="R108" i="13"/>
  <c r="K10" i="16"/>
  <c r="P10" i="13" s="1"/>
  <c r="K64" i="16"/>
  <c r="P64" i="13" s="1"/>
  <c r="K7" i="16"/>
  <c r="P7" i="13" s="1"/>
  <c r="O74" i="16"/>
  <c r="Q74" i="13" s="1"/>
  <c r="G9" i="16"/>
  <c r="O9" i="13" s="1"/>
  <c r="T109" i="13"/>
  <c r="BX118" i="13"/>
  <c r="E72" i="13"/>
  <c r="K66" i="16"/>
  <c r="P66" i="13" s="1"/>
  <c r="T112" i="13"/>
  <c r="O73" i="16"/>
  <c r="Q73" i="13" s="1"/>
  <c r="CY94" i="13"/>
  <c r="CZ33" i="13"/>
  <c r="T115" i="13"/>
  <c r="O53" i="16"/>
  <c r="Q53" i="13" s="1"/>
  <c r="G62" i="16"/>
  <c r="O62" i="13" s="1"/>
  <c r="J40" i="13"/>
  <c r="K60" i="16"/>
  <c r="P60" i="13" s="1"/>
  <c r="O84" i="16"/>
  <c r="Q84" i="13" s="1"/>
  <c r="K98" i="16"/>
  <c r="P92" i="13" s="1"/>
  <c r="CZ61" i="13"/>
  <c r="O81" i="16"/>
  <c r="Q81" i="13" s="1"/>
  <c r="K71" i="16"/>
  <c r="P71" i="13" s="1"/>
  <c r="G19" i="15"/>
  <c r="M32" i="13" s="1"/>
  <c r="CX32" i="13" s="1"/>
  <c r="K47" i="16"/>
  <c r="P47" i="13" s="1"/>
  <c r="O83" i="16"/>
  <c r="Q83" i="13" s="1"/>
  <c r="J20" i="13"/>
  <c r="G63" i="15"/>
  <c r="M101" i="13" s="1"/>
  <c r="CX101" i="13" s="1"/>
  <c r="J24" i="13"/>
  <c r="K31" i="16"/>
  <c r="P31" i="13" s="1"/>
  <c r="K33" i="16"/>
  <c r="P33" i="13" s="1"/>
  <c r="O48" i="16"/>
  <c r="Q48" i="13" s="1"/>
  <c r="G36" i="16"/>
  <c r="O36" i="13" s="1"/>
  <c r="G24" i="16"/>
  <c r="O24" i="13" s="1"/>
  <c r="K62" i="16"/>
  <c r="P62" i="13" s="1"/>
  <c r="M8" i="13"/>
  <c r="CX8" i="13" s="1"/>
  <c r="G35" i="16"/>
  <c r="O35" i="13" s="1"/>
  <c r="O66" i="16"/>
  <c r="Q66" i="13" s="1"/>
  <c r="CY96" i="13"/>
  <c r="G22" i="16"/>
  <c r="O22" i="13" s="1"/>
  <c r="CY22" i="13" s="1"/>
  <c r="G6" i="16"/>
  <c r="O6" i="13" s="1"/>
  <c r="G12" i="16"/>
  <c r="O12" i="13" s="1"/>
  <c r="K9" i="16"/>
  <c r="P9" i="13" s="1"/>
  <c r="G23" i="16"/>
  <c r="O23" i="13" s="1"/>
  <c r="G33" i="16"/>
  <c r="O33" i="13" s="1"/>
  <c r="J105" i="13"/>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L23" i="13"/>
  <c r="K74" i="13"/>
  <c r="J39" i="13"/>
  <c r="K93" i="13"/>
  <c r="G7" i="16"/>
  <c r="O7" i="13" s="1"/>
  <c r="K40" i="13"/>
  <c r="K6" i="16"/>
  <c r="P6" i="13" s="1"/>
  <c r="K67" i="16"/>
  <c r="P67" i="13" s="1"/>
  <c r="G8" i="16"/>
  <c r="O8" i="13" s="1"/>
  <c r="K70" i="13"/>
  <c r="L93" i="13"/>
  <c r="J43" i="13"/>
  <c r="AV116" i="13"/>
  <c r="J42" i="13"/>
  <c r="G15" i="14"/>
  <c r="E24" i="13" s="1"/>
  <c r="AY107" i="13"/>
  <c r="G69" i="16"/>
  <c r="O69" i="13" s="1"/>
  <c r="L46" i="13"/>
  <c r="J92" i="13"/>
  <c r="AT108" i="13"/>
  <c r="L38" i="13"/>
  <c r="O72" i="16"/>
  <c r="Q72" i="13" s="1"/>
  <c r="M60" i="13"/>
  <c r="CX60" i="13" s="1"/>
  <c r="G29" i="14"/>
  <c r="E47" i="13" s="1"/>
  <c r="L61" i="13"/>
  <c r="AE107" i="13"/>
  <c r="L104" i="13"/>
  <c r="G47" i="14"/>
  <c r="E74" i="13" s="1"/>
  <c r="K45" i="13"/>
  <c r="J73" i="13"/>
  <c r="G28" i="14"/>
  <c r="E46" i="13" s="1"/>
  <c r="K42" i="13"/>
  <c r="G69" i="13"/>
  <c r="L70" i="13"/>
  <c r="DN70" i="13"/>
  <c r="DW29" i="12" s="1"/>
  <c r="K23" i="13"/>
  <c r="G25" i="14"/>
  <c r="E40" i="13" s="1"/>
  <c r="K103" i="13"/>
  <c r="G44" i="14"/>
  <c r="E70" i="13" s="1"/>
  <c r="K71" i="13"/>
  <c r="K22" i="13"/>
  <c r="L39" i="13"/>
  <c r="L62" i="13"/>
  <c r="L105" i="13"/>
  <c r="K47" i="13"/>
  <c r="F71" i="13"/>
  <c r="L91" i="13"/>
  <c r="L20" i="13"/>
  <c r="K92" i="13"/>
  <c r="E69" i="13"/>
  <c r="AY113" i="13"/>
  <c r="E91" i="13"/>
  <c r="F70" i="13"/>
  <c r="G66" i="14"/>
  <c r="E104" i="13" s="1"/>
  <c r="G58" i="14"/>
  <c r="E92" i="13" s="1"/>
  <c r="L24" i="13"/>
  <c r="BO113" i="13"/>
  <c r="CI110" i="13"/>
  <c r="CF107" i="13"/>
  <c r="K91" i="13"/>
  <c r="L74" i="13"/>
  <c r="E22" i="13"/>
  <c r="K73" i="13"/>
  <c r="G67" i="14"/>
  <c r="E105" i="13" s="1"/>
  <c r="K105" i="13"/>
  <c r="L73" i="13"/>
  <c r="G71" i="13"/>
  <c r="F43" i="13"/>
  <c r="K62" i="13"/>
  <c r="F45" i="13"/>
  <c r="I19" i="13"/>
  <c r="G45" i="14"/>
  <c r="E71" i="13" s="1"/>
  <c r="J74" i="13"/>
  <c r="K72" i="13"/>
  <c r="K46" i="13"/>
  <c r="G59" i="14"/>
  <c r="E93" i="13" s="1"/>
  <c r="L22" i="13"/>
  <c r="J22" i="13"/>
  <c r="K104" i="13"/>
  <c r="E38" i="13"/>
  <c r="K7" i="80"/>
  <c r="AL7" i="13" s="1"/>
  <c r="BB115" i="13"/>
  <c r="I21" i="13"/>
  <c r="K61" i="13"/>
  <c r="E60" i="13"/>
  <c r="DE54" i="13"/>
  <c r="F104" i="13"/>
  <c r="G27" i="14"/>
  <c r="E44" i="13" s="1"/>
  <c r="BX117" i="13"/>
  <c r="BC117" i="13"/>
  <c r="H71" i="13"/>
  <c r="E43" i="13"/>
  <c r="F42" i="13"/>
  <c r="BO114" i="13"/>
  <c r="BO115" i="13"/>
  <c r="L43" i="13"/>
  <c r="L19" i="13"/>
  <c r="K24" i="13"/>
  <c r="G38" i="14"/>
  <c r="E61" i="13" s="1"/>
  <c r="F93" i="13"/>
  <c r="L92" i="13"/>
  <c r="E45" i="13"/>
  <c r="L72" i="13"/>
  <c r="G14" i="14"/>
  <c r="E23" i="13" s="1"/>
  <c r="L103" i="13"/>
  <c r="CI116" i="13"/>
  <c r="K60" i="13"/>
  <c r="CI107" i="13"/>
  <c r="BC116" i="13"/>
  <c r="L45" i="13"/>
  <c r="R111" i="13"/>
  <c r="L40" i="13"/>
  <c r="F46" i="13"/>
  <c r="R117" i="13"/>
  <c r="K95" i="80"/>
  <c r="AL95" i="13" s="1"/>
  <c r="K38" i="13"/>
  <c r="H47" i="13"/>
  <c r="N118" i="13"/>
  <c r="AS110" i="13"/>
  <c r="AS113" i="13"/>
  <c r="L47" i="13"/>
  <c r="N111" i="13"/>
  <c r="BB117" i="13"/>
  <c r="DE102" i="13"/>
  <c r="AV108" i="13"/>
  <c r="F74" i="13"/>
  <c r="AS116" i="13"/>
  <c r="F19" i="13"/>
  <c r="G13" i="80"/>
  <c r="AK13" i="13" s="1"/>
  <c r="F21" i="13"/>
  <c r="AA115" i="13"/>
  <c r="F22" i="13"/>
  <c r="BX111" i="13"/>
  <c r="F92" i="13"/>
  <c r="H73" i="13"/>
  <c r="N110" i="13"/>
  <c r="H93" i="13"/>
  <c r="F91" i="13"/>
  <c r="H38" i="13"/>
  <c r="DN69" i="13"/>
  <c r="DN72" i="13"/>
  <c r="AT117" i="13"/>
  <c r="BT115" i="13"/>
  <c r="F23" i="13"/>
  <c r="H103" i="13"/>
  <c r="J23" i="13"/>
  <c r="H62" i="13"/>
  <c r="CI112" i="13"/>
  <c r="J60" i="13"/>
  <c r="CI117" i="13"/>
  <c r="H45" i="13"/>
  <c r="F39" i="13"/>
  <c r="R110" i="13"/>
  <c r="BL117" i="13"/>
  <c r="J91" i="13"/>
  <c r="H39" i="13"/>
  <c r="BN115" i="13"/>
  <c r="H42" i="13"/>
  <c r="J62" i="13"/>
  <c r="AS115" i="13"/>
  <c r="L44" i="13"/>
  <c r="F72" i="13"/>
  <c r="BC115" i="13"/>
  <c r="G73" i="13"/>
  <c r="DN73" i="13"/>
  <c r="DE86" i="13"/>
  <c r="G105" i="80"/>
  <c r="AK105" i="13" s="1"/>
  <c r="CO112" i="13"/>
  <c r="N109" i="13"/>
  <c r="BR113" i="13"/>
  <c r="R107" i="13"/>
  <c r="F61" i="13"/>
  <c r="CO109" i="13"/>
  <c r="R116" i="13"/>
  <c r="J70" i="13"/>
  <c r="G70" i="13"/>
  <c r="F105" i="13"/>
  <c r="AA109" i="13"/>
  <c r="DE101" i="13"/>
  <c r="J38" i="13"/>
  <c r="CB109" i="13"/>
  <c r="CF116" i="13"/>
  <c r="H104" i="13"/>
  <c r="AZ117" i="13"/>
  <c r="H91" i="13"/>
  <c r="L21" i="13"/>
  <c r="AZ108" i="13"/>
  <c r="H44" i="13"/>
  <c r="CF110" i="13"/>
  <c r="H70" i="13"/>
  <c r="CW94" i="13"/>
  <c r="H22" i="13"/>
  <c r="K19" i="13"/>
  <c r="J45" i="13"/>
  <c r="AS118" i="13"/>
  <c r="J69" i="13"/>
  <c r="F44" i="13"/>
  <c r="L42" i="13"/>
  <c r="AA112" i="13"/>
  <c r="I43" i="13"/>
  <c r="AS112" i="13"/>
  <c r="BA115" i="13"/>
  <c r="H43" i="13"/>
  <c r="J72" i="13"/>
  <c r="G13" i="14"/>
  <c r="E21" i="13" s="1"/>
  <c r="AZ114" i="13"/>
  <c r="H69" i="13"/>
  <c r="H60" i="13"/>
  <c r="F40" i="13"/>
  <c r="CO115" i="13"/>
  <c r="BM117" i="13"/>
  <c r="CD115" i="13"/>
  <c r="CF108" i="13"/>
  <c r="F38" i="13"/>
  <c r="AE112" i="13"/>
  <c r="R109" i="13"/>
  <c r="H72" i="13"/>
  <c r="J46" i="13"/>
  <c r="BD115" i="13"/>
  <c r="H92" i="13"/>
  <c r="H61" i="13"/>
  <c r="K20" i="13"/>
  <c r="H105" i="13"/>
  <c r="CW36" i="13"/>
  <c r="CW96" i="13"/>
  <c r="R113" i="13"/>
  <c r="F103" i="13"/>
  <c r="K44" i="13"/>
  <c r="H40" i="13"/>
  <c r="R114" i="13"/>
  <c r="BN113" i="13"/>
  <c r="K13" i="80"/>
  <c r="AL13" i="13" s="1"/>
  <c r="F24" i="13"/>
  <c r="G12" i="14"/>
  <c r="E20" i="13" s="1"/>
  <c r="H23" i="13"/>
  <c r="H46" i="13"/>
  <c r="CF117" i="13"/>
  <c r="CO107" i="13"/>
  <c r="BR114" i="13"/>
  <c r="CF114" i="13"/>
  <c r="CF113" i="13"/>
  <c r="F62" i="13"/>
  <c r="E42" i="13"/>
  <c r="CF111" i="13"/>
  <c r="AV110" i="13"/>
  <c r="G104" i="80"/>
  <c r="AK104" i="13" s="1"/>
  <c r="AZ113" i="13"/>
  <c r="F20" i="13"/>
  <c r="DO12" i="13"/>
  <c r="K10" i="80"/>
  <c r="AL10" i="13" s="1"/>
  <c r="CX40" i="13"/>
  <c r="DE28" i="13"/>
  <c r="BA116" i="13"/>
  <c r="CO110" i="13"/>
  <c r="AC107" i="13"/>
  <c r="BX112" i="13"/>
  <c r="H74" i="13"/>
  <c r="CW95" i="13"/>
  <c r="CB113" i="13"/>
  <c r="BX116" i="13"/>
  <c r="G38" i="80"/>
  <c r="AK38" i="13" s="1"/>
  <c r="DE42" i="13"/>
  <c r="K105" i="80"/>
  <c r="AL105" i="13" s="1"/>
  <c r="CI108" i="13"/>
  <c r="BN114" i="13"/>
  <c r="CI111" i="13"/>
  <c r="CI114" i="13"/>
  <c r="BX110" i="13"/>
  <c r="CA114" i="13"/>
  <c r="CI115" i="13"/>
  <c r="F73" i="13"/>
  <c r="DE44" i="13"/>
  <c r="BF117" i="13"/>
  <c r="BX114" i="13"/>
  <c r="BI114" i="13"/>
  <c r="K21" i="13"/>
  <c r="CB116" i="13"/>
  <c r="CB111" i="13"/>
  <c r="BX115" i="13"/>
  <c r="G6" i="80"/>
  <c r="AK6" i="13" s="1"/>
  <c r="J19" i="13"/>
  <c r="AJ115" i="13"/>
  <c r="BW117" i="13"/>
  <c r="J21" i="13"/>
  <c r="BT113" i="13"/>
  <c r="BT118" i="13"/>
  <c r="BT117" i="13"/>
  <c r="CI118" i="13"/>
  <c r="CW34" i="13"/>
  <c r="CF109" i="13"/>
  <c r="AV107" i="13"/>
  <c r="N112" i="13"/>
  <c r="J71" i="13"/>
  <c r="CO118" i="13"/>
  <c r="K40" i="80"/>
  <c r="AL40" i="13" s="1"/>
  <c r="N108" i="13"/>
  <c r="CB107" i="13"/>
  <c r="BX113" i="13"/>
  <c r="CW35" i="13"/>
  <c r="DM23" i="13"/>
  <c r="CB117" i="13"/>
  <c r="N115" i="13"/>
  <c r="BR115" i="13"/>
  <c r="CB108" i="13"/>
  <c r="CB110" i="13"/>
  <c r="I20" i="13"/>
  <c r="K5" i="80"/>
  <c r="AL5" i="13" s="1"/>
  <c r="K96" i="80"/>
  <c r="AL96" i="13" s="1"/>
  <c r="K103" i="80"/>
  <c r="AL103" i="13" s="1"/>
  <c r="BD117" i="13"/>
  <c r="BB116" i="13"/>
  <c r="AJ114" i="13"/>
  <c r="BH117" i="13"/>
  <c r="BR110" i="13"/>
  <c r="I44" i="13"/>
  <c r="N117" i="13"/>
  <c r="G7" i="80"/>
  <c r="AK7" i="13" s="1"/>
  <c r="DE35" i="13"/>
  <c r="DE84" i="13"/>
  <c r="AE111" i="13"/>
  <c r="BT111" i="13"/>
  <c r="CF115" i="13"/>
  <c r="G91" i="80"/>
  <c r="AK91" i="13" s="1"/>
  <c r="AJ113" i="13"/>
  <c r="CA115" i="13"/>
  <c r="AT114" i="13"/>
  <c r="BD116" i="13"/>
  <c r="CO108" i="13"/>
  <c r="R112" i="13"/>
  <c r="R118" i="13"/>
  <c r="DE56" i="13"/>
  <c r="CF112" i="13"/>
  <c r="K43" i="13"/>
  <c r="CW29" i="13"/>
  <c r="N116" i="13"/>
  <c r="G12" i="80"/>
  <c r="AK12" i="13" s="1"/>
  <c r="CW30" i="13"/>
  <c r="CB114" i="13"/>
  <c r="N114" i="13"/>
  <c r="K91" i="80"/>
  <c r="AL91" i="13" s="1"/>
  <c r="K104" i="80"/>
  <c r="AL104" i="13" s="1"/>
  <c r="CF118" i="13"/>
  <c r="BL110" i="13"/>
  <c r="DJ23" i="13"/>
  <c r="R115" i="13"/>
  <c r="I42" i="13"/>
  <c r="G60" i="80"/>
  <c r="AK60" i="13" s="1"/>
  <c r="G95" i="80"/>
  <c r="AK95" i="13" s="1"/>
  <c r="K9" i="80"/>
  <c r="AL9" i="13" s="1"/>
  <c r="G22" i="80"/>
  <c r="AK22" i="13" s="1"/>
  <c r="CW28" i="13"/>
  <c r="N107" i="13"/>
  <c r="DE29" i="13"/>
  <c r="DE59" i="13"/>
  <c r="N113" i="13"/>
  <c r="BT114" i="13"/>
  <c r="G39" i="80"/>
  <c r="AK39" i="13" s="1"/>
  <c r="DE55" i="13"/>
  <c r="K31" i="13"/>
  <c r="K12" i="13"/>
  <c r="CW78" i="13"/>
  <c r="G9" i="14"/>
  <c r="E14" i="13" s="1"/>
  <c r="G21" i="14"/>
  <c r="E33" i="13" s="1"/>
  <c r="G61" i="80"/>
  <c r="AK61" i="13" s="1"/>
  <c r="K60" i="80"/>
  <c r="AL60" i="13" s="1"/>
  <c r="CV29" i="13"/>
  <c r="E108" i="80"/>
  <c r="K23" i="80"/>
  <c r="AL23" i="13" s="1"/>
  <c r="K92" i="80"/>
  <c r="AL92" i="13" s="1"/>
  <c r="K62" i="80"/>
  <c r="AL62" i="13" s="1"/>
  <c r="AV117" i="13"/>
  <c r="H12" i="13"/>
  <c r="H31" i="13"/>
  <c r="G32" i="13"/>
  <c r="G13" i="13"/>
  <c r="E13" i="13"/>
  <c r="G20" i="14"/>
  <c r="E32" i="13" s="1"/>
  <c r="DE34" i="13"/>
  <c r="K94" i="80"/>
  <c r="AL94" i="13" s="1"/>
  <c r="G92" i="80"/>
  <c r="AK92" i="13" s="1"/>
  <c r="H14" i="13"/>
  <c r="H33" i="13"/>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J32" i="13"/>
  <c r="J13" i="13"/>
  <c r="CW86" i="13"/>
  <c r="CW51" i="13"/>
  <c r="K39" i="80"/>
  <c r="AL39" i="13" s="1"/>
  <c r="G93" i="80"/>
  <c r="AK93" i="13" s="1"/>
  <c r="DE100" i="13"/>
  <c r="D109" i="80"/>
  <c r="G9" i="80"/>
  <c r="AK9" i="13" s="1"/>
  <c r="CV30" i="13"/>
  <c r="DE30" i="13"/>
  <c r="CW79" i="13"/>
  <c r="CW52" i="13"/>
  <c r="K38" i="80"/>
  <c r="AL38" i="13" s="1"/>
  <c r="K12" i="80"/>
  <c r="AL12" i="13" s="1"/>
  <c r="DJ12" i="13"/>
  <c r="CV28" i="13"/>
  <c r="BA114" i="13"/>
  <c r="CW53" i="13"/>
  <c r="F13" i="13"/>
  <c r="F32" i="13"/>
  <c r="G40" i="80"/>
  <c r="AK40" i="13" s="1"/>
  <c r="K14" i="80"/>
  <c r="AL14" i="13" s="1"/>
  <c r="DJ22" i="13"/>
  <c r="DJ14" i="13"/>
  <c r="CW57" i="13"/>
  <c r="CV57" i="13"/>
  <c r="I12" i="13"/>
  <c r="I31" i="13"/>
  <c r="K61" i="80"/>
  <c r="AL61" i="13" s="1"/>
  <c r="G103" i="80"/>
  <c r="AK103" i="13" s="1"/>
  <c r="DJ24" i="13"/>
  <c r="H32" i="13"/>
  <c r="H13" i="13"/>
  <c r="CW81" i="13"/>
  <c r="CV58" i="13"/>
  <c r="CW58" i="13"/>
  <c r="I13" i="13"/>
  <c r="I32" i="13"/>
  <c r="F33" i="13"/>
  <c r="F14" i="13"/>
  <c r="D110" i="80"/>
  <c r="G10" i="80"/>
  <c r="AK10" i="13" s="1"/>
  <c r="DE36" i="13"/>
  <c r="DE85" i="13"/>
  <c r="K22" i="80"/>
  <c r="AL22" i="13" s="1"/>
  <c r="BA117" i="13"/>
  <c r="DJ13" i="13"/>
  <c r="DO8" i="12" s="1"/>
  <c r="G12" i="13"/>
  <c r="G31" i="13"/>
  <c r="CW101" i="13"/>
  <c r="CW59" i="13"/>
  <c r="CV59" i="13"/>
  <c r="L32" i="13"/>
  <c r="L13" i="13"/>
  <c r="L31" i="13"/>
  <c r="L12" i="13"/>
  <c r="K24" i="80"/>
  <c r="AL24" i="13" s="1"/>
  <c r="G14" i="80"/>
  <c r="AK14" i="13" s="1"/>
  <c r="G33" i="13"/>
  <c r="G14" i="13"/>
  <c r="K32" i="13"/>
  <c r="K13" i="13"/>
  <c r="CW82" i="13"/>
  <c r="I14" i="13"/>
  <c r="I33" i="13"/>
  <c r="F31" i="13"/>
  <c r="F12" i="13"/>
  <c r="L33" i="13"/>
  <c r="L14" i="13"/>
  <c r="J33" i="13"/>
  <c r="J14" i="13"/>
  <c r="CW83" i="13"/>
  <c r="CW100" i="13"/>
  <c r="E109" i="80"/>
  <c r="G24" i="80"/>
  <c r="AK24" i="13" s="1"/>
  <c r="J31" i="13"/>
  <c r="J12" i="13"/>
  <c r="K33" i="13"/>
  <c r="K14" i="13"/>
  <c r="CW85" i="13"/>
  <c r="DE43" i="13"/>
  <c r="E110" i="80"/>
  <c r="E12" i="13"/>
  <c r="E31" i="13"/>
  <c r="DE58" i="13"/>
  <c r="DE57" i="13"/>
  <c r="AH15" i="1"/>
  <c r="AI30" i="1"/>
  <c r="AI15" i="1"/>
  <c r="AG23" i="1"/>
  <c r="AF7" i="1"/>
  <c r="AM10" i="1"/>
  <c r="AN19" i="1"/>
  <c r="AH23" i="1"/>
  <c r="AM5" i="1"/>
  <c r="AM19" i="1"/>
  <c r="AJ10" i="1"/>
  <c r="AN16" i="1"/>
  <c r="AG11" i="1"/>
  <c r="AF19" i="1"/>
  <c r="AK28" i="1"/>
  <c r="AI7" i="1"/>
  <c r="AJ27" i="1"/>
  <c r="AK16" i="1"/>
  <c r="AP25" i="1"/>
  <c r="AQ23" i="1"/>
  <c r="AK19" i="1"/>
  <c r="AL26" i="1"/>
  <c r="AM30" i="1"/>
  <c r="AH31" i="1"/>
  <c r="AQ14" i="1"/>
  <c r="AO27" i="1"/>
  <c r="AQ32" i="1"/>
  <c r="AJ20" i="1"/>
  <c r="AG25" i="1"/>
  <c r="AH30" i="1"/>
  <c r="AF30" i="1"/>
  <c r="AN7" i="1"/>
  <c r="AH20" i="1"/>
  <c r="AG21" i="1"/>
  <c r="AJ15" i="1"/>
  <c r="AN27" i="1"/>
  <c r="AG30" i="1"/>
  <c r="AN9" i="1"/>
  <c r="AK17" i="1"/>
  <c r="AL16" i="1"/>
  <c r="AF11" i="1"/>
  <c r="AF31" i="1"/>
  <c r="AQ7" i="1"/>
  <c r="AJ23" i="1"/>
  <c r="AN20" i="1"/>
  <c r="AO14" i="1"/>
  <c r="AJ30" i="1"/>
  <c r="AG5" i="1"/>
  <c r="AP11" i="1"/>
  <c r="AM21" i="1"/>
  <c r="AP22" i="1"/>
  <c r="AI22" i="1"/>
  <c r="AF24" i="1"/>
  <c r="AF13" i="1"/>
  <c r="AG7" i="1"/>
  <c r="AI25" i="1"/>
  <c r="AH5" i="1"/>
  <c r="AF25" i="1"/>
  <c r="AL20" i="1"/>
  <c r="AO19" i="1"/>
  <c r="AH19" i="1"/>
  <c r="AI21" i="1"/>
  <c r="AI19" i="1"/>
  <c r="AM22" i="1"/>
  <c r="AO5" i="1"/>
  <c r="AP5" i="1"/>
  <c r="AL15" i="1"/>
  <c r="AF17" i="1"/>
  <c r="AM15" i="1"/>
  <c r="AP26" i="1"/>
  <c r="AP17" i="1"/>
  <c r="AG27" i="1"/>
  <c r="AM26" i="1"/>
  <c r="AP16" i="1"/>
  <c r="AQ27" i="1"/>
  <c r="AF23" i="1"/>
  <c r="AM7" i="1"/>
  <c r="AM24" i="1"/>
  <c r="AK10" i="1"/>
  <c r="AN31" i="1"/>
  <c r="AQ5" i="1"/>
  <c r="AH17" i="1"/>
  <c r="AN32" i="1"/>
  <c r="AG26" i="1"/>
  <c r="AO26" i="1"/>
  <c r="AK22" i="1"/>
  <c r="AO28" i="1"/>
  <c r="AF28" i="1"/>
  <c r="AI20" i="1"/>
  <c r="AG28" i="1"/>
  <c r="AM16" i="1"/>
  <c r="AJ11" i="1"/>
  <c r="AP23" i="1"/>
  <c r="AF27" i="1"/>
  <c r="AQ19" i="1"/>
  <c r="AK29" i="1"/>
  <c r="AJ28" i="1"/>
  <c r="AJ17" i="1"/>
  <c r="AP21" i="1"/>
  <c r="AQ28" i="1"/>
  <c r="AI5" i="1"/>
  <c r="AJ24" i="1"/>
  <c r="AJ19" i="1"/>
  <c r="AP24" i="1"/>
  <c r="AG16" i="1"/>
  <c r="AF22" i="1"/>
  <c r="AK25" i="1"/>
  <c r="AL22" i="1"/>
  <c r="AK24" i="1"/>
  <c r="AN10" i="1"/>
  <c r="AN24" i="1"/>
  <c r="AP31" i="1"/>
  <c r="AL31" i="1"/>
  <c r="AL28" i="1"/>
  <c r="AQ25" i="1"/>
  <c r="AJ25" i="1"/>
  <c r="AI26" i="1"/>
  <c r="AF10" i="1"/>
  <c r="AH24" i="1"/>
  <c r="AO25" i="1"/>
  <c r="AI11" i="1"/>
  <c r="AF26" i="1"/>
  <c r="AH21" i="1"/>
  <c r="AO10" i="1"/>
  <c r="AJ32" i="1"/>
  <c r="AO17" i="1"/>
  <c r="AO20" i="1"/>
  <c r="AO15" i="1"/>
  <c r="AP28" i="1"/>
  <c r="AG31" i="1"/>
  <c r="AO11" i="1"/>
  <c r="AP14" i="1"/>
  <c r="AL19" i="1"/>
  <c r="AI28" i="1"/>
  <c r="AO32" i="1"/>
  <c r="AH11" i="1"/>
  <c r="AF21" i="1"/>
  <c r="AG15" i="1"/>
  <c r="AP10" i="1"/>
  <c r="AJ7" i="1"/>
  <c r="AN28" i="1"/>
  <c r="AK31" i="1"/>
  <c r="AG10" i="1"/>
  <c r="AH25" i="1"/>
  <c r="AH32" i="1"/>
  <c r="AO23" i="1"/>
  <c r="AQ31" i="1"/>
  <c r="AG22" i="1"/>
  <c r="AP7" i="1"/>
  <c r="AO16" i="1"/>
  <c r="AF5" i="1"/>
  <c r="AK27" i="1"/>
  <c r="AG9" i="1"/>
  <c r="AI31" i="1"/>
  <c r="AP32" i="1"/>
  <c r="AH16" i="1"/>
  <c r="AK11" i="1"/>
  <c r="AG17" i="1"/>
  <c r="AH7" i="1"/>
  <c r="AO7" i="1"/>
  <c r="AM14" i="1"/>
  <c r="AQ11" i="1"/>
  <c r="AI32" i="1"/>
  <c r="AL10" i="1"/>
  <c r="AF15" i="1"/>
  <c r="AJ5" i="1"/>
  <c r="AM27" i="1"/>
  <c r="AF16" i="1"/>
  <c r="AO21" i="1"/>
  <c r="AF20" i="1"/>
  <c r="AL27" i="1"/>
  <c r="AN5" i="1"/>
  <c r="AL5" i="1"/>
  <c r="AK7" i="1"/>
  <c r="AI24" i="1"/>
  <c r="AK5" i="1"/>
  <c r="AG32" i="1"/>
  <c r="AG14" i="1"/>
  <c r="AF9" i="1"/>
  <c r="AJ26" i="1"/>
  <c r="AG19" i="1"/>
  <c r="AQ16" i="1"/>
  <c r="AJ21" i="1"/>
  <c r="AP27" i="1"/>
  <c r="AO24" i="1"/>
  <c r="AI23" i="1"/>
  <c r="AM31" i="1"/>
  <c r="AI17" i="1"/>
  <c r="AQ20" i="1"/>
  <c r="AM28" i="1"/>
  <c r="AF32" i="1"/>
  <c r="AI27" i="1"/>
  <c r="AG24" i="1"/>
  <c r="AJ31" i="1"/>
  <c r="AG20" i="1"/>
  <c r="AK23" i="1"/>
  <c r="AQ17" i="1"/>
  <c r="AK32" i="1"/>
  <c r="AI10" i="1"/>
  <c r="AJ22" i="1"/>
  <c r="AH28" i="1"/>
  <c r="AO31" i="1"/>
  <c r="AH27" i="1"/>
  <c r="AH26" i="1"/>
  <c r="AQ10" i="1"/>
  <c r="AM32" i="1"/>
  <c r="AQ21" i="1"/>
  <c r="AL32" i="1"/>
  <c r="AJ14" i="1"/>
  <c r="AH22" i="1"/>
  <c r="AJ16" i="1"/>
  <c r="AL7" i="1"/>
  <c r="AM20" i="1"/>
  <c r="AH10" i="1"/>
  <c r="AL24" i="1"/>
  <c r="AN22" i="1"/>
  <c r="AI16" i="1"/>
  <c r="AP20" i="1"/>
  <c r="AQ24" i="1"/>
  <c r="AP19" i="1"/>
  <c r="AH9" i="1"/>
  <c r="AQ22" i="1"/>
  <c r="AO22" i="1"/>
  <c r="AK20"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J2" i="1"/>
  <c r="AL33" i="1"/>
  <c r="AP9" i="1"/>
  <c r="AK6" i="1"/>
  <c r="AL23" i="1"/>
  <c r="AO30" i="1"/>
  <c r="AL8" i="1"/>
  <c r="AK9" i="1"/>
  <c r="AO13" i="1"/>
  <c r="AK8" i="1"/>
  <c r="AK2" i="1"/>
  <c r="AM11" i="1"/>
  <c r="AH6" i="1"/>
  <c r="AQ8" i="1"/>
  <c r="AP29" i="1"/>
  <c r="AM6" i="1"/>
  <c r="AM29" i="1"/>
  <c r="AI33" i="1"/>
  <c r="AG6" i="1"/>
  <c r="AQ26" i="1"/>
  <c r="AQ13" i="1"/>
  <c r="AI29" i="1"/>
  <c r="AK12" i="1"/>
  <c r="AM12" i="1"/>
  <c r="AG12" i="1"/>
  <c r="AO12" i="1"/>
  <c r="AN25" i="1"/>
  <c r="AJ8" i="1"/>
  <c r="AP8" i="1"/>
  <c r="AF14" i="1"/>
  <c r="AN13" i="1"/>
  <c r="AG13" i="1"/>
  <c r="AK30" i="1"/>
  <c r="AN21" i="1"/>
  <c r="AP13" i="1"/>
  <c r="AI2" i="1"/>
  <c r="AL9" i="1"/>
  <c r="AP12" i="1"/>
  <c r="AM17" i="1"/>
  <c r="AN26" i="1"/>
  <c r="AF8" i="1"/>
  <c r="AI8" i="1"/>
  <c r="AL25" i="1"/>
  <c r="AP2" i="1"/>
  <c r="AP6" i="1"/>
  <c r="AG33" i="1"/>
  <c r="AF12" i="1"/>
  <c r="AQ12" i="1"/>
  <c r="AN29" i="1"/>
  <c r="AF6" i="1"/>
  <c r="AN30" i="1"/>
  <c r="AQ29" i="1"/>
  <c r="AK15" i="1"/>
  <c r="AQ2" i="1"/>
  <c r="AM25" i="1"/>
  <c r="AM9" i="1"/>
  <c r="AK33" i="1"/>
  <c r="AN12" i="1"/>
  <c r="AI6" i="1"/>
  <c r="AI13" i="1"/>
  <c r="AF33" i="1"/>
  <c r="AF2" i="1"/>
  <c r="AQ9" i="1"/>
  <c r="AL12" i="1"/>
  <c r="AL13" i="1"/>
  <c r="AJ9" i="1"/>
  <c r="AN11" i="1"/>
  <c r="AP15" i="1"/>
  <c r="AF29" i="1"/>
  <c r="AM23" i="1"/>
  <c r="AL14" i="1"/>
  <c r="AH12" i="1"/>
  <c r="AH33" i="1"/>
  <c r="AN17" i="1"/>
  <c r="AO33" i="1"/>
  <c r="AN14" i="1"/>
  <c r="AN15" i="1"/>
  <c r="AJ6" i="1"/>
  <c r="AN2" i="1"/>
  <c r="AO6" i="1"/>
  <c r="AO9" i="1"/>
  <c r="AJ12" i="1"/>
  <c r="AQ6" i="1"/>
  <c r="AK21" i="1"/>
  <c r="AG29" i="1"/>
  <c r="AN33" i="1"/>
  <c r="AL6" i="1"/>
  <c r="AH8" i="1"/>
  <c r="AH2" i="1"/>
  <c r="AM33" i="1"/>
  <c r="AQ30" i="1"/>
  <c r="AQ33" i="1"/>
  <c r="AL11" i="1"/>
  <c r="AJ29" i="1"/>
  <c r="AK13" i="1"/>
  <c r="AK26" i="1"/>
  <c r="AI14" i="1"/>
  <c r="AN6" i="1"/>
  <c r="AH29" i="1"/>
  <c r="AQ15" i="1"/>
  <c r="AH14" i="1"/>
  <c r="AN23" i="1"/>
  <c r="AI9" i="1"/>
  <c r="AP33" i="1"/>
  <c r="AM2" i="1"/>
  <c r="AO2" i="1"/>
  <c r="AJ33" i="1"/>
  <c r="AI12" i="1"/>
  <c r="AL29" i="1"/>
  <c r="AL21" i="1"/>
  <c r="AM8" i="1"/>
  <c r="AK14" i="1"/>
  <c r="AO29" i="1"/>
  <c r="AL30" i="1"/>
  <c r="AL17" i="1"/>
  <c r="AN8" i="1"/>
  <c r="AP30" i="1"/>
  <c r="AG2" i="1"/>
  <c r="AO8" i="1"/>
  <c r="AH13" i="1"/>
  <c r="AG8" i="1"/>
  <c r="AL2" i="1"/>
  <c r="AM13"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G23" i="108" l="1"/>
  <c r="G18" i="108"/>
  <c r="D24" i="108"/>
  <c r="D19" i="108"/>
  <c r="F24" i="108"/>
  <c r="F19" i="108"/>
  <c r="M35" i="106"/>
  <c r="M30" i="106"/>
  <c r="J34" i="106"/>
  <c r="J29" i="106"/>
  <c r="D35" i="106"/>
  <c r="D30" i="106"/>
  <c r="G24" i="108"/>
  <c r="G19" i="108"/>
  <c r="O34" i="106"/>
  <c r="O29" i="106"/>
  <c r="M28" i="106"/>
  <c r="M33" i="106"/>
  <c r="L35" i="106"/>
  <c r="L30" i="106"/>
  <c r="F23" i="108"/>
  <c r="F18" i="108"/>
  <c r="L28" i="106"/>
  <c r="L33" i="106"/>
  <c r="J35" i="106"/>
  <c r="J30" i="106"/>
  <c r="C35" i="106"/>
  <c r="C30" i="106"/>
  <c r="G17" i="108"/>
  <c r="G22" i="108"/>
  <c r="K34" i="106"/>
  <c r="K29" i="106"/>
  <c r="K35" i="106"/>
  <c r="K30" i="106"/>
  <c r="E35" i="106"/>
  <c r="E30" i="106"/>
  <c r="N35" i="106"/>
  <c r="N30" i="106"/>
  <c r="L34" i="106"/>
  <c r="L29" i="106"/>
  <c r="J28" i="106"/>
  <c r="J33" i="106"/>
  <c r="E29" i="106"/>
  <c r="E34" i="106"/>
  <c r="D18" i="108"/>
  <c r="D23" i="108"/>
  <c r="K28" i="106"/>
  <c r="K33" i="106"/>
  <c r="C33" i="106"/>
  <c r="M34" i="106"/>
  <c r="M29" i="106"/>
  <c r="E33" i="106"/>
  <c r="N34" i="106"/>
  <c r="N29" i="106"/>
  <c r="D33" i="106"/>
  <c r="F17" i="108"/>
  <c r="F22" i="108"/>
  <c r="O33" i="106"/>
  <c r="C28" i="106"/>
  <c r="C29" i="106"/>
  <c r="C34" i="106"/>
  <c r="D29" i="106"/>
  <c r="D34" i="106"/>
  <c r="D28" i="106"/>
  <c r="N28" i="106"/>
  <c r="N33" i="106"/>
  <c r="D17" i="108"/>
  <c r="D22" i="108"/>
  <c r="E28" i="106"/>
  <c r="O28" i="106"/>
  <c r="O30" i="106"/>
  <c r="O35" i="10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<sst xmlns="http://schemas.openxmlformats.org/spreadsheetml/2006/main" count="12378" uniqueCount="1856">
  <si>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</si>
  <si>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</si>
  <si>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</si>
  <si>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</si>
  <si>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</si>
  <si>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</si>
  <si>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</si>
  <si>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</si>
  <si>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</si>
  <si>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</si>
  <si>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</si>
  <si>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</si>
  <si>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</si>
  <si>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</si>
  <si>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</si>
  <si>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</si>
  <si>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</si>
  <si>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</si>
  <si>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</si>
  <si>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</si>
  <si>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</si>
  <si>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</si>
  <si>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</si>
  <si>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</si>
  <si>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</si>
  <si>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</si>
  <si>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</si>
  <si>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</si>
  <si>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</si>
  <si>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</si>
  <si>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</si>
  <si>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</si>
  <si>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</si>
  <si>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</si>
  <si>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</si>
  <si>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</si>
  <si>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</si>
  <si>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</si>
  <si>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</si>
  <si>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</si>
  <si>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</si>
  <si>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</si>
  <si>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</si>
  <si>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</si>
  <si>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</si>
  <si>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</si>
  <si>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</si>
  <si>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</si>
  <si>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</si>
  <si>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</si>
  <si>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</si>
  <si>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</si>
  <si>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</si>
  <si>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</si>
  <si>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</si>
  <si>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</si>
  <si>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</si>
  <si>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</si>
  <si>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</si>
  <si>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</si>
  <si>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</si>
  <si>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</si>
  <si>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</si>
  <si>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</si>
  <si>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</si>
  <si>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</si>
  <si>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</si>
  <si>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</si>
  <si>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</si>
  <si>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</si>
  <si>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</si>
  <si>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</si>
  <si>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</si>
  <si>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</si>
  <si>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</si>
  <si>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</si>
  <si>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</si>
  <si>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</si>
  <si>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</si>
  <si>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</si>
  <si>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</si>
  <si>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</si>
  <si>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</si>
  <si>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</si>
  <si>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</si>
  <si>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</si>
  <si>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</si>
  <si>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</si>
  <si>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</si>
  <si>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</si>
  <si>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</si>
  <si>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</si>
  <si>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</si>
  <si>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</si>
  <si>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</si>
  <si>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</si>
  <si>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</si>
  <si>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</si>
  <si>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</si>
  <si>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</si>
  <si>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</si>
  <si>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</si>
  <si>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</si>
  <si>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</si>
  <si>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</si>
  <si>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</si>
  <si>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</si>
  <si>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</si>
  <si>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</si>
  <si>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</si>
  <si>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</si>
  <si>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</si>
  <si>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</si>
  <si>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</si>
  <si>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</si>
  <si>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</si>
  <si>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</si>
  <si>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</si>
  <si>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</si>
  <si>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</si>
  <si>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</si>
  <si>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</si>
  <si>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</si>
  <si>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</si>
  <si>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</si>
  <si>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</si>
  <si>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</si>
  <si>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</si>
  <si>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</si>
  <si>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</si>
  <si>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</si>
  <si>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</si>
  <si>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</si>
  <si>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</si>
  <si>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</si>
  <si>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</si>
  <si>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</si>
  <si>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</si>
  <si>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</si>
  <si>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</si>
  <si>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</si>
  <si>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</si>
  <si>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</si>
  <si>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</si>
  <si>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</si>
  <si>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</si>
  <si>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</si>
  <si>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</si>
  <si>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</si>
  <si>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</si>
  <si>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</si>
  <si>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</si>
  <si>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</si>
  <si>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</si>
  <si>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</si>
  <si>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</si>
  <si>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</si>
  <si>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</si>
  <si>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</si>
  <si>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</si>
  <si>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</si>
  <si>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</si>
  <si>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</si>
  <si>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</si>
  <si>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</si>
  <si>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</si>
  <si>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</si>
  <si>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</si>
  <si>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</si>
  <si>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</si>
  <si>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</si>
  <si>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</si>
  <si>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</si>
  <si>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</si>
  <si>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</si>
  <si>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</si>
  <si>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</si>
  <si>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</si>
  <si>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</si>
  <si>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</si>
  <si>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</si>
  <si>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</si>
  <si>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</si>
  <si>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</si>
  <si>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</si>
  <si>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</si>
  <si>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</si>
  <si>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</si>
  <si>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</si>
  <si>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</si>
  <si>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</si>
  <si>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</si>
  <si>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</si>
  <si>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</si>
  <si>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</si>
  <si>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</si>
  <si>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</si>
  <si>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</si>
  <si>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</si>
  <si>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</si>
  <si>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</si>
  <si>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</si>
  <si>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</si>
  <si>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</si>
  <si>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</si>
  <si>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</si>
  <si>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</si>
  <si>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</si>
  <si>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</si>
  <si>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</si>
  <si>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</si>
  <si>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</si>
  <si>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</si>
  <si>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</si>
  <si>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</si>
  <si>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</si>
  <si>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</si>
  <si>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</si>
  <si>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</si>
  <si>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</si>
  <si>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</si>
  <si>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</si>
  <si>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</si>
  <si>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</si>
  <si>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</si>
  <si>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</si>
  <si>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</si>
  <si>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</si>
  <si>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</si>
  <si>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</si>
  <si>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</si>
  <si>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</si>
  <si>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</si>
  <si>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</si>
  <si>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</si>
  <si>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</si>
  <si>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</si>
  <si>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</si>
  <si>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</si>
  <si>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</si>
  <si>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</si>
  <si>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</si>
  <si>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</si>
  <si>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</si>
  <si>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</si>
  <si>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</si>
  <si>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</si>
  <si>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</si>
  <si>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</si>
  <si>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</si>
  <si>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</si>
  <si>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</si>
  <si>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</si>
  <si>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</si>
  <si>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</si>
  <si>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</si>
  <si>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</si>
  <si>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</si>
  <si>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</si>
  <si>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</si>
  <si>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</si>
  <si>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</si>
  <si>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</si>
  <si>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</si>
  <si>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</si>
  <si>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</si>
  <si>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</si>
  <si>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</si>
  <si>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</si>
  <si>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</si>
  <si>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</si>
  <si>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</si>
  <si>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</si>
  <si>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</si>
  <si>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</si>
  <si>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</si>
  <si>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</si>
  <si>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</si>
  <si>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</si>
  <si>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</si>
  <si>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</si>
  <si>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</si>
  <si>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</si>
  <si>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</si>
  <si>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</si>
  <si>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</si>
  <si>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</si>
  <si>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</si>
  <si>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</si>
  <si>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</si>
  <si>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</si>
  <si>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</si>
  <si>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</si>
  <si>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</si>
  <si>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</si>
  <si>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</si>
  <si>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</si>
  <si>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</si>
  <si>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</si>
  <si>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</si>
  <si>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</si>
  <si>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</si>
  <si>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</si>
  <si>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</si>
  <si>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</si>
  <si>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</si>
  <si>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</si>
  <si>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</si>
  <si>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</si>
  <si>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</si>
  <si>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</si>
  <si>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</si>
  <si>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</si>
  <si>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</si>
  <si>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</si>
  <si>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</si>
  <si>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</si>
  <si>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</si>
  <si>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</si>
  <si>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</si>
  <si>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</si>
  <si>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</si>
  <si>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</si>
  <si>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</si>
  <si>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</si>
  <si>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</si>
  <si>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</si>
  <si>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</si>
  <si>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</si>
  <si>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</si>
  <si>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</si>
  <si>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</si>
  <si>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</si>
  <si>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</si>
  <si>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</si>
  <si>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</si>
  <si>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</si>
  <si>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</si>
  <si>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</si>
  <si>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</si>
  <si>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</si>
  <si>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</si>
  <si>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</si>
  <si>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</si>
  <si>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</si>
  <si>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</si>
  <si>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</si>
  <si>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</si>
  <si>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</si>
  <si>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</si>
  <si>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</si>
  <si>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</si>
  <si>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</si>
  <si>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</si>
  <si>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</si>
  <si>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</si>
  <si>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</si>
  <si>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</si>
  <si>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</si>
  <si>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</si>
  <si>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</si>
  <si>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</si>
  <si>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</si>
  <si>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</si>
  <si>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</si>
  <si>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</si>
  <si>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</si>
  <si>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</si>
  <si>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</si>
  <si>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</si>
  <si>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</si>
  <si>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</si>
  <si>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</si>
  <si>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</si>
  <si>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</si>
  <si>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</si>
  <si>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</si>
  <si>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</si>
  <si>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</si>
  <si>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</si>
  <si>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</si>
  <si>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</si>
  <si>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</si>
  <si>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</si>
  <si>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</si>
  <si>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</si>
  <si>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</si>
  <si>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</si>
  <si>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</si>
  <si>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</si>
  <si>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</si>
  <si>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</si>
  <si>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</si>
  <si>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</si>
  <si>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</si>
  <si>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</si>
  <si>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</si>
  <si>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</si>
  <si>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</si>
  <si>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</si>
  <si>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</si>
  <si>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</si>
  <si>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</si>
  <si>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</si>
  <si>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</si>
  <si>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</si>
  <si>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</si>
  <si>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</si>
  <si>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</si>
  <si>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</si>
  <si>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</si>
  <si>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</si>
  <si>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</si>
  <si>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</si>
  <si>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</si>
  <si>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</si>
  <si>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</si>
  <si>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</si>
  <si>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</si>
  <si>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</si>
  <si>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</si>
  <si>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</si>
  <si>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</si>
  <si>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</si>
  <si>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</si>
  <si>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</si>
  <si>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</si>
  <si>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</si>
  <si>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</si>
  <si>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</si>
  <si>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</si>
  <si>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</si>
  <si>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</si>
  <si>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</si>
  <si>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</si>
  <si>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</si>
  <si>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</si>
  <si>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</si>
  <si>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</si>
  <si>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</si>
  <si>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</si>
  <si>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</si>
  <si>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</si>
  <si>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</si>
  <si>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</si>
  <si>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</si>
  <si>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</si>
  <si>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</si>
  <si>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</si>
  <si>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</si>
  <si>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</si>
  <si>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</si>
  <si>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</si>
  <si>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</si>
  <si>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</si>
  <si>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</si>
  <si>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</si>
  <si>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</si>
  <si>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</si>
  <si>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</si>
  <si>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</si>
  <si>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</si>
  <si>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</si>
  <si>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</si>
  <si>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</si>
  <si>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</si>
  <si>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</si>
  <si>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</si>
  <si>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</si>
  <si>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</si>
  <si>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</si>
  <si>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</si>
  <si>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</si>
  <si>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</si>
  <si>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</si>
  <si>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</si>
  <si>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</si>
  <si>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</si>
  <si>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</si>
  <si>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</si>
  <si>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</si>
  <si>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</si>
  <si>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</si>
  <si>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</si>
  <si>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</si>
  <si>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</si>
  <si>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</si>
  <si>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</si>
  <si>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</si>
  <si>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</si>
  <si>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</si>
  <si>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</si>
  <si>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</si>
  <si>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</si>
  <si>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</si>
  <si>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</si>
  <si>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</si>
  <si>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</si>
  <si>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</si>
  <si>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</si>
  <si>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</si>
  <si>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</si>
  <si>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</si>
  <si>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</si>
  <si>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</si>
  <si>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</si>
  <si>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</si>
  <si>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</si>
  <si>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</si>
  <si>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</si>
  <si>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</si>
  <si>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</si>
  <si>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</si>
  <si>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</si>
  <si>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</si>
  <si>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</si>
  <si>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</si>
  <si>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</si>
  <si>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</si>
  <si>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</si>
  <si>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</si>
  <si>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</si>
  <si>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</si>
  <si>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</si>
  <si>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</si>
  <si>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</si>
  <si>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</si>
  <si>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</si>
  <si>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</si>
  <si>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</si>
  <si>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</si>
  <si>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</si>
  <si>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</si>
  <si>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</si>
  <si>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</si>
  <si>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</si>
  <si>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</si>
  <si>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</si>
  <si>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</si>
  <si>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</si>
  <si>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</si>
  <si>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</si>
  <si>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</si>
  <si>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</si>
  <si>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</si>
  <si>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</si>
  <si>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</si>
  <si>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</si>
  <si>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</si>
  <si>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</si>
  <si>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</si>
  <si>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</si>
  <si>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</si>
  <si>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</si>
  <si>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</si>
  <si>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</si>
  <si>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</si>
  <si>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</si>
  <si>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</si>
  <si>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</si>
  <si>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</si>
  <si>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</si>
  <si>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</si>
  <si>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</si>
  <si>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</si>
  <si>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</si>
  <si>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</si>
  <si>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</si>
  <si>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</si>
  <si>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</si>
  <si>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</si>
  <si>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</si>
  <si>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</si>
  <si>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</si>
  <si>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</si>
  <si>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</si>
  <si>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</si>
  <si>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</si>
  <si>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</si>
  <si>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</si>
  <si>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</si>
  <si>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</si>
  <si>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</si>
  <si>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</si>
  <si>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</si>
  <si>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</si>
  <si>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</si>
  <si>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</si>
  <si>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</si>
  <si>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</si>
  <si>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</si>
  <si>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</si>
  <si>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</si>
  <si>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</si>
  <si>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</si>
  <si>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</si>
  <si>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</si>
  <si>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</si>
  <si>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</si>
  <si>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</si>
  <si>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</si>
  <si>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</si>
  <si>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</si>
  <si>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</si>
  <si>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</si>
  <si>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</si>
  <si>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</si>
  <si>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</si>
  <si>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</si>
  <si>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</si>
  <si>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</si>
  <si>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</si>
  <si>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</si>
  <si>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</si>
  <si>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</si>
  <si>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</si>
  <si>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</si>
  <si>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</si>
  <si>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</si>
  <si>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</si>
  <si>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</si>
  <si>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</si>
  <si>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</si>
  <si>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</si>
  <si>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</si>
  <si>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</si>
  <si>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</si>
  <si>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</si>
  <si>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</si>
  <si>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</si>
  <si>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</si>
  <si>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</si>
  <si>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</si>
  <si>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</si>
  <si>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</si>
  <si>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</si>
  <si>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</si>
  <si>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</si>
  <si>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</si>
  <si>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</si>
  <si>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</si>
  <si>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</si>
  <si>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</si>
  <si>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</si>
  <si>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</si>
  <si>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</si>
  <si>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</si>
  <si>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</si>
  <si>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</si>
  <si>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</si>
  <si>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</si>
  <si>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</si>
  <si>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</si>
  <si>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</si>
  <si>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</si>
  <si>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</si>
  <si>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</si>
  <si>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</si>
  <si>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</si>
  <si>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</si>
  <si>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</si>
  <si>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</si>
  <si>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</si>
  <si>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</si>
  <si>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</si>
  <si>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</si>
  <si>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</si>
  <si>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</si>
  <si>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</si>
  <si>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</si>
  <si>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</si>
  <si>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</si>
  <si>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</si>
  <si>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</si>
  <si>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</si>
  <si>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</si>
  <si>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</si>
  <si>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</si>
  <si>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</si>
  <si>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</si>
  <si>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</si>
  <si>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</si>
  <si>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</si>
  <si>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</si>
  <si>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</si>
  <si>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</si>
  <si>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</si>
  <si>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</si>
  <si>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</si>
  <si>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</si>
  <si>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</si>
  <si>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</si>
  <si>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</si>
  <si>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</si>
  <si>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</si>
  <si>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</si>
  <si>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</si>
  <si>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</si>
  <si>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</si>
  <si>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</si>
  <si>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</si>
  <si>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</si>
  <si>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</si>
  <si>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</si>
  <si>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</si>
  <si>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</si>
  <si>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</si>
  <si>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</si>
  <si>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</si>
  <si>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</si>
  <si>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</si>
  <si>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</si>
  <si>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</si>
  <si>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</si>
  <si>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</si>
  <si>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</si>
  <si>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</si>
  <si>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</si>
  <si>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</si>
  <si>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</si>
  <si>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</si>
  <si>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</si>
  <si>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</si>
  <si>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</si>
  <si>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</si>
  <si>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</si>
  <si>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</si>
  <si>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</si>
  <si>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</si>
  <si>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</si>
  <si>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</si>
  <si>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</si>
  <si>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</si>
  <si>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</si>
  <si>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</si>
  <si>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</si>
  <si>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</si>
  <si>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</si>
  <si>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</si>
  <si>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</si>
  <si>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</si>
  <si>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</si>
  <si>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</si>
  <si>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</si>
  <si>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</si>
  <si>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</si>
  <si>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</si>
  <si>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</si>
  <si>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</si>
  <si>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</si>
  <si>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</si>
  <si>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</si>
  <si>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</si>
  <si>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</si>
  <si>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</si>
  <si>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</si>
  <si>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</si>
  <si>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</si>
  <si>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</si>
  <si>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</si>
  <si>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</si>
  <si>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</si>
  <si>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</si>
  <si>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</si>
  <si>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</si>
  <si>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</si>
  <si>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</si>
  <si>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</si>
  <si>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</si>
  <si>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</si>
  <si>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</si>
  <si>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</si>
  <si>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</si>
  <si>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</si>
  <si>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</si>
  <si>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</si>
  <si>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</si>
  <si>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</si>
  <si>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</si>
  <si>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</si>
  <si>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</si>
  <si>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</si>
  <si>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</si>
  <si>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</si>
  <si>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</si>
  <si>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</si>
  <si>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</si>
  <si>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</si>
  <si>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</si>
  <si>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</si>
  <si>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</si>
  <si>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</si>
  <si>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</si>
  <si>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</si>
  <si>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</si>
  <si>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</si>
  <si>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</si>
  <si>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</si>
  <si>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</si>
  <si>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</si>
  <si>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</si>
  <si>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</si>
  <si>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</si>
  <si>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</si>
  <si>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</si>
  <si>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</si>
  <si>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</si>
  <si>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</si>
  <si>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</si>
  <si>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</si>
  <si>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</si>
  <si>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</si>
  <si>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</si>
  <si>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</si>
  <si>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</si>
  <si>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</si>
  <si>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</si>
  <si>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</si>
  <si>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</si>
  <si>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</si>
  <si>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</si>
  <si>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</si>
  <si>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</si>
  <si>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</si>
  <si>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</si>
  <si>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</si>
  <si>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</si>
  <si>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</si>
  <si>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</si>
  <si>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</si>
  <si>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</si>
  <si>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</si>
  <si>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</si>
  <si>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</si>
  <si>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</si>
  <si>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</si>
  <si>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</si>
  <si>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</si>
  <si>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</si>
  <si>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</si>
  <si>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</si>
  <si>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</si>
  <si>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</si>
  <si>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</si>
  <si>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</si>
  <si>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</si>
  <si>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</si>
  <si>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</si>
  <si>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</si>
  <si>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</si>
  <si>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</si>
  <si>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</si>
  <si>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</si>
  <si>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</si>
  <si>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</si>
  <si>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</si>
  <si>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</si>
  <si>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</si>
  <si>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</si>
  <si>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</si>
  <si>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</si>
  <si>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</si>
  <si>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</si>
  <si>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</si>
  <si>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</si>
  <si>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</si>
  <si>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</si>
  <si>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</si>
  <si>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</si>
  <si>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</si>
  <si>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</si>
  <si>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</si>
  <si>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</si>
  <si>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</si>
  <si>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</si>
  <si>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</si>
  <si>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</si>
  <si>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</si>
  <si>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</si>
  <si>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</si>
  <si>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</si>
  <si>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</si>
  <si>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</si>
  <si>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</si>
  <si>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</si>
  <si>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</si>
  <si>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</si>
  <si>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</si>
  <si>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</si>
  <si>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</si>
  <si>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</si>
  <si>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</si>
  <si>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</si>
  <si>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</si>
  <si>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</si>
  <si>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</si>
  <si>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</si>
  <si>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</si>
  <si>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</si>
  <si>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</si>
  <si>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</si>
  <si>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</si>
  <si>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</si>
  <si>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</si>
  <si>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</si>
  <si>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</si>
  <si>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</si>
  <si>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</si>
  <si>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</si>
  <si>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</si>
  <si>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</si>
  <si>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</si>
  <si>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</si>
  <si>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</si>
  <si>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</si>
  <si>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</si>
  <si>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</si>
  <si>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</si>
  <si>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</si>
  <si>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</si>
  <si>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</si>
  <si>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</si>
  <si>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</si>
  <si>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</si>
  <si>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</si>
  <si>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</si>
  <si>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</si>
  <si>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</si>
  <si>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</si>
  <si>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</si>
  <si>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</si>
  <si>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</si>
  <si>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</si>
  <si>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</si>
  <si>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</si>
  <si>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</si>
  <si>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</si>
  <si>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</si>
  <si>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</si>
  <si>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</si>
  <si>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</si>
  <si>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</si>
  <si>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</si>
  <si>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</si>
  <si>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</si>
  <si>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</si>
  <si>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</si>
  <si>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</si>
  <si>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</si>
  <si>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</si>
  <si>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</si>
  <si>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</si>
  <si>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</si>
  <si>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</si>
  <si>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</si>
  <si>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</si>
  <si>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</si>
  <si>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</si>
  <si>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</si>
  <si>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</si>
  <si>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</si>
  <si>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</si>
  <si>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</si>
  <si>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</si>
  <si>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</si>
  <si>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</si>
  <si>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</si>
  <si>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</si>
  <si>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</si>
  <si>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</si>
  <si>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</si>
  <si>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</si>
  <si>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</si>
  <si>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</si>
  <si>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</si>
  <si>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</si>
  <si>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</si>
  <si>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</si>
  <si>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</si>
  <si>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</si>
  <si>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</si>
  <si>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</si>
  <si>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</si>
  <si>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</si>
  <si>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</si>
  <si>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</si>
  <si>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</si>
  <si>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</si>
  <si>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</si>
  <si>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</si>
  <si>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</si>
  <si>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</si>
  <si>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</si>
  <si>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</si>
  <si>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</si>
  <si>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</si>
  <si>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</si>
  <si>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</si>
  <si>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</si>
  <si>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</si>
  <si>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</si>
  <si>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</si>
  <si>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</si>
  <si>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</si>
  <si>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</si>
  <si>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</si>
  <si>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</si>
  <si>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</si>
  <si>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</si>
  <si>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</si>
  <si>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</si>
  <si>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</si>
  <si>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</si>
  <si>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</si>
  <si>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</si>
  <si>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</si>
  <si>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</si>
  <si>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</si>
  <si>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</si>
  <si>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</si>
  <si>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</si>
  <si>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</si>
  <si>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</si>
  <si>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</si>
  <si>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</si>
  <si>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</si>
  <si>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</si>
  <si>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</si>
  <si>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</si>
  <si>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</si>
  <si>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</si>
  <si>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</si>
  <si>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</si>
  <si>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</si>
  <si>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</si>
  <si>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</si>
  <si>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</si>
  <si>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</si>
  <si>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</si>
  <si>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</si>
  <si>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</si>
  <si>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</si>
  <si>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</si>
  <si>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</si>
  <si>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</si>
  <si>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</si>
  <si>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</si>
  <si>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</si>
  <si>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</si>
  <si>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</si>
  <si>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</si>
  <si>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</si>
  <si>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</si>
  <si>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</si>
  <si>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</si>
  <si>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</si>
  <si>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</si>
  <si>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</si>
  <si>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</si>
  <si>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</si>
  <si>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</si>
  <si>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</si>
  <si>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</si>
  <si>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</si>
  <si>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</si>
  <si>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</si>
  <si>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</si>
  <si>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</si>
  <si>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</si>
  <si>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</si>
  <si>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</si>
  <si>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</si>
  <si>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</si>
  <si>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</si>
  <si>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</si>
  <si>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</si>
  <si>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</si>
  <si>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</si>
  <si>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</si>
  <si>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</si>
  <si>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</si>
  <si>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</si>
  <si>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</si>
  <si>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</si>
  <si>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</si>
  <si>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</si>
  <si>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</si>
  <si>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</si>
  <si>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</si>
  <si>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</si>
  <si>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</si>
  <si>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</si>
  <si>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</si>
  <si>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</si>
  <si>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</si>
  <si>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</si>
  <si>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</si>
  <si>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</si>
  <si>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</si>
  <si>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</si>
  <si>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</si>
  <si>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</si>
  <si>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</si>
  <si>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</si>
  <si>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</si>
  <si>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</si>
  <si>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</si>
  <si>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</si>
  <si>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</si>
  <si>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</si>
  <si>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</si>
  <si>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</si>
  <si>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</si>
  <si>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</si>
  <si>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</si>
  <si>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</si>
  <si>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</si>
  <si>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</si>
  <si>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</si>
  <si>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</si>
  <si>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</si>
  <si>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</si>
  <si>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</si>
  <si>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</si>
  <si>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</si>
  <si>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</si>
  <si>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</si>
  <si>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</si>
  <si>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</si>
  <si>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</si>
  <si>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</si>
  <si>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</si>
  <si>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</si>
  <si>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</si>
  <si>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</si>
  <si>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</si>
  <si>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</si>
  <si>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</si>
  <si>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</si>
  <si>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</si>
  <si>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</si>
  <si>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</si>
  <si>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</si>
  <si>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</si>
  <si>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</si>
  <si>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</si>
  <si>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</si>
  <si>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</si>
  <si>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</si>
  <si>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</si>
  <si>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</si>
  <si>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</si>
  <si>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</si>
  <si>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</si>
  <si>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</si>
  <si>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</si>
  <si>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</si>
  <si>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</si>
  <si>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</si>
  <si>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</si>
  <si>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</si>
  <si>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</si>
  <si>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</si>
  <si>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</si>
  <si>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</si>
  <si>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</si>
  <si>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</si>
  <si>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</si>
  <si>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</si>
  <si>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</si>
  <si>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</si>
  <si>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</si>
  <si>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</si>
  <si>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</si>
  <si>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</si>
  <si>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</si>
  <si>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</si>
  <si>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</si>
  <si>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</si>
  <si>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</si>
  <si>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</si>
  <si>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</si>
  <si>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</si>
  <si>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</si>
  <si>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</si>
  <si>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</si>
  <si>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</si>
  <si>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</si>
  <si>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</si>
  <si>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</si>
  <si>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</si>
  <si>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</si>
  <si>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</si>
  <si>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</si>
  <si>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</si>
  <si>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</si>
  <si>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</si>
  <si>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</si>
  <si>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</si>
  <si>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</si>
  <si>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</si>
  <si>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</si>
  <si>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</si>
  <si>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</si>
  <si>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</si>
  <si>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</si>
  <si>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</si>
  <si>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</si>
  <si>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</si>
  <si>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</si>
  <si>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</si>
  <si>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</si>
  <si>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</si>
  <si>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</si>
  <si>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</si>
  <si>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</si>
  <si>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</si>
  <si>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</si>
  <si>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</si>
  <si>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</si>
  <si>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</si>
  <si>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</si>
  <si>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</si>
  <si>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</si>
  <si>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</si>
  <si>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</si>
  <si>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</si>
  <si>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</si>
  <si>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</si>
  <si>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</si>
  <si>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</si>
  <si>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</si>
  <si>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</si>
  <si>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</si>
  <si>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</si>
  <si>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</si>
  <si>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</si>
  <si>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</si>
  <si>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</si>
  <si>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</si>
  <si>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</si>
  <si>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</si>
  <si>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</si>
  <si>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</si>
  <si>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</si>
  <si>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</si>
  <si>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</si>
  <si>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</si>
  <si>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</si>
  <si>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</si>
  <si>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</si>
  <si>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</si>
  <si>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</si>
  <si>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</si>
  <si>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</si>
  <si>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</si>
  <si>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</si>
  <si>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</si>
  <si>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</si>
  <si>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</si>
  <si>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</si>
  <si>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</si>
  <si>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</si>
  <si>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</si>
  <si>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</si>
  <si>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</si>
  <si>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</si>
  <si>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</si>
  <si>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</si>
  <si>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</si>
  <si>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</si>
  <si>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</si>
  <si>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</si>
  <si>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</si>
  <si>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</si>
  <si>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</si>
  <si>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</si>
  <si>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</si>
  <si>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</si>
  <si>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</si>
  <si>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</si>
  <si>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</si>
  <si>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</si>
  <si>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</si>
  <si>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</si>
  <si>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</si>
  <si>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</si>
  <si>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</si>
  <si>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</si>
  <si>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</si>
  <si>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</si>
  <si>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</si>
  <si>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</si>
  <si>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</si>
  <si>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</si>
  <si>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</si>
  <si>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</si>
  <si>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</si>
  <si>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</si>
  <si>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</si>
  <si>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</si>
  <si>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</si>
  <si>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</si>
  <si>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</si>
  <si>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</si>
  <si>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</si>
  <si>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</si>
  <si>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</si>
  <si>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</si>
  <si>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</si>
  <si>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</si>
  <si>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</si>
  <si>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</si>
  <si>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</si>
  <si>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</si>
  <si>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</si>
  <si>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</si>
  <si>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</si>
  <si>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</si>
  <si>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</si>
  <si>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</si>
  <si>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</si>
  <si>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</si>
  <si>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</si>
  <si>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</si>
  <si>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</si>
  <si>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</si>
  <si>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</si>
  <si>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</si>
  <si>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</si>
  <si>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</si>
  <si>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</si>
  <si>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</si>
  <si>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</si>
  <si>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</si>
  <si>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</si>
  <si>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</si>
  <si>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</si>
  <si>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</si>
  <si>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</si>
  <si>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</si>
  <si>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</si>
  <si>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</si>
  <si>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</si>
  <si>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</si>
  <si>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</si>
  <si>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</si>
  <si>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</si>
  <si>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</si>
  <si>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</si>
  <si>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</si>
  <si>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</si>
  <si>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</si>
  <si>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</si>
  <si>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</si>
  <si>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</si>
  <si>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</si>
  <si>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</si>
  <si>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</si>
  <si>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</si>
  <si>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</si>
  <si>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</si>
  <si>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</si>
  <si>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</si>
  <si>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</si>
  <si>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</si>
  <si>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</si>
  <si>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</si>
  <si>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</si>
  <si>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</si>
  <si>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</si>
  <si>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</si>
  <si>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</si>
  <si>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</si>
  <si>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</si>
  <si>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</si>
  <si>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</si>
  <si>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</si>
  <si>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</si>
  <si>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</si>
  <si>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</si>
  <si>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</si>
  <si>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</si>
  <si>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</si>
  <si>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</si>
  <si>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</si>
  <si>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</si>
  <si>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</si>
  <si>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</si>
  <si>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</si>
  <si>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</si>
  <si>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</si>
  <si>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</si>
  <si>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</si>
  <si>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</si>
  <si>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</si>
  <si>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</si>
  <si>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</si>
  <si>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</si>
  <si>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</si>
  <si>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</si>
  <si>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</si>
  <si>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</si>
  <si>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</si>
  <si>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</si>
  <si>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</si>
  <si>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</si>
  <si>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</si>
  <si>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</si>
  <si>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</si>
  <si>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</si>
  <si>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</si>
  <si>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</si>
  <si>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</si>
  <si>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</si>
  <si>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</si>
  <si>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</si>
  <si>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</si>
  <si>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</si>
  <si>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</si>
  <si>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</si>
  <si>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</si>
  <si>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</si>
  <si>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</si>
  <si>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</si>
  <si>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</si>
  <si>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</si>
  <si>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</si>
  <si>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</si>
  <si>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</si>
  <si>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</si>
  <si>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</si>
  <si>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</si>
  <si>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</si>
  <si>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</si>
  <si>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</si>
  <si>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</si>
  <si>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</si>
  <si>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</si>
  <si>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</si>
  <si>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</si>
  <si>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</si>
  <si>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</si>
  <si>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</si>
  <si>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</si>
  <si>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</si>
  <si>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</si>
  <si>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</si>
  <si>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</si>
  <si>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</si>
  <si>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</si>
  <si>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</si>
  <si>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</si>
  <si>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</si>
  <si>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</si>
  <si>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</si>
  <si>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</si>
  <si>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</si>
  <si>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</si>
  <si>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</si>
  <si>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</si>
  <si>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</si>
  <si>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</si>
  <si>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</si>
  <si>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</si>
  <si>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</si>
  <si>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</si>
  <si>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</si>
  <si>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</si>
  <si>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</si>
  <si>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</si>
  <si>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</si>
  <si>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</si>
  <si>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</si>
  <si>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</si>
  <si>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</si>
  <si>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</si>
  <si>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</si>
  <si>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</si>
  <si>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</si>
  <si>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</si>
  <si>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</si>
  <si>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</si>
  <si>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</si>
  <si>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</si>
  <si>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</si>
  <si>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</si>
  <si>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</si>
  <si>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</si>
  <si>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</si>
  <si>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</si>
  <si>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</si>
  <si>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</si>
  <si>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</si>
  <si>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</si>
  <si>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</si>
  <si>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</si>
  <si>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</si>
  <si>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</si>
  <si>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</si>
  <si>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</si>
  <si>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</si>
  <si>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</si>
  <si>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</si>
  <si>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</si>
  <si>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</si>
  <si>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</si>
  <si>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</si>
  <si>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</si>
  <si>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</si>
  <si>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</si>
  <si>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</si>
  <si>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</si>
  <si>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</si>
  <si>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</si>
  <si>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</si>
  <si>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</si>
  <si>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</si>
  <si>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</si>
  <si>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</si>
  <si>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</si>
  <si>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</si>
  <si>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</si>
  <si>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</si>
  <si>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</si>
  <si>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</si>
  <si>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</si>
  <si>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</si>
  <si>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</si>
  <si>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</si>
  <si>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</si>
  <si>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</si>
  <si>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</si>
  <si>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</si>
  <si>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</si>
  <si>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</si>
  <si>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</si>
  <si>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</si>
  <si>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</si>
  <si>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</si>
  <si>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</si>
  <si>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</si>
  <si>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</si>
  <si>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</si>
  <si>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</si>
  <si>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</si>
  <si>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</si>
  <si>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</si>
  <si>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</si>
  <si>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</si>
  <si>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</si>
  <si>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</si>
  <si>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</si>
  <si>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</si>
  <si>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</si>
  <si>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</si>
  <si>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</si>
  <si>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</si>
  <si>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</si>
  <si>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</si>
  <si>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</si>
  <si>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</si>
  <si>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</si>
  <si>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</si>
  <si>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</si>
  <si>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</si>
  <si>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</si>
  <si>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</si>
  <si>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</si>
  <si>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</si>
  <si>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</si>
  <si>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</si>
  <si>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</si>
  <si>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</si>
  <si>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</si>
  <si>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</si>
  <si>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</si>
  <si>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</si>
  <si>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</si>
  <si>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</si>
  <si>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</si>
  <si>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</si>
  <si>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</si>
  <si>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</si>
  <si>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</si>
  <si>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</si>
  <si>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</si>
  <si>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</si>
  <si>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</si>
  <si>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</si>
  <si>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</si>
  <si>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</si>
  <si>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</si>
  <si>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</si>
  <si>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</si>
  <si>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</si>
  <si>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</si>
  <si>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</si>
  <si>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</si>
  <si>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</si>
  <si>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</si>
  <si>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</si>
  <si>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</si>
  <si>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</si>
  <si>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</si>
  <si>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</si>
  <si>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</si>
  <si>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</si>
  <si>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</si>
  <si>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</si>
  <si>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</si>
  <si>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</si>
  <si>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</si>
  <si>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</si>
  <si>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</si>
  <si>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</si>
  <si>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</si>
  <si>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</si>
  <si>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</si>
  <si>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</si>
  <si>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</si>
  <si>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</si>
  <si>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</si>
  <si>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</si>
  <si>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</si>
  <si>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</si>
  <si>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</si>
  <si>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</si>
  <si>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</si>
  <si>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</si>
  <si>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</si>
  <si>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</si>
  <si>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</si>
  <si>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</si>
  <si>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</si>
  <si>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</si>
  <si>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</si>
  <si>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</si>
  <si>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</si>
  <si>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</si>
  <si>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</si>
  <si>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</si>
  <si>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</si>
  <si>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</si>
  <si>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</si>
  <si>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</si>
  <si>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</si>
  <si>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</si>
  <si>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</si>
  <si>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</si>
  <si>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</si>
  <si>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</si>
  <si>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</si>
  <si>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</si>
  <si>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</si>
  <si>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</si>
  <si>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</si>
  <si>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</si>
  <si>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</si>
  <si>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</si>
  <si>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</si>
  <si>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</si>
  <si>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</si>
  <si>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</si>
  <si>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</si>
  <si>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</si>
  <si>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</si>
  <si>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</si>
  <si>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</si>
  <si>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</si>
  <si>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</si>
  <si>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</si>
  <si>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</si>
  <si>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</si>
  <si>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</si>
  <si>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</si>
  <si>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</si>
  <si>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</si>
  <si>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</si>
  <si>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</si>
  <si>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</si>
  <si>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</si>
  <si>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</si>
  <si>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</si>
  <si>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</si>
  <si>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</si>
  <si>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</si>
  <si>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</si>
  <si>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</si>
  <si>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</si>
  <si>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</si>
  <si>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</si>
  <si>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</si>
  <si>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</si>
  <si>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</si>
  <si>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</si>
  <si>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</si>
  <si>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</si>
  <si>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</si>
  <si>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</si>
  <si>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</si>
  <si>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</si>
  <si>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</si>
  <si>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</si>
  <si>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</si>
  <si>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</si>
  <si>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</si>
  <si>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</si>
  <si>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</si>
  <si>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</si>
  <si>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</si>
  <si>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</si>
  <si>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</si>
  <si>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</si>
  <si>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</si>
  <si>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</si>
  <si>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</si>
  <si>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</si>
  <si>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</si>
  <si>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</si>
  <si>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</si>
  <si>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</si>
  <si>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</si>
  <si>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</si>
  <si>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</si>
  <si>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</si>
  <si>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</si>
  <si>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</si>
  <si>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</si>
  <si>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</si>
  <si>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</si>
  <si>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</si>
  <si>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</si>
  <si>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</si>
  <si>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</si>
  <si>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</si>
  <si>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</si>
  <si>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</si>
  <si>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</si>
  <si>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</si>
  <si>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</si>
  <si>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</si>
  <si>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</si>
  <si>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</si>
  <si>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</si>
  <si>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</si>
  <si>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</si>
  <si>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</si>
  <si>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</si>
  <si>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</si>
  <si>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</si>
  <si>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</si>
  <si>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</si>
  <si>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</si>
  <si>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</si>
  <si>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</si>
  <si>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</si>
  <si>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</si>
  <si>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</si>
  <si>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</si>
  <si>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</si>
  <si>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</si>
  <si>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</si>
  <si>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</si>
  <si>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</si>
  <si>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</si>
  <si>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</si>
  <si>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</si>
  <si>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</si>
  <si>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</si>
  <si>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</si>
  <si>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</si>
  <si>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</si>
  <si>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</si>
  <si>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</si>
  <si>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</si>
  <si>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</si>
  <si>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</si>
  <si>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</si>
  <si>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</si>
  <si>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</si>
  <si>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</si>
  <si>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</si>
  <si>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</si>
  <si>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</si>
  <si>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</si>
  <si>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</si>
  <si>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</si>
  <si>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</si>
  <si>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</si>
  <si>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</si>
  <si>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</si>
  <si>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</si>
  <si>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</si>
  <si>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</si>
  <si>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</si>
  <si>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</si>
  <si>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</si>
  <si>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</si>
  <si>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</si>
  <si>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</si>
  <si>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</si>
  <si>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</si>
  <si>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</si>
  <si>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</si>
  <si>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</si>
  <si>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</si>
  <si>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</si>
  <si>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</si>
  <si>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</si>
  <si>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</si>
  <si>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</si>
  <si>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</si>
  <si>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</si>
  <si>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</si>
  <si>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</si>
  <si>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</si>
  <si>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</si>
  <si>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</si>
  <si>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</si>
  <si>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</si>
  <si>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</si>
  <si>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</si>
  <si>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</si>
  <si>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</si>
  <si>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</si>
  <si>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</si>
  <si>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</si>
  <si>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</si>
  <si>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</si>
  <si>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</si>
  <si>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</si>
  <si>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</si>
  <si>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</si>
  <si>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</si>
  <si>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</si>
  <si>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</si>
  <si>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</si>
  <si>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</si>
  <si>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</si>
  <si>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</si>
  <si>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</si>
  <si>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</si>
  <si>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</si>
  <si>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</si>
  <si>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</si>
  <si>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</si>
  <si>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</si>
  <si>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</si>
  <si>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</si>
  <si>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</si>
  <si>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</si>
  <si>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</si>
  <si>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</si>
  <si>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</si>
  <si>
    <t>Описание комплекса технических средств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</si>
</sst>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3"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27">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17" fillId="18" borderId="56" xfId="0" applyFont="1" applyFill="1" applyBorder="1" applyAlignment="1">
      <alignment horizontal="center" vertical="center"/>
    </xf>
    <xf numFmtId="0" fontId="17" fillId="0" borderId="45" xfId="0" applyFont="1" applyBorder="1" applyAlignment="1">
      <alignment horizontal="center" vertical="center"/>
    </xf>
    <xf numFmtId="0" fontId="17" fillId="0" borderId="37" xfId="0" applyFont="1" applyBorder="1" applyAlignment="1">
      <alignment horizontal="center" vertical="center"/>
    </xf>
    <xf numFmtId="0" fontId="17" fillId="0" borderId="32" xfId="0" applyFont="1" applyBorder="1" applyAlignment="1">
      <alignment horizontal="center" vertical="center"/>
    </xf>
    <xf numFmtId="0" fontId="17" fillId="18" borderId="58" xfId="0" applyFont="1" applyFill="1" applyBorder="1" applyAlignment="1">
      <alignment horizontal="center"/>
    </xf>
    <xf numFmtId="0" fontId="17" fillId="18" borderId="45" xfId="0" applyFont="1" applyFill="1" applyBorder="1" applyAlignment="1">
      <alignment horizontal="center" vertical="center"/>
    </xf>
    <xf numFmtId="0" fontId="17" fillId="0" borderId="40" xfId="0" applyFont="1" applyFill="1" applyBorder="1" applyAlignment="1">
      <alignment horizontal="center" vertical="center"/>
    </xf>
    <xf numFmtId="0" fontId="17" fillId="0" borderId="75" xfId="0" applyFont="1" applyFill="1" applyBorder="1" applyAlignment="1">
      <alignment horizontal="center" vertical="center"/>
    </xf>
    <xf numFmtId="0" fontId="17" fillId="18" borderId="39" xfId="0" applyFont="1" applyFill="1" applyBorder="1" applyAlignment="1">
      <alignment horizontal="center" vertical="center"/>
    </xf>
    <xf numFmtId="0" fontId="17" fillId="0" borderId="36" xfId="0" applyFont="1" applyFill="1" applyBorder="1" applyAlignment="1">
      <alignment horizontal="center" vertical="center"/>
    </xf>
    <xf numFmtId="0" fontId="17" fillId="0" borderId="73" xfId="0" applyFont="1" applyFill="1" applyBorder="1" applyAlignment="1">
      <alignment horizontal="center" vertical="center"/>
    </xf>
    <xf numFmtId="0" fontId="17" fillId="0" borderId="45" xfId="0" applyFont="1" applyFill="1" applyBorder="1" applyAlignment="1">
      <alignment horizontal="center"/>
    </xf>
    <xf numFmtId="0" fontId="17" fillId="18" borderId="28" xfId="0" applyFont="1" applyFill="1" applyBorder="1" applyAlignment="1">
      <alignment horizontal="center"/>
    </xf>
    <xf numFmtId="0" fontId="0" fillId="18" borderId="75" xfId="0" applyFill="1" applyBorder="1" applyAlignment="1">
      <alignment horizontal="center"/>
    </xf>
    <xf numFmtId="0" fontId="17" fillId="0" borderId="39" xfId="0" applyFont="1" applyFill="1" applyBorder="1" applyAlignment="1">
      <alignment horizontal="center"/>
    </xf>
    <xf numFmtId="0" fontId="17" fillId="18" borderId="37" xfId="0" applyFont="1" applyFill="1" applyBorder="1" applyAlignment="1">
      <alignment horizontal="center" vertical="center"/>
    </xf>
    <xf numFmtId="0" fontId="17" fillId="18" borderId="32" xfId="0" applyFont="1" applyFill="1" applyBorder="1" applyAlignment="1">
      <alignment horizontal="center" vertical="center"/>
    </xf>
    <xf numFmtId="0" fontId="0" fillId="0" borderId="37" xfId="0" applyBorder="1"/>
    <xf numFmtId="0" fontId="17" fillId="0" borderId="45" xfId="0" applyFont="1" applyFill="1" applyBorder="1" applyAlignment="1">
      <alignment horizontal="center" vertical="center"/>
    </xf>
    <xf numFmtId="0" fontId="17" fillId="0" borderId="39" xfId="0" applyFont="1" applyFill="1" applyBorder="1" applyAlignment="1">
      <alignment horizontal="center" vertical="center"/>
    </xf>
    <xf numFmtId="0" fontId="0" fillId="0" borderId="28" xfId="0" applyFill="1" applyBorder="1" applyAlignment="1">
      <alignment horizontal="center"/>
    </xf>
    <xf numFmtId="0" fontId="0" fillId="0" borderId="29" xfId="0" applyFill="1" applyBorder="1" applyAlignment="1">
      <alignment horizontal="center"/>
    </xf>
    <xf numFmtId="0" fontId="3" fillId="0" borderId="18" xfId="10" applyFont="1" applyBorder="1" applyAlignment="1">
      <alignment horizontal="center" vertical="top" wrapText="1"/>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0" fillId="21" borderId="58" xfId="0" applyFill="1" applyBorder="1" applyAlignment="1">
      <alignment horizontal="left" vertical="center" wrapText="1"/>
    </xf>
    <xf numFmtId="0" fontId="0" fillId="21" borderId="53" xfId="0" applyFill="1" applyBorder="1" applyAlignment="1">
      <alignment horizontal="left" vertical="center" wrapText="1"/>
    </xf>
    <xf numFmtId="0" fontId="56" fillId="0" borderId="0" xfId="0" applyFont="1" applyAlignment="1">
      <alignment vertical="top" wrapText="1"/>
    </xf>
    <xf numFmtId="0" fontId="13" fillId="0" borderId="53"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0" fillId="49" borderId="0" xfId="0" applyFill="1" applyAlignment="1">
      <alignment wrapText="1"/>
    </xf>
    <xf numFmtId="0" fontId="0" fillId="0" borderId="0" xfId="0"/>
    <xf numFmtId="0" fontId="0" fillId="0" borderId="0" xfId="0" applyAlignment="1">
      <alignment horizontal="center" vertical="center"/>
    </xf>
    <xf numFmtId="0" fontId="0" fillId="49" borderId="0" xfId="0" applyFill="1"/>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3" fillId="0" borderId="25" xfId="0" applyFont="1" applyBorder="1" applyAlignment="1">
      <alignment horizontal="center" vertical="center" wrapText="1"/>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33" xfId="0" applyFont="1" applyBorder="1" applyAlignment="1">
      <alignment horizontal="center" vertical="center"/>
    </xf>
    <xf numFmtId="0" fontId="3" fillId="0" borderId="34" xfId="0" applyFont="1" applyBorder="1" applyAlignment="1">
      <alignment horizontal="center" vertical="center"/>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42" xfId="0"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23" xfId="0" applyFont="1" applyBorder="1" applyAlignment="1">
      <alignment horizontal="left" vertical="center"/>
    </xf>
    <xf numFmtId="0" fontId="3" fillId="0" borderId="12" xfId="0" applyFont="1" applyBorder="1" applyAlignment="1">
      <alignment horizontal="left" vertical="center"/>
    </xf>
    <xf numFmtId="0" fontId="3" fillId="0" borderId="5" xfId="0" applyFont="1" applyBorder="1" applyAlignment="1">
      <alignment horizontal="left" vertical="center"/>
    </xf>
    <xf numFmtId="0" fontId="3" fillId="0" borderId="1" xfId="0" applyFont="1" applyBorder="1" applyAlignment="1">
      <alignment horizontal="left" vertical="center"/>
    </xf>
    <xf numFmtId="0" fontId="3" fillId="0" borderId="3" xfId="0" applyFont="1" applyBorder="1" applyAlignment="1">
      <alignment horizontal="center" vertical="center"/>
    </xf>
    <xf numFmtId="0" fontId="3" fillId="0" borderId="71"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0" fillId="0" borderId="3" xfId="0" applyBorder="1" applyAlignment="1">
      <alignment horizontal="center" vertical="center"/>
    </xf>
    <xf numFmtId="0" fontId="3" fillId="0" borderId="47" xfId="0" applyFont="1" applyFill="1" applyBorder="1" applyAlignment="1">
      <alignment horizontal="left" vertical="center"/>
    </xf>
    <xf numFmtId="0" fontId="3" fillId="0" borderId="45" xfId="0" applyFont="1" applyFill="1" applyBorder="1" applyAlignment="1">
      <alignment horizontal="left" vertical="center"/>
    </xf>
    <xf numFmtId="0" fontId="3" fillId="0" borderId="39" xfId="0" applyFont="1" applyFill="1" applyBorder="1" applyAlignment="1">
      <alignment horizontal="left" vertical="center"/>
    </xf>
    <xf numFmtId="0" fontId="3" fillId="0" borderId="54" xfId="0" applyFont="1" applyFill="1" applyBorder="1" applyAlignment="1">
      <alignment horizontal="left" vertical="center"/>
    </xf>
    <xf numFmtId="0" fontId="3" fillId="0" borderId="51"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0" borderId="28" xfId="0" applyFont="1" applyFill="1" applyBorder="1" applyAlignment="1">
      <alignment horizontal="left" vertical="center"/>
    </xf>
    <xf numFmtId="0" fontId="3" fillId="0" borderId="29" xfId="0" applyFont="1" applyFill="1" applyBorder="1" applyAlignment="1">
      <alignment horizontal="left" vertical="center"/>
    </xf>
    <xf numFmtId="0" fontId="3" fillId="0" borderId="59" xfId="0" applyFont="1" applyFill="1" applyBorder="1" applyAlignment="1">
      <alignment horizontal="left" vertical="center"/>
    </xf>
    <xf numFmtId="0" fontId="3" fillId="0" borderId="5" xfId="0" applyFont="1" applyFill="1" applyBorder="1" applyAlignment="1">
      <alignment horizontal="left" vertical="center"/>
    </xf>
    <xf numFmtId="0" fontId="3" fillId="0" borderId="2" xfId="0" applyFont="1" applyFill="1" applyBorder="1" applyAlignment="1">
      <alignment horizontal="left" vertical="center"/>
    </xf>
    <xf numFmtId="0" fontId="3" fillId="0" borderId="48" xfId="0" applyFont="1" applyFill="1" applyBorder="1" applyAlignment="1">
      <alignment horizontal="left" vertical="center"/>
    </xf>
    <xf numFmtId="0" fontId="3" fillId="0" borderId="1" xfId="0" applyFont="1" applyFill="1" applyBorder="1" applyAlignment="1">
      <alignment horizontal="left" vertical="center"/>
    </xf>
    <xf numFmtId="0" fontId="3" fillId="0" borderId="0" xfId="0" applyFont="1" applyFill="1" applyAlignment="1">
      <alignment horizontal="left" vertical="center"/>
    </xf>
    <xf numFmtId="0" fontId="3" fillId="0" borderId="28" xfId="0" applyFont="1" applyFill="1" applyBorder="1" applyAlignment="1">
      <alignment vertical="center"/>
    </xf>
    <xf numFmtId="0" fontId="3" fillId="0" borderId="29" xfId="0" applyFont="1" applyFill="1" applyBorder="1" applyAlignment="1">
      <alignment vertic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6" borderId="0" xfId="0" applyFont="1" applyFill="1" applyAlignment="1">
      <alignment horizontal="center"/>
    </xf>
    <xf numFmtId="0" fontId="3" fillId="0" borderId="18" xfId="0" applyFont="1" applyBorder="1" applyAlignment="1">
      <alignment horizontal="left" vertical="center"/>
    </xf>
    <xf numFmtId="0" fontId="3" fillId="0" borderId="18" xfId="0" applyFont="1" applyFill="1" applyBorder="1" applyAlignment="1">
      <alignment horizontal="left" vertical="center"/>
    </xf>
    <xf numFmtId="0" fontId="3" fillId="0" borderId="38" xfId="0" applyFont="1" applyFill="1" applyBorder="1" applyAlignment="1">
      <alignment horizontal="left" vertical="center"/>
    </xf>
    <xf numFmtId="0" fontId="3" fillId="0" borderId="2" xfId="0" applyFont="1" applyBorder="1" applyAlignment="1">
      <alignment horizontal="left" vertical="center"/>
    </xf>
    <xf numFmtId="0" fontId="3" fillId="0" borderId="18" xfId="0" applyFont="1" applyFill="1" applyBorder="1" applyAlignment="1">
      <alignment vertical="center"/>
    </xf>
    <xf numFmtId="0" fontId="3" fillId="0" borderId="70" xfId="0" applyFont="1" applyFill="1" applyBorder="1" applyAlignment="1">
      <alignment horizontal="left" vertical="center"/>
    </xf>
    <xf numFmtId="0" fontId="3" fillId="0" borderId="31" xfId="0" applyFont="1" applyBorder="1" applyAlignment="1">
      <alignment horizont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0" borderId="30" xfId="0" applyFont="1" applyBorder="1" applyAlignment="1">
      <alignment horizont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58" xfId="0" applyFont="1" applyFill="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3" fillId="0" borderId="38" xfId="0" applyFont="1" applyBorder="1" applyAlignment="1">
      <alignment horizontal="left" vertical="center"/>
    </xf>
    <xf numFmtId="0" fontId="3" fillId="0" borderId="48" xfId="0" applyFont="1" applyBorder="1" applyAlignment="1">
      <alignment horizontal="left" vertical="center"/>
    </xf>
    <xf numFmtId="0" fontId="0" fillId="3" borderId="0" xfId="0" applyFill="1" applyAlignment="1">
      <alignment horizontal="center" vertical="center" wrapText="1"/>
    </xf>
    <xf numFmtId="0" fontId="0" fillId="3" borderId="0" xfId="0" applyFill="1" applyAlignment="1">
      <alignment horizontal="left" vertical="center" wrapText="1"/>
    </xf>
    <xf numFmtId="0" fontId="3" fillId="0" borderId="59" xfId="0" applyFont="1" applyBorder="1" applyAlignment="1">
      <alignment horizontal="left" vertical="center"/>
    </xf>
    <xf numFmtId="0" fontId="0" fillId="0" borderId="87" xfId="0"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2" fillId="41" borderId="110" xfId="0" applyFont="1" applyFill="1" applyBorder="1" applyAlignment="1">
      <alignment horizontal="left"/>
    </xf>
    <xf numFmtId="0" fontId="2" fillId="41" borderId="119" xfId="0" applyFont="1" applyFill="1" applyBorder="1" applyAlignment="1">
      <alignment horizontal="left"/>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2" fillId="20" borderId="124" xfId="0" applyFont="1" applyFill="1" applyBorder="1" applyAlignment="1">
      <alignment wrapText="1"/>
    </xf>
    <xf numFmtId="0" fontId="2" fillId="20" borderId="125" xfId="0" applyFont="1" applyFill="1" applyBorder="1" applyAlignment="1">
      <alignment wrapText="1"/>
    </xf>
    <xf numFmtId="0" fontId="0" fillId="0" borderId="101"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0" fillId="41" borderId="0" xfId="0" applyFill="1" applyBorder="1" applyAlignment="1">
      <alignment horizontal="center"/>
    </xf>
    <xf numFmtId="0" fontId="2" fillId="41" borderId="118" xfId="0" applyFont="1" applyFill="1" applyBorder="1" applyAlignment="1">
      <alignment horizontal="left"/>
    </xf>
    <xf numFmtId="0" fontId="0" fillId="0" borderId="108" xfId="0" applyBorder="1" applyAlignment="1">
      <alignment horizont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5" fillId="23" borderId="79"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5" fillId="23" borderId="80"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26"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26" xfId="0" applyFont="1" applyFill="1" applyBorder="1" applyAlignment="1">
      <alignment horizontal="left" vertical="center" wrapText="1"/>
    </xf>
    <xf numFmtId="0" fontId="3" fillId="7" borderId="25" xfId="0" applyFont="1" applyFill="1" applyBorder="1" applyAlignment="1">
      <alignment horizontal="center" vertical="center"/>
    </xf>
    <xf numFmtId="0" fontId="3" fillId="7" borderId="58" xfId="0" applyFont="1" applyFill="1" applyBorder="1" applyAlignment="1">
      <alignment horizontal="center" vertical="center"/>
    </xf>
    <xf numFmtId="0" fontId="3" fillId="7" borderId="26"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7" borderId="25" xfId="0" applyFont="1" applyFill="1" applyBorder="1" applyAlignment="1">
      <alignment horizontal="center" vertical="center"/>
    </xf>
    <xf numFmtId="0" fontId="18" fillId="7" borderId="26" xfId="0" applyFont="1" applyFill="1" applyBorder="1" applyAlignment="1">
      <alignment horizontal="center" vertical="center"/>
    </xf>
    <xf numFmtId="0" fontId="18" fillId="7" borderId="58"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3" fillId="0" borderId="18" xfId="0" applyFont="1" applyBorder="1" applyAlignment="1">
      <alignment horizontal="left" vertical="center" wrapText="1"/>
    </xf>
    <xf numFmtId="0" fontId="0" fillId="0" borderId="18" xfId="0" applyBorder="1" applyAlignment="1">
      <alignment horizontal="center"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18" xfId="0" applyFont="1" applyBorder="1" applyAlignment="1">
      <alignment vertical="top" wrapText="1"/>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16" xfId="0" applyFont="1" applyBorder="1" applyAlignment="1">
      <alignment horizontal="left" vertical="center"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0" xfId="0" applyFont="1" applyFill="1" applyAlignment="1">
      <alignment horizontal="left" vertical="center" wrapText="1"/>
    </xf>
    <xf numFmtId="0" fontId="3" fillId="2" borderId="15" xfId="0" applyFont="1" applyFill="1" applyBorder="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0" borderId="42" xfId="0" applyFont="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70" xfId="0" applyFont="1" applyBorder="1" applyAlignment="1">
      <alignment horizontal="left" vertical="center" wrapText="1"/>
    </xf>
    <xf numFmtId="0" fontId="27" fillId="0" borderId="16" xfId="0" applyFont="1" applyBorder="1" applyAlignment="1">
      <alignment horizontal="left" vertical="center" wrapText="1"/>
    </xf>
    <xf numFmtId="0" fontId="27" fillId="0" borderId="12"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1"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2" xfId="0" applyFont="1" applyBorder="1" applyAlignment="1">
      <alignment horizontal="left" vertical="center"/>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wrapText="1"/>
    </xf>
    <xf numFmtId="0" fontId="2" fillId="0" borderId="0" xfId="0" applyFont="1" applyBorder="1" applyAlignment="1">
      <alignment horizontal="left" vertical="center"/>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22" xfId="0" applyFont="1" applyFill="1" applyBorder="1" applyAlignment="1">
      <alignment horizontal="left" vertical="center"/>
    </xf>
    <xf numFmtId="0" fontId="3" fillId="0" borderId="56" xfId="0" applyFont="1" applyFill="1" applyBorder="1" applyAlignment="1">
      <alignment horizontal="left" vertical="center"/>
    </xf>
    <xf numFmtId="0" fontId="3" fillId="0" borderId="50"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18" xfId="0" applyFont="1" applyFill="1" applyBorder="1" applyAlignment="1">
      <alignment horizontal="center"/>
    </xf>
    <xf numFmtId="0" fontId="3" fillId="0" borderId="25" xfId="0" applyFont="1" applyFill="1" applyBorder="1" applyAlignment="1">
      <alignment horizont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3.emf"/><Relationship Id="rId13" Type="http://schemas.openxmlformats.org/officeDocument/2006/relationships/image" Target="../media/image18.emf"/><Relationship Id="rId18" Type="http://schemas.openxmlformats.org/officeDocument/2006/relationships/image" Target="../media/image23.emf"/><Relationship Id="rId26" Type="http://schemas.openxmlformats.org/officeDocument/2006/relationships/image" Target="../media/image31.emf"/><Relationship Id="rId3" Type="http://schemas.openxmlformats.org/officeDocument/2006/relationships/image" Target="../media/image8.emf"/><Relationship Id="rId21" Type="http://schemas.openxmlformats.org/officeDocument/2006/relationships/image" Target="../media/image26.emf"/><Relationship Id="rId7" Type="http://schemas.openxmlformats.org/officeDocument/2006/relationships/image" Target="../media/image12.emf"/><Relationship Id="rId12" Type="http://schemas.openxmlformats.org/officeDocument/2006/relationships/image" Target="../media/image17.emf"/><Relationship Id="rId17" Type="http://schemas.openxmlformats.org/officeDocument/2006/relationships/image" Target="../media/image22.emf"/><Relationship Id="rId25" Type="http://schemas.openxmlformats.org/officeDocument/2006/relationships/image" Target="../media/image30.emf"/><Relationship Id="rId2" Type="http://schemas.openxmlformats.org/officeDocument/2006/relationships/image" Target="../media/image7.emf"/><Relationship Id="rId16" Type="http://schemas.openxmlformats.org/officeDocument/2006/relationships/image" Target="../media/image21.emf"/><Relationship Id="rId20" Type="http://schemas.openxmlformats.org/officeDocument/2006/relationships/image" Target="../media/image25.emf"/><Relationship Id="rId1" Type="http://schemas.openxmlformats.org/officeDocument/2006/relationships/image" Target="../media/image6.emf"/><Relationship Id="rId6" Type="http://schemas.openxmlformats.org/officeDocument/2006/relationships/image" Target="../media/image11.emf"/><Relationship Id="rId11" Type="http://schemas.openxmlformats.org/officeDocument/2006/relationships/image" Target="../media/image16.emf"/><Relationship Id="rId24" Type="http://schemas.openxmlformats.org/officeDocument/2006/relationships/image" Target="../media/image29.emf"/><Relationship Id="rId5" Type="http://schemas.openxmlformats.org/officeDocument/2006/relationships/image" Target="../media/image10.emf"/><Relationship Id="rId15" Type="http://schemas.openxmlformats.org/officeDocument/2006/relationships/image" Target="../media/image20.emf"/><Relationship Id="rId23" Type="http://schemas.openxmlformats.org/officeDocument/2006/relationships/image" Target="../media/image28.emf"/><Relationship Id="rId10" Type="http://schemas.openxmlformats.org/officeDocument/2006/relationships/image" Target="../media/image15.emf"/><Relationship Id="rId19" Type="http://schemas.openxmlformats.org/officeDocument/2006/relationships/image" Target="../media/image24.emf"/><Relationship Id="rId4" Type="http://schemas.openxmlformats.org/officeDocument/2006/relationships/image" Target="../media/image9.emf"/><Relationship Id="rId9" Type="http://schemas.openxmlformats.org/officeDocument/2006/relationships/image" Target="../media/image14.emf"/><Relationship Id="rId14" Type="http://schemas.openxmlformats.org/officeDocument/2006/relationships/image" Target="../media/image19.emf"/><Relationship Id="rId22" Type="http://schemas.openxmlformats.org/officeDocument/2006/relationships/image" Target="../media/image27.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631">
  <autoFilter ref="A1:A14" xr:uid="{00000000-0009-0000-0100-000004000000}"/>
  <tableColumns count="1">
    <tableColumn id="1" xr3:uid="{00000000-0010-0000-0000-000001000000}" name="Работы" dataDxfId="6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629" dataDxfId="628">
  <autoFilter ref="Q1:Q4" xr:uid="{00000000-0009-0000-0100-000006000000}"/>
  <tableColumns count="1">
    <tableColumn id="1" xr3:uid="{00000000-0010-0000-0300-000001000000}" name="Сложность" dataDxfId="6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626" dataDxfId="625">
  <autoFilter ref="R1:R3" xr:uid="{00000000-0009-0000-0100-000007000000}"/>
  <tableColumns count="1">
    <tableColumn id="1" xr3:uid="{00000000-0010-0000-0400-000001000000}" name="Варианты" dataDxfId="6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81" t="s">
        <v>218</v>
      </c>
      <c r="B1" s="1781"/>
      <c r="C1" s="1781"/>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822" t="s">
        <v>1704</v>
      </c>
      <c r="G1" s="1823"/>
      <c r="H1" s="1823"/>
      <c r="I1" s="1824"/>
      <c r="K1" s="130"/>
      <c r="L1" s="130"/>
      <c r="P1" s="130"/>
      <c r="Q1" s="130"/>
      <c r="R1" s="130"/>
      <c r="S1" s="130"/>
      <c r="T1" s="130"/>
      <c r="U1" s="130"/>
      <c r="V1" s="130"/>
      <c r="W1" s="130"/>
      <c r="X1" s="130"/>
      <c r="Y1" s="130"/>
      <c r="Z1" s="130"/>
    </row>
    <row r="2" spans="1:26" s="130" customFormat="1" ht="30.75" thickBot="1" x14ac:dyDescent="0.3">
      <c r="A2" s="131" t="s">
        <v>114</v>
      </c>
      <c r="B2" s="1782"/>
      <c r="C2" s="1783"/>
      <c r="D2" s="292" t="s">
        <v>115</v>
      </c>
      <c r="E2" s="1678" t="s">
        <v>116</v>
      </c>
      <c r="F2" s="1680" t="s">
        <v>508</v>
      </c>
      <c r="G2" s="292" t="s">
        <v>509</v>
      </c>
      <c r="H2" s="292" t="s">
        <v>510</v>
      </c>
      <c r="I2" s="292" t="s">
        <v>53</v>
      </c>
      <c r="J2" s="1676"/>
      <c r="L2" s="1796" t="s">
        <v>1594</v>
      </c>
      <c r="M2" s="1623"/>
      <c r="N2" s="1623"/>
      <c r="O2" s="1623"/>
    </row>
    <row r="3" spans="1:26" x14ac:dyDescent="0.25">
      <c r="A3" s="133" t="s">
        <v>117</v>
      </c>
      <c r="B3" s="1784"/>
      <c r="C3" s="1785"/>
      <c r="D3" s="1683">
        <f>SUM(D4:D8)</f>
        <v>103.10937500000001</v>
      </c>
      <c r="E3" s="1684" t="str">
        <f>IF(D3,IF(D4=MAX(D4:D8),B4,IF(D5=MAX(D4:D8),B5,IF(D6=MAX(D4:D8),B6,IF(D7=MAX(D4:D8),B7,IF(D8=MAX(D4:D8),B8))))),"")</f>
        <v>ОКиА</v>
      </c>
      <c r="F3" s="1825"/>
      <c r="G3" s="1825"/>
      <c r="H3" s="1825"/>
      <c r="I3" s="1826"/>
      <c r="J3" s="291"/>
      <c r="L3" s="1796"/>
    </row>
    <row r="4" spans="1:26" x14ac:dyDescent="0.25">
      <c r="A4" s="1788"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796"/>
    </row>
    <row r="5" spans="1:26" x14ac:dyDescent="0.25">
      <c r="A5" s="1789"/>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796"/>
    </row>
    <row r="6" spans="1:26" ht="15.75" thickBot="1" x14ac:dyDescent="0.3">
      <c r="A6" s="1789"/>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796"/>
    </row>
    <row r="7" spans="1:26" x14ac:dyDescent="0.25">
      <c r="A7" s="1789"/>
      <c r="B7" s="134" t="s">
        <v>60</v>
      </c>
      <c r="C7" s="1679"/>
      <c r="D7" s="1687">
        <f>SUMIF($D$14:$D$251,"=Нормоконтроль ОП",$E$14:$E$251)</f>
        <v>0</v>
      </c>
      <c r="E7" s="1686"/>
      <c r="F7" s="291"/>
      <c r="G7" s="291"/>
      <c r="H7" s="291"/>
      <c r="I7" s="291"/>
      <c r="J7" s="1675"/>
      <c r="L7" s="1796"/>
    </row>
    <row r="8" spans="1:26" ht="15.75" thickBot="1" x14ac:dyDescent="0.3">
      <c r="A8" s="1790"/>
      <c r="B8" s="134" t="s">
        <v>120</v>
      </c>
      <c r="C8" s="1679"/>
      <c r="D8" s="1688">
        <f>SUMIF($D$14:$D$251,"Администратор проектов",$E$14:$E$251)+SUMIF($D$14:$D$251,"Ведущий РП",$E$14:$E$251)+SUMIF($D$14:$D$251,"РП",$E$14:$E$251)</f>
        <v>13.581250000000002</v>
      </c>
      <c r="E8" s="1689"/>
      <c r="F8" s="291"/>
      <c r="G8" s="291"/>
      <c r="H8" s="291"/>
      <c r="I8" s="291"/>
      <c r="J8" s="1675"/>
      <c r="L8" s="1796"/>
    </row>
    <row r="9" spans="1:26" x14ac:dyDescent="0.25">
      <c r="A9" s="136"/>
      <c r="C9" s="137" t="s">
        <v>121</v>
      </c>
      <c r="F9" s="1674"/>
      <c r="G9" s="1674"/>
      <c r="H9" s="1674"/>
      <c r="L9" s="1796"/>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796"/>
    </row>
    <row r="11" spans="1:26" ht="27" thickBot="1" x14ac:dyDescent="0.45">
      <c r="A11" s="91"/>
      <c r="B11" s="139"/>
      <c r="C11" s="139"/>
      <c r="D11" s="140" t="str">
        <f>IF(A253&lt;&gt;"","У расчета есть ограничения","")</f>
        <v/>
      </c>
      <c r="E11" s="1532"/>
      <c r="F11" s="91"/>
      <c r="G11" s="91"/>
      <c r="H11" s="91"/>
      <c r="I11" s="91"/>
      <c r="J11" s="91"/>
      <c r="K11" s="91"/>
      <c r="L11" s="1796"/>
    </row>
    <row r="12" spans="1:26" ht="15.75" thickBot="1" x14ac:dyDescent="0.3">
      <c r="F12" s="1804" t="s">
        <v>122</v>
      </c>
      <c r="G12" s="1805"/>
      <c r="H12" s="1805"/>
      <c r="I12" s="1805"/>
      <c r="J12" s="1806"/>
      <c r="K12" s="261"/>
    </row>
    <row r="13" spans="1:26" ht="90.75" thickBot="1" x14ac:dyDescent="0.3">
      <c r="A13" s="61" t="s">
        <v>59</v>
      </c>
      <c r="B13" s="95" t="s">
        <v>1515</v>
      </c>
      <c r="C13" s="95" t="s">
        <v>1528</v>
      </c>
      <c r="D13" s="60" t="s">
        <v>123</v>
      </c>
      <c r="E13" s="1638" t="s">
        <v>124</v>
      </c>
      <c r="F13" s="1640" t="s">
        <v>125</v>
      </c>
      <c r="G13" s="142" t="s">
        <v>1666</v>
      </c>
      <c r="H13" s="141" t="s">
        <v>126</v>
      </c>
      <c r="I13" s="141" t="s">
        <v>275</v>
      </c>
      <c r="J13" s="1641" t="s">
        <v>1665</v>
      </c>
      <c r="K13" s="1639" t="s">
        <v>127</v>
      </c>
      <c r="L13" s="1567" t="s">
        <v>874</v>
      </c>
      <c r="R13" s="1273" t="s">
        <v>87</v>
      </c>
      <c r="S13" s="1273" t="s">
        <v>566</v>
      </c>
      <c r="T13" s="1273" t="s">
        <v>119</v>
      </c>
    </row>
    <row r="14" spans="1:26" ht="15" customHeight="1" x14ac:dyDescent="0.25">
      <c r="A14" s="1795" t="s">
        <v>1595</v>
      </c>
      <c r="B14" s="1786" t="s">
        <v>1596</v>
      </c>
      <c r="C14" s="1786" t="s">
        <v>1529</v>
      </c>
      <c r="D14" s="1543" t="s">
        <v>594</v>
      </c>
      <c r="E14" s="1634">
        <f>IF(D14="Инженер ОК",ТрЗ_ОКиА!$K$28,IF(D14="Старший инженер ОК",ТрЗ_ОКиА!$L$28,IF(D14="Ведущий инженер ОК",ТрЗ_ОКиА!$M$28,"")))</f>
        <v>0.6</v>
      </c>
      <c r="F14" s="143"/>
      <c r="G14" s="143"/>
      <c r="H14" s="143"/>
      <c r="I14" s="143"/>
      <c r="J14" s="1637"/>
      <c r="K14" s="1797" t="s">
        <v>1557</v>
      </c>
      <c r="L14" s="93"/>
      <c r="M14" s="1800" t="s">
        <v>345</v>
      </c>
      <c r="N14" s="1801"/>
      <c r="O14" s="1801"/>
      <c r="Q14" s="1272">
        <v>1</v>
      </c>
      <c r="R14" s="129">
        <v>0</v>
      </c>
      <c r="S14" s="129">
        <v>1.4500000476837158</v>
      </c>
      <c r="T14" s="129">
        <v>0</v>
      </c>
    </row>
    <row r="15" spans="1:26" ht="15.75" x14ac:dyDescent="0.25">
      <c r="A15" s="1787"/>
      <c r="B15" s="1787"/>
      <c r="C15" s="1787"/>
      <c r="D15" s="1543" t="s">
        <v>595</v>
      </c>
      <c r="E15" s="1634">
        <f>IF(D15="Инженер ОК",ТрЗ_ОКиА!$K$28,IF(D15="Старший инженер ОК",ТрЗ_ОКиА!$L$28,IF(D15="Ведущий инженер ОК",ТрЗ_ОКиА!$M$28,"")))</f>
        <v>0.3</v>
      </c>
      <c r="F15" s="143"/>
      <c r="G15" s="143"/>
      <c r="H15" s="143"/>
      <c r="I15" s="144"/>
      <c r="J15" s="1637"/>
      <c r="K15" s="1798"/>
      <c r="M15" s="7" t="s">
        <v>87</v>
      </c>
      <c r="N15" s="7">
        <v>0</v>
      </c>
      <c r="O15" s="1802">
        <v>15</v>
      </c>
      <c r="Q15" s="1272">
        <v>2</v>
      </c>
      <c r="R15" s="129">
        <v>0</v>
      </c>
      <c r="S15" s="129">
        <v>0.25</v>
      </c>
      <c r="T15" s="129">
        <v>0</v>
      </c>
    </row>
    <row r="16" spans="1:26" ht="15" customHeight="1" x14ac:dyDescent="0.25">
      <c r="A16" s="1787"/>
      <c r="B16" s="1787"/>
      <c r="C16" s="1787"/>
      <c r="D16" s="1543" t="s">
        <v>596</v>
      </c>
      <c r="E16" s="1634">
        <f>IF(D16="Инженер ОК",ТрЗ_ОКиА!$K$28,IF(D16="Старший инженер ОК",ТрЗ_ОКиА!$L$28,IF(D16="Ведущий инженер ОК",ТрЗ_ОКиА!$M$28,"")))</f>
        <v>0.1</v>
      </c>
      <c r="F16" s="144"/>
      <c r="G16" s="144"/>
      <c r="H16" s="144"/>
      <c r="I16" s="144"/>
      <c r="J16" s="1637"/>
      <c r="K16" s="1798"/>
      <c r="M16" s="7" t="s">
        <v>566</v>
      </c>
      <c r="N16" s="7">
        <v>22</v>
      </c>
      <c r="O16" s="1802"/>
      <c r="Q16" s="1272"/>
    </row>
    <row r="17" spans="1:17" ht="15" customHeight="1" x14ac:dyDescent="0.25">
      <c r="A17" s="1787"/>
      <c r="B17" s="1787"/>
      <c r="C17" s="1787"/>
      <c r="D17" s="1543" t="s">
        <v>591</v>
      </c>
      <c r="E17" s="1634"/>
      <c r="F17" s="144"/>
      <c r="G17" s="144"/>
      <c r="H17" s="144"/>
      <c r="I17" s="144"/>
      <c r="J17" s="144"/>
      <c r="K17" s="1798"/>
      <c r="M17" s="7" t="s">
        <v>119</v>
      </c>
      <c r="N17" s="7">
        <v>0</v>
      </c>
      <c r="O17" s="1802"/>
      <c r="Q17" s="1272"/>
    </row>
    <row r="18" spans="1:17" ht="15" customHeight="1" x14ac:dyDescent="0.25">
      <c r="A18" s="1787"/>
      <c r="B18" s="1787"/>
      <c r="C18" s="1787"/>
      <c r="D18" s="1543" t="s">
        <v>591</v>
      </c>
      <c r="E18" s="1634"/>
      <c r="F18" s="144"/>
      <c r="G18" s="144"/>
      <c r="H18" s="144"/>
      <c r="I18" s="144"/>
      <c r="J18" s="144"/>
      <c r="K18" s="1798"/>
      <c r="M18" s="7"/>
      <c r="N18" s="7"/>
      <c r="O18" s="1622"/>
      <c r="Q18" s="1272"/>
    </row>
    <row r="19" spans="1:17" ht="15.75" x14ac:dyDescent="0.25">
      <c r="A19" s="1787"/>
      <c r="B19" s="1787"/>
      <c r="C19" s="1787"/>
      <c r="D19" s="1543" t="s">
        <v>592</v>
      </c>
      <c r="E19" s="1634"/>
      <c r="F19" s="144"/>
      <c r="G19" s="144"/>
      <c r="H19" s="144"/>
      <c r="I19" s="144"/>
      <c r="J19" s="144"/>
      <c r="K19" s="1798"/>
      <c r="M19" s="1803" t="s">
        <v>346</v>
      </c>
      <c r="N19" s="1803"/>
      <c r="O19" s="1803"/>
      <c r="Q19" s="1272"/>
    </row>
    <row r="20" spans="1:17" ht="15.75" x14ac:dyDescent="0.25">
      <c r="A20" s="1787"/>
      <c r="B20" s="1787"/>
      <c r="C20" s="1787"/>
      <c r="D20" s="1543" t="s">
        <v>592</v>
      </c>
      <c r="E20" s="1634"/>
      <c r="F20" s="144"/>
      <c r="G20" s="144"/>
      <c r="H20" s="144"/>
      <c r="I20" s="144"/>
      <c r="J20" s="144"/>
      <c r="K20" s="1798"/>
      <c r="M20" s="7" t="s">
        <v>87</v>
      </c>
      <c r="N20" s="7">
        <v>0</v>
      </c>
      <c r="O20" s="1802">
        <v>11</v>
      </c>
      <c r="Q20" s="1272"/>
    </row>
    <row r="21" spans="1:17" ht="15.75" x14ac:dyDescent="0.25">
      <c r="A21" s="1787"/>
      <c r="B21" s="1787"/>
      <c r="C21" s="1787"/>
      <c r="D21" s="1543" t="s">
        <v>593</v>
      </c>
      <c r="E21" s="1634"/>
      <c r="F21" s="144"/>
      <c r="G21" s="144"/>
      <c r="H21" s="144"/>
      <c r="I21" s="144"/>
      <c r="J21" s="144"/>
      <c r="K21" s="1798"/>
      <c r="M21" s="7"/>
      <c r="N21" s="7"/>
      <c r="O21" s="1802"/>
      <c r="Q21" s="1272"/>
    </row>
    <row r="22" spans="1:17" ht="15.75" x14ac:dyDescent="0.25">
      <c r="A22" s="1787"/>
      <c r="B22" s="1787"/>
      <c r="C22" s="1787"/>
      <c r="D22" s="1543" t="s">
        <v>593</v>
      </c>
      <c r="E22" s="1634"/>
      <c r="F22" s="144"/>
      <c r="G22" s="144"/>
      <c r="H22" s="144"/>
      <c r="I22" s="144"/>
      <c r="J22" s="144"/>
      <c r="K22" s="1798"/>
      <c r="M22" s="7" t="s">
        <v>566</v>
      </c>
      <c r="N22" s="7" t="s">
        <v>1224</v>
      </c>
      <c r="O22" s="1802"/>
      <c r="Q22" s="1272"/>
    </row>
    <row r="23" spans="1:17" ht="16.5" thickBot="1" x14ac:dyDescent="0.3">
      <c r="A23" s="1787"/>
      <c r="B23" s="1791" t="s">
        <v>1597</v>
      </c>
      <c r="C23" s="1791" t="s">
        <v>1598</v>
      </c>
      <c r="D23" s="1543" t="s">
        <v>594</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798"/>
      <c r="M23" s="7" t="s">
        <v>119</v>
      </c>
      <c r="N23" s="7">
        <v>0</v>
      </c>
      <c r="O23" s="1802"/>
      <c r="Q23" s="1272"/>
    </row>
    <row r="24" spans="1:17" ht="16.5" thickBot="1" x14ac:dyDescent="0.3">
      <c r="A24" s="1787"/>
      <c r="B24" s="1792"/>
      <c r="C24" s="1792"/>
      <c r="D24" s="1543" t="s">
        <v>595</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798"/>
      <c r="M24" s="7"/>
      <c r="N24" s="7"/>
      <c r="O24" s="1802"/>
      <c r="Q24" s="1272"/>
    </row>
    <row r="25" spans="1:17" ht="16.5" thickBot="1" x14ac:dyDescent="0.3">
      <c r="A25" s="1787"/>
      <c r="B25" s="1792"/>
      <c r="C25" s="1792"/>
      <c r="D25" s="1545" t="s">
        <v>596</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798"/>
      <c r="M25" s="7" t="s">
        <v>87</v>
      </c>
      <c r="N25" s="7">
        <v>0</v>
      </c>
      <c r="O25" s="1802"/>
      <c r="Q25" s="1272"/>
    </row>
    <row r="26" spans="1:17" ht="16.5" thickBot="1" x14ac:dyDescent="0.3">
      <c r="A26" s="1787"/>
      <c r="B26" s="1792"/>
      <c r="C26" s="1792"/>
      <c r="D26" s="1543" t="s">
        <v>591</v>
      </c>
      <c r="E26" s="1634"/>
      <c r="F26" s="144"/>
      <c r="G26" s="144"/>
      <c r="H26" s="144"/>
      <c r="I26" s="144"/>
      <c r="J26" s="144"/>
      <c r="K26" s="1798"/>
      <c r="M26" s="7" t="s">
        <v>566</v>
      </c>
      <c r="N26" s="7">
        <v>0</v>
      </c>
      <c r="O26" s="1802"/>
      <c r="Q26" s="1272"/>
    </row>
    <row r="27" spans="1:17" ht="16.5" thickBot="1" x14ac:dyDescent="0.3">
      <c r="A27" s="1787"/>
      <c r="B27" s="1792"/>
      <c r="C27" s="1792"/>
      <c r="D27" s="1543" t="s">
        <v>592</v>
      </c>
      <c r="E27" s="1634"/>
      <c r="F27" s="144"/>
      <c r="G27" s="144"/>
      <c r="H27" s="144"/>
      <c r="I27" s="144"/>
      <c r="J27" s="144"/>
      <c r="K27" s="1798"/>
      <c r="M27" s="7"/>
      <c r="N27" s="7"/>
      <c r="O27" s="1802"/>
      <c r="Q27" s="1272"/>
    </row>
    <row r="28" spans="1:17" ht="16.5" thickBot="1" x14ac:dyDescent="0.3">
      <c r="A28" s="1787"/>
      <c r="B28" s="1792"/>
      <c r="C28" s="1792"/>
      <c r="D28" s="1543" t="s">
        <v>593</v>
      </c>
      <c r="E28" s="1634"/>
      <c r="F28" s="144"/>
      <c r="G28" s="144"/>
      <c r="H28" s="144"/>
      <c r="I28" s="144"/>
      <c r="J28" s="144"/>
      <c r="K28" s="1798"/>
      <c r="M28" s="7" t="s">
        <v>119</v>
      </c>
      <c r="N28" s="7">
        <v>0</v>
      </c>
      <c r="O28" s="1802"/>
      <c r="Q28" s="1272"/>
    </row>
    <row r="29" spans="1:17" ht="15.75" x14ac:dyDescent="0.25">
      <c r="A29" s="1787"/>
      <c r="B29" s="1793"/>
      <c r="C29" s="1793"/>
      <c r="D29" s="1544" t="s">
        <v>1223</v>
      </c>
      <c r="E29" s="1634"/>
      <c r="F29" s="144"/>
      <c r="G29" s="144"/>
      <c r="H29" s="144"/>
      <c r="I29" s="144"/>
      <c r="J29" s="144"/>
      <c r="K29" s="1798"/>
      <c r="L29" s="1542" t="s">
        <v>1524</v>
      </c>
      <c r="M29" s="7"/>
      <c r="N29" s="7"/>
      <c r="O29" s="1802"/>
      <c r="Q29" s="1272"/>
    </row>
    <row r="30" spans="1:17" ht="16.5" thickBot="1" x14ac:dyDescent="0.3">
      <c r="A30" s="1787"/>
      <c r="B30" s="1791" t="s">
        <v>1599</v>
      </c>
      <c r="C30" s="1791" t="s">
        <v>1530</v>
      </c>
      <c r="D30" s="1543" t="s">
        <v>594</v>
      </c>
      <c r="E30" s="1634">
        <f>IF(D30="Инженер ОК",ТрЗ_ОКиА!$K$35,IF(D30="Старший инженер ОК",ТрЗ_ОКиА!$L$35,IF(D30="Ведущий инженер ОК",ТрЗ_ОКиА!$M$35,"")))</f>
        <v>4</v>
      </c>
      <c r="F30" s="144"/>
      <c r="G30" s="144"/>
      <c r="H30" s="144"/>
      <c r="I30" s="144"/>
      <c r="J30" s="144"/>
      <c r="K30" s="1798"/>
      <c r="M30" s="7" t="s">
        <v>119</v>
      </c>
      <c r="N30" s="7">
        <v>0</v>
      </c>
      <c r="O30" s="1802"/>
      <c r="Q30" s="1272"/>
    </row>
    <row r="31" spans="1:17" ht="16.5" thickBot="1" x14ac:dyDescent="0.3">
      <c r="A31" s="1787"/>
      <c r="B31" s="1792"/>
      <c r="C31" s="1792"/>
      <c r="D31" s="1543" t="s">
        <v>595</v>
      </c>
      <c r="E31" s="1634">
        <f>IF(D31="Инженер ОК",ТрЗ_ОКиА!$K$35,IF(D31="Старший инженер ОК",ТрЗ_ОКиА!$L$35,IF(D31="Ведущий инженер ОК",ТрЗ_ОКиА!$M$35,"")))</f>
        <v>3.2</v>
      </c>
      <c r="F31" s="144"/>
      <c r="G31" s="144"/>
      <c r="H31" s="144"/>
      <c r="I31" s="144"/>
      <c r="J31" s="144"/>
      <c r="K31" s="1798"/>
      <c r="M31" s="1803" t="s">
        <v>344</v>
      </c>
      <c r="N31" s="1801"/>
      <c r="O31" s="1801"/>
      <c r="Q31" s="1272"/>
    </row>
    <row r="32" spans="1:17" ht="16.5" thickBot="1" x14ac:dyDescent="0.3">
      <c r="A32" s="1787"/>
      <c r="B32" s="1792"/>
      <c r="C32" s="1792"/>
      <c r="D32" s="1545" t="s">
        <v>596</v>
      </c>
      <c r="E32" s="1634">
        <f>IF(D32="Инженер ОК",ТрЗ_ОКиА!$K$35,IF(D32="Старший инженер ОК",ТрЗ_ОКиА!$L$35,IF(D32="Ведущий инженер ОК",ТрЗ_ОКиА!$M$35,"")))</f>
        <v>0.8</v>
      </c>
      <c r="F32" s="144"/>
      <c r="G32" s="144"/>
      <c r="H32" s="144"/>
      <c r="I32" s="144"/>
      <c r="J32" s="144"/>
      <c r="K32" s="1798"/>
      <c r="M32" s="7" t="s">
        <v>87</v>
      </c>
      <c r="N32" s="7">
        <v>0</v>
      </c>
      <c r="O32" s="1802"/>
      <c r="Q32" s="1272"/>
    </row>
    <row r="33" spans="1:21" ht="16.5" thickBot="1" x14ac:dyDescent="0.3">
      <c r="A33" s="1787"/>
      <c r="B33" s="1792"/>
      <c r="C33" s="1792"/>
      <c r="D33" s="1543" t="s">
        <v>591</v>
      </c>
      <c r="E33" s="1634"/>
      <c r="F33" s="144"/>
      <c r="G33" s="144"/>
      <c r="H33" s="144"/>
      <c r="I33" s="144"/>
      <c r="J33" s="144"/>
      <c r="K33" s="1798"/>
      <c r="M33" s="7" t="s">
        <v>566</v>
      </c>
      <c r="N33" s="7">
        <v>0</v>
      </c>
      <c r="O33" s="1802"/>
      <c r="Q33" s="1272"/>
    </row>
    <row r="34" spans="1:21" ht="16.5" thickBot="1" x14ac:dyDescent="0.3">
      <c r="A34" s="1787"/>
      <c r="B34" s="1792"/>
      <c r="C34" s="1792"/>
      <c r="D34" s="1543" t="s">
        <v>592</v>
      </c>
      <c r="E34" s="1634"/>
      <c r="F34" s="144"/>
      <c r="G34" s="144"/>
      <c r="H34" s="144"/>
      <c r="I34" s="144"/>
      <c r="J34" s="144"/>
      <c r="K34" s="1798"/>
      <c r="M34" s="7"/>
      <c r="N34" s="7"/>
      <c r="O34" s="1802"/>
      <c r="Q34" s="1272"/>
    </row>
    <row r="35" spans="1:21" ht="16.5" thickBot="1" x14ac:dyDescent="0.3">
      <c r="A35" s="1787"/>
      <c r="B35" s="1792"/>
      <c r="C35" s="1792"/>
      <c r="D35" s="1543" t="s">
        <v>593</v>
      </c>
      <c r="E35" s="1634"/>
      <c r="F35" s="144"/>
      <c r="G35" s="144"/>
      <c r="H35" s="144"/>
      <c r="I35" s="144"/>
      <c r="J35" s="144"/>
      <c r="K35" s="1798"/>
      <c r="M35" s="7" t="s">
        <v>119</v>
      </c>
      <c r="N35" s="7">
        <v>0</v>
      </c>
      <c r="O35" s="1802"/>
      <c r="Q35" s="1272"/>
      <c r="R35" s="1272"/>
      <c r="S35" s="1272"/>
      <c r="T35" s="1272"/>
      <c r="U35" s="1272"/>
    </row>
    <row r="36" spans="1:21" ht="15.75" x14ac:dyDescent="0.25">
      <c r="A36" s="1787"/>
      <c r="B36" s="1793"/>
      <c r="C36" s="1793"/>
      <c r="D36" s="1544" t="s">
        <v>1223</v>
      </c>
      <c r="E36" s="1634"/>
      <c r="F36" s="144"/>
      <c r="G36" s="144"/>
      <c r="H36" s="144"/>
      <c r="I36" s="144"/>
      <c r="J36" s="144"/>
      <c r="K36" s="1798"/>
      <c r="L36" s="1542" t="s">
        <v>1524</v>
      </c>
      <c r="M36" s="7"/>
      <c r="N36" s="7"/>
      <c r="O36" s="1622"/>
      <c r="Q36" s="1272"/>
      <c r="R36" s="1272"/>
      <c r="S36" s="1272"/>
      <c r="T36" s="1272"/>
      <c r="U36" s="1272"/>
    </row>
    <row r="37" spans="1:21" ht="15.75" x14ac:dyDescent="0.25">
      <c r="A37" s="1787"/>
      <c r="B37" s="1549" t="s">
        <v>1520</v>
      </c>
      <c r="C37" s="1549"/>
      <c r="D37" s="1547" t="s">
        <v>622</v>
      </c>
      <c r="E37" s="1635">
        <f>SUM(E14:E36)*0.1</f>
        <v>1.9000000000000001</v>
      </c>
      <c r="F37" s="144"/>
      <c r="G37" s="144"/>
      <c r="H37" s="144"/>
      <c r="I37" s="144"/>
      <c r="J37" s="144"/>
      <c r="K37" s="1798"/>
      <c r="M37" s="1803" t="s">
        <v>273</v>
      </c>
      <c r="N37" s="1801"/>
      <c r="O37" s="1801"/>
      <c r="Q37" s="1272"/>
      <c r="R37" s="1272"/>
      <c r="S37" s="1272"/>
      <c r="T37" s="1272"/>
      <c r="U37" s="1272"/>
    </row>
    <row r="38" spans="1:21" ht="16.5" thickBot="1" x14ac:dyDescent="0.3">
      <c r="A38" s="1794"/>
      <c r="B38" s="1550" t="s">
        <v>1521</v>
      </c>
      <c r="C38" s="1550"/>
      <c r="D38" s="1547" t="s">
        <v>156</v>
      </c>
      <c r="E38" s="1635">
        <f>SUM(E14:E36)*0.2</f>
        <v>3.8000000000000003</v>
      </c>
      <c r="F38" s="144"/>
      <c r="G38" s="144"/>
      <c r="H38" s="144"/>
      <c r="I38" s="144"/>
      <c r="J38" s="144"/>
      <c r="K38" s="1799"/>
      <c r="M38" s="7" t="s">
        <v>87</v>
      </c>
      <c r="N38" s="7">
        <v>0</v>
      </c>
      <c r="O38" s="1802"/>
      <c r="Q38" s="1272"/>
      <c r="R38" s="1272"/>
      <c r="S38" s="1272"/>
      <c r="T38" s="1272"/>
      <c r="U38" s="1272"/>
    </row>
    <row r="39" spans="1:21" ht="15.6" customHeight="1" x14ac:dyDescent="0.25">
      <c r="A39" s="1795" t="s">
        <v>1600</v>
      </c>
      <c r="B39" s="1786" t="s">
        <v>1596</v>
      </c>
      <c r="C39" s="1786" t="s">
        <v>1529</v>
      </c>
      <c r="D39" s="1543" t="s">
        <v>594</v>
      </c>
      <c r="E39" s="1634">
        <f>IF(D39="Инженер ОК",ТрЗ_ОКиА!$K$92,IF(D39="Старший инженер ОК",ТрЗ_ОКиА!$L$92,IF(D39="Ведущий инженер ОК",ТрЗ_ОКиА!$M$92,"")))</f>
        <v>0.6</v>
      </c>
      <c r="F39" s="143"/>
      <c r="G39" s="143"/>
      <c r="H39" s="143"/>
      <c r="I39" s="144"/>
      <c r="J39" s="143"/>
      <c r="K39" s="1797" t="s">
        <v>1557</v>
      </c>
      <c r="L39" s="93"/>
      <c r="M39" s="7"/>
      <c r="N39" s="7"/>
      <c r="O39" s="1802"/>
      <c r="Q39" s="1272"/>
      <c r="R39" s="1272"/>
      <c r="S39" s="1272"/>
      <c r="T39" s="1272"/>
      <c r="U39" s="1272"/>
    </row>
    <row r="40" spans="1:21" ht="15.75" x14ac:dyDescent="0.25">
      <c r="A40" s="1787"/>
      <c r="B40" s="1787"/>
      <c r="C40" s="1787"/>
      <c r="D40" s="1543" t="s">
        <v>595</v>
      </c>
      <c r="E40" s="1634">
        <f>IF(D40="Инженер ОК",ТрЗ_ОКиА!$K$92,IF(D40="Старший инженер ОК",ТрЗ_ОКиА!$L$92,IF(D40="Ведущий инженер ОК",ТрЗ_ОКиА!$M$92,"")))</f>
        <v>0.3</v>
      </c>
      <c r="F40" s="143"/>
      <c r="G40" s="143"/>
      <c r="H40" s="143"/>
      <c r="I40" s="144"/>
      <c r="J40" s="143"/>
      <c r="K40" s="1798"/>
      <c r="M40" s="7" t="s">
        <v>87</v>
      </c>
      <c r="N40" s="7">
        <v>0</v>
      </c>
      <c r="O40" s="1802"/>
      <c r="Q40" s="1272"/>
      <c r="R40" s="1272"/>
      <c r="S40" s="1272"/>
      <c r="T40" s="1272"/>
      <c r="U40" s="1272"/>
    </row>
    <row r="41" spans="1:21" ht="15" customHeight="1" x14ac:dyDescent="0.25">
      <c r="A41" s="1787"/>
      <c r="B41" s="1787"/>
      <c r="C41" s="1787"/>
      <c r="D41" s="1543" t="s">
        <v>596</v>
      </c>
      <c r="E41" s="1634">
        <f>IF(D41="Инженер ОК",ТрЗ_ОКиА!$K$92,IF(D41="Старший инженер ОК",ТрЗ_ОКиА!$L$92,IF(D41="Ведущий инженер ОК",ТрЗ_ОКиА!$M$92,"")))</f>
        <v>0.1</v>
      </c>
      <c r="F41" s="144"/>
      <c r="G41" s="144"/>
      <c r="H41" s="144"/>
      <c r="I41" s="144"/>
      <c r="J41" s="144"/>
      <c r="K41" s="1798"/>
      <c r="M41" s="7" t="s">
        <v>566</v>
      </c>
      <c r="N41" s="7">
        <v>22</v>
      </c>
      <c r="O41" s="1802"/>
      <c r="Q41" s="1272"/>
      <c r="R41" s="1272"/>
      <c r="S41" s="1272"/>
      <c r="T41" s="1272"/>
      <c r="U41" s="1272"/>
    </row>
    <row r="42" spans="1:21" ht="15" customHeight="1" x14ac:dyDescent="0.25">
      <c r="A42" s="1787"/>
      <c r="B42" s="1787"/>
      <c r="C42" s="1787"/>
      <c r="D42" s="1543" t="s">
        <v>591</v>
      </c>
      <c r="E42" s="1634"/>
      <c r="F42" s="144"/>
      <c r="G42" s="144"/>
      <c r="H42" s="144"/>
      <c r="I42" s="144"/>
      <c r="J42" s="144"/>
      <c r="K42" s="1798"/>
      <c r="M42" s="7" t="s">
        <v>119</v>
      </c>
      <c r="N42" s="7">
        <v>0</v>
      </c>
      <c r="O42" s="1802"/>
      <c r="Q42" s="1272"/>
      <c r="R42" s="1272"/>
      <c r="S42" s="1272"/>
      <c r="T42" s="1272"/>
      <c r="U42" s="1272"/>
    </row>
    <row r="43" spans="1:21" ht="15" customHeight="1" x14ac:dyDescent="0.25">
      <c r="A43" s="1787"/>
      <c r="B43" s="1787"/>
      <c r="C43" s="1787"/>
      <c r="D43" s="1543" t="s">
        <v>591</v>
      </c>
      <c r="E43" s="1634"/>
      <c r="F43" s="144"/>
      <c r="G43" s="144"/>
      <c r="H43" s="144"/>
      <c r="I43" s="144"/>
      <c r="J43" s="144"/>
      <c r="K43" s="1798"/>
      <c r="M43" s="7"/>
      <c r="N43" s="7"/>
      <c r="O43" s="1802"/>
      <c r="Q43" s="1272"/>
      <c r="R43" s="1272"/>
      <c r="S43" s="1272"/>
      <c r="T43" s="1272"/>
      <c r="U43" s="1272"/>
    </row>
    <row r="44" spans="1:21" ht="15.75" x14ac:dyDescent="0.25">
      <c r="A44" s="1787"/>
      <c r="B44" s="1787"/>
      <c r="C44" s="1787"/>
      <c r="D44" s="1543" t="s">
        <v>592</v>
      </c>
      <c r="E44" s="1634"/>
      <c r="F44" s="144"/>
      <c r="G44" s="144"/>
      <c r="H44" s="144"/>
      <c r="I44" s="144"/>
      <c r="J44" s="144"/>
      <c r="K44" s="1798"/>
      <c r="M44" s="7"/>
      <c r="N44" s="7"/>
      <c r="O44" s="1802"/>
      <c r="Q44" s="1272"/>
    </row>
    <row r="45" spans="1:21" ht="15.75" x14ac:dyDescent="0.25">
      <c r="A45" s="1787"/>
      <c r="B45" s="1787"/>
      <c r="C45" s="1787"/>
      <c r="D45" s="1543" t="s">
        <v>592</v>
      </c>
      <c r="E45" s="1634"/>
      <c r="F45" s="144"/>
      <c r="G45" s="144"/>
      <c r="H45" s="144"/>
      <c r="I45" s="144"/>
      <c r="J45" s="144"/>
      <c r="K45" s="1798"/>
      <c r="M45" s="7" t="s">
        <v>87</v>
      </c>
      <c r="N45" s="7">
        <v>0</v>
      </c>
      <c r="O45" s="1802"/>
      <c r="Q45" s="1272"/>
    </row>
    <row r="46" spans="1:21" ht="15.75" x14ac:dyDescent="0.25">
      <c r="A46" s="1787"/>
      <c r="B46" s="1787"/>
      <c r="C46" s="1787"/>
      <c r="D46" s="1543" t="s">
        <v>593</v>
      </c>
      <c r="E46" s="1634"/>
      <c r="F46" s="144"/>
      <c r="G46" s="144"/>
      <c r="H46" s="144"/>
      <c r="I46" s="144"/>
      <c r="J46" s="144"/>
      <c r="K46" s="1798"/>
      <c r="M46" s="7"/>
      <c r="N46" s="7"/>
      <c r="O46" s="1802"/>
      <c r="Q46" s="1272"/>
    </row>
    <row r="47" spans="1:21" ht="15.75" x14ac:dyDescent="0.25">
      <c r="A47" s="1787"/>
      <c r="B47" s="1787"/>
      <c r="C47" s="1787"/>
      <c r="D47" s="1543" t="s">
        <v>593</v>
      </c>
      <c r="E47" s="1634"/>
      <c r="F47" s="144"/>
      <c r="G47" s="144"/>
      <c r="H47" s="144"/>
      <c r="I47" s="144"/>
      <c r="J47" s="144"/>
      <c r="K47" s="1798"/>
      <c r="M47" s="7" t="s">
        <v>566</v>
      </c>
      <c r="N47" s="7" t="s">
        <v>1224</v>
      </c>
      <c r="O47" s="1802"/>
      <c r="Q47" s="1272"/>
    </row>
    <row r="48" spans="1:21" ht="16.5" customHeight="1" thickBot="1" x14ac:dyDescent="0.3">
      <c r="A48" s="1787"/>
      <c r="B48" s="1791" t="s">
        <v>1597</v>
      </c>
      <c r="C48" s="1791" t="s">
        <v>1598</v>
      </c>
      <c r="D48" s="1543" t="s">
        <v>594</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798"/>
      <c r="M48" s="7" t="s">
        <v>119</v>
      </c>
      <c r="N48" s="7">
        <v>0</v>
      </c>
      <c r="O48" s="1802"/>
      <c r="Q48" s="1272"/>
    </row>
    <row r="49" spans="1:21" ht="16.5" thickBot="1" x14ac:dyDescent="0.3">
      <c r="A49" s="1787"/>
      <c r="B49" s="1792"/>
      <c r="C49" s="1792"/>
      <c r="D49" s="1543" t="s">
        <v>595</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798"/>
      <c r="M49" s="7"/>
      <c r="N49" s="7"/>
      <c r="O49" s="1802"/>
      <c r="Q49" s="1272"/>
    </row>
    <row r="50" spans="1:21" ht="16.5" thickBot="1" x14ac:dyDescent="0.3">
      <c r="A50" s="1787"/>
      <c r="B50" s="1792"/>
      <c r="C50" s="1792"/>
      <c r="D50" s="1545" t="s">
        <v>596</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798"/>
      <c r="M50" s="7" t="s">
        <v>87</v>
      </c>
      <c r="N50" s="7">
        <v>0</v>
      </c>
      <c r="O50" s="1802"/>
      <c r="Q50" s="1272"/>
    </row>
    <row r="51" spans="1:21" ht="16.5" thickBot="1" x14ac:dyDescent="0.3">
      <c r="A51" s="1787"/>
      <c r="B51" s="1792"/>
      <c r="C51" s="1792"/>
      <c r="D51" s="1543" t="s">
        <v>591</v>
      </c>
      <c r="E51" s="1634"/>
      <c r="F51" s="144"/>
      <c r="G51" s="144"/>
      <c r="H51" s="144"/>
      <c r="I51" s="144"/>
      <c r="J51" s="144"/>
      <c r="K51" s="1798"/>
      <c r="M51" s="7" t="s">
        <v>566</v>
      </c>
      <c r="N51" s="7">
        <v>0</v>
      </c>
      <c r="O51" s="1802"/>
      <c r="Q51" s="1272"/>
    </row>
    <row r="52" spans="1:21" ht="16.5" thickBot="1" x14ac:dyDescent="0.3">
      <c r="A52" s="1787"/>
      <c r="B52" s="1792"/>
      <c r="C52" s="1792"/>
      <c r="D52" s="1543" t="s">
        <v>592</v>
      </c>
      <c r="E52" s="1634"/>
      <c r="F52" s="144"/>
      <c r="G52" s="144"/>
      <c r="H52" s="144"/>
      <c r="I52" s="144"/>
      <c r="J52" s="144"/>
      <c r="K52" s="1798"/>
      <c r="M52" s="7"/>
      <c r="N52" s="7"/>
      <c r="O52" s="1802"/>
      <c r="Q52" s="1272"/>
    </row>
    <row r="53" spans="1:21" ht="16.5" thickBot="1" x14ac:dyDescent="0.3">
      <c r="A53" s="1787"/>
      <c r="B53" s="1792"/>
      <c r="C53" s="1792"/>
      <c r="D53" s="1543" t="s">
        <v>593</v>
      </c>
      <c r="E53" s="1634"/>
      <c r="F53" s="144"/>
      <c r="G53" s="144"/>
      <c r="H53" s="144"/>
      <c r="I53" s="144"/>
      <c r="J53" s="144"/>
      <c r="K53" s="1798"/>
      <c r="M53" s="7" t="s">
        <v>119</v>
      </c>
      <c r="N53" s="7">
        <v>0</v>
      </c>
      <c r="O53" s="1802"/>
      <c r="Q53" s="1272"/>
    </row>
    <row r="54" spans="1:21" ht="15.75" x14ac:dyDescent="0.25">
      <c r="A54" s="1787"/>
      <c r="B54" s="1793"/>
      <c r="C54" s="1793"/>
      <c r="D54" s="1544" t="s">
        <v>1223</v>
      </c>
      <c r="E54" s="1634"/>
      <c r="F54" s="144"/>
      <c r="G54" s="144"/>
      <c r="H54" s="144"/>
      <c r="I54" s="144"/>
      <c r="J54" s="144"/>
      <c r="K54" s="1798"/>
      <c r="L54" s="1542" t="s">
        <v>1524</v>
      </c>
      <c r="M54" s="7"/>
      <c r="N54" s="7"/>
      <c r="O54" s="1802"/>
      <c r="Q54" s="1272"/>
    </row>
    <row r="55" spans="1:21" ht="16.5" customHeight="1" thickBot="1" x14ac:dyDescent="0.3">
      <c r="A55" s="1787"/>
      <c r="B55" s="1791" t="s">
        <v>1599</v>
      </c>
      <c r="C55" s="1791" t="s">
        <v>1530</v>
      </c>
      <c r="D55" s="1543" t="s">
        <v>594</v>
      </c>
      <c r="E55" s="1634">
        <f>IF(D55="Инженер ОК",ТрЗ_ОКиА!$K$101,IF(D55="Старший инженер ОК",ТрЗ_ОКиА!$L$101,IF(D55="Ведущий инженер ОК",ТрЗ_ОКиА!$M$101,"")))</f>
        <v>3.15</v>
      </c>
      <c r="F55" s="144"/>
      <c r="G55" s="144"/>
      <c r="H55" s="144"/>
      <c r="I55" s="144"/>
      <c r="J55" s="144"/>
      <c r="K55" s="1798"/>
      <c r="M55" s="7" t="s">
        <v>119</v>
      </c>
      <c r="N55" s="7">
        <v>0</v>
      </c>
      <c r="O55" s="1802"/>
      <c r="Q55" s="1272"/>
    </row>
    <row r="56" spans="1:21" ht="16.5" thickBot="1" x14ac:dyDescent="0.3">
      <c r="A56" s="1787"/>
      <c r="B56" s="1792"/>
      <c r="C56" s="1792"/>
      <c r="D56" s="1543" t="s">
        <v>595</v>
      </c>
      <c r="E56" s="1634">
        <f>IF(D56="Инженер ОК",ТрЗ_ОКиА!$K$101,IF(D56="Старший инженер ОК",ТрЗ_ОКиА!$L$101,IF(D56="Ведущий инженер ОК",ТрЗ_ОКиА!$M$101,"")))</f>
        <v>2.52</v>
      </c>
      <c r="F56" s="144"/>
      <c r="G56" s="144"/>
      <c r="H56" s="144"/>
      <c r="I56" s="144"/>
      <c r="J56" s="144"/>
      <c r="K56" s="1798"/>
      <c r="M56" s="7"/>
      <c r="N56" s="7"/>
      <c r="O56" s="1802"/>
      <c r="Q56" s="1272"/>
    </row>
    <row r="57" spans="1:21" ht="16.5" thickBot="1" x14ac:dyDescent="0.3">
      <c r="A57" s="1787"/>
      <c r="B57" s="1792"/>
      <c r="C57" s="1792"/>
      <c r="D57" s="1545" t="s">
        <v>596</v>
      </c>
      <c r="E57" s="1634">
        <f>IF(D57="Инженер ОК",ТрЗ_ОКиА!$K$101,IF(D57="Старший инженер ОК",ТрЗ_ОКиА!$L$101,IF(D57="Ведущий инженер ОК",ТрЗ_ОКиА!$M$101,"")))</f>
        <v>0.63</v>
      </c>
      <c r="F57" s="144"/>
      <c r="G57" s="144"/>
      <c r="H57" s="144"/>
      <c r="I57" s="144"/>
      <c r="J57" s="144"/>
      <c r="K57" s="1798"/>
      <c r="M57" s="7" t="s">
        <v>87</v>
      </c>
      <c r="N57" s="7">
        <v>0</v>
      </c>
      <c r="O57" s="1802"/>
      <c r="Q57" s="1272"/>
    </row>
    <row r="58" spans="1:21" ht="16.5" thickBot="1" x14ac:dyDescent="0.3">
      <c r="A58" s="1787"/>
      <c r="B58" s="1792"/>
      <c r="C58" s="1792"/>
      <c r="D58" s="1543" t="s">
        <v>591</v>
      </c>
      <c r="E58" s="1634"/>
      <c r="F58" s="144"/>
      <c r="G58" s="144"/>
      <c r="H58" s="144"/>
      <c r="I58" s="144"/>
      <c r="J58" s="144"/>
      <c r="K58" s="1798"/>
      <c r="M58" s="7" t="s">
        <v>566</v>
      </c>
      <c r="N58" s="7">
        <v>0</v>
      </c>
      <c r="O58" s="1802"/>
      <c r="Q58" s="1272"/>
    </row>
    <row r="59" spans="1:21" ht="16.5" thickBot="1" x14ac:dyDescent="0.3">
      <c r="A59" s="1787"/>
      <c r="B59" s="1792"/>
      <c r="C59" s="1792"/>
      <c r="D59" s="1543" t="s">
        <v>592</v>
      </c>
      <c r="E59" s="1634"/>
      <c r="F59" s="144"/>
      <c r="G59" s="144"/>
      <c r="H59" s="144"/>
      <c r="I59" s="144"/>
      <c r="J59" s="144"/>
      <c r="K59" s="1798"/>
      <c r="M59" s="7"/>
      <c r="N59" s="7"/>
      <c r="O59" s="1802"/>
      <c r="Q59" s="1272"/>
    </row>
    <row r="60" spans="1:21" ht="16.5" thickBot="1" x14ac:dyDescent="0.3">
      <c r="A60" s="1787"/>
      <c r="B60" s="1792"/>
      <c r="C60" s="1792"/>
      <c r="D60" s="1543" t="s">
        <v>593</v>
      </c>
      <c r="E60" s="1634"/>
      <c r="F60" s="144"/>
      <c r="G60" s="144"/>
      <c r="H60" s="144"/>
      <c r="I60" s="144"/>
      <c r="J60" s="144"/>
      <c r="K60" s="1798"/>
      <c r="M60" s="7" t="s">
        <v>119</v>
      </c>
      <c r="N60" s="7">
        <v>0</v>
      </c>
      <c r="O60" s="1802"/>
      <c r="Q60" s="1272"/>
    </row>
    <row r="61" spans="1:21" ht="15.75" x14ac:dyDescent="0.25">
      <c r="A61" s="1787"/>
      <c r="B61" s="1793"/>
      <c r="C61" s="1793"/>
      <c r="D61" s="1544" t="s">
        <v>1223</v>
      </c>
      <c r="E61" s="1634"/>
      <c r="F61" s="144"/>
      <c r="G61" s="144"/>
      <c r="H61" s="144"/>
      <c r="I61" s="144"/>
      <c r="J61" s="144"/>
      <c r="K61" s="1798"/>
      <c r="L61" s="1542" t="s">
        <v>1524</v>
      </c>
      <c r="M61" s="7"/>
      <c r="N61" s="7"/>
      <c r="O61" s="1802"/>
      <c r="Q61" s="1272"/>
    </row>
    <row r="62" spans="1:21" ht="15.75" x14ac:dyDescent="0.25">
      <c r="A62" s="1787"/>
      <c r="B62" s="1549" t="s">
        <v>1520</v>
      </c>
      <c r="C62" s="1549"/>
      <c r="D62" s="1547" t="s">
        <v>622</v>
      </c>
      <c r="E62" s="1635">
        <f>SUM(E39:E61)*0.1</f>
        <v>1.5300000000000002</v>
      </c>
      <c r="F62" s="144"/>
      <c r="G62" s="144"/>
      <c r="H62" s="144"/>
      <c r="I62" s="144"/>
      <c r="J62" s="144"/>
      <c r="K62" s="1798"/>
      <c r="M62" s="7"/>
      <c r="N62" s="7"/>
      <c r="O62" s="1802"/>
      <c r="Q62" s="1272"/>
    </row>
    <row r="63" spans="1:21" ht="16.5" thickBot="1" x14ac:dyDescent="0.3">
      <c r="A63" s="1794"/>
      <c r="B63" s="1550" t="s">
        <v>1521</v>
      </c>
      <c r="C63" s="1550"/>
      <c r="D63" s="1547" t="s">
        <v>156</v>
      </c>
      <c r="E63" s="1635">
        <f>SUM(E39:E61)*0.2</f>
        <v>3.0600000000000005</v>
      </c>
      <c r="F63" s="144"/>
      <c r="G63" s="144"/>
      <c r="H63" s="144"/>
      <c r="I63" s="144"/>
      <c r="J63" s="144"/>
      <c r="K63" s="1799"/>
      <c r="M63" s="7" t="s">
        <v>87</v>
      </c>
      <c r="N63" s="7">
        <v>0</v>
      </c>
      <c r="O63" s="1802"/>
      <c r="Q63" s="1272"/>
    </row>
    <row r="64" spans="1:21" ht="15.6" customHeight="1" x14ac:dyDescent="0.25">
      <c r="A64" s="1795" t="s">
        <v>1601</v>
      </c>
      <c r="B64" s="1786" t="s">
        <v>1596</v>
      </c>
      <c r="C64" s="1786" t="s">
        <v>1529</v>
      </c>
      <c r="D64" s="1543" t="s">
        <v>594</v>
      </c>
      <c r="E64" s="1634">
        <f>IF(D64="Инженер ОК",ТрЗ_ОКиА!$K$170,IF(D64="Старший инженер ОК",ТрЗ_ОКиА!$L$170,IF(D64="Ведущий инженер ОК",ТрЗ_ОКиА!$M$170,"")))</f>
        <v>1</v>
      </c>
      <c r="F64" s="143"/>
      <c r="G64" s="143"/>
      <c r="H64" s="143"/>
      <c r="I64" s="144"/>
      <c r="J64" s="143"/>
      <c r="K64" s="1797" t="s">
        <v>1557</v>
      </c>
      <c r="L64" s="93"/>
      <c r="M64" s="7"/>
      <c r="N64" s="7"/>
      <c r="O64" s="1802"/>
      <c r="Q64" s="1272"/>
      <c r="R64" s="1272"/>
      <c r="S64" s="1272"/>
      <c r="T64" s="1272"/>
      <c r="U64" s="1272"/>
    </row>
    <row r="65" spans="1:21" ht="15.75" x14ac:dyDescent="0.25">
      <c r="A65" s="1787"/>
      <c r="B65" s="1787"/>
      <c r="C65" s="1787"/>
      <c r="D65" s="1543" t="s">
        <v>595</v>
      </c>
      <c r="E65" s="1634">
        <f>IF(D65="Инженер ОК",ТрЗ_ОКиА!$K$170,IF(D65="Старший инженер ОК",ТрЗ_ОКиА!$L$170,IF(D65="Ведущий инженер ОК",ТрЗ_ОКиА!$M$170,"")))</f>
        <v>0.44999999999999996</v>
      </c>
      <c r="F65" s="143"/>
      <c r="G65" s="143"/>
      <c r="H65" s="143"/>
      <c r="I65" s="144"/>
      <c r="J65" s="143"/>
      <c r="K65" s="1798"/>
      <c r="M65" s="7" t="s">
        <v>87</v>
      </c>
      <c r="N65" s="7">
        <v>0</v>
      </c>
      <c r="O65" s="1802"/>
      <c r="Q65" s="1272"/>
      <c r="R65" s="1272"/>
      <c r="S65" s="1272"/>
      <c r="T65" s="1272"/>
      <c r="U65" s="1272"/>
    </row>
    <row r="66" spans="1:21" ht="15" customHeight="1" x14ac:dyDescent="0.25">
      <c r="A66" s="1787"/>
      <c r="B66" s="1787"/>
      <c r="C66" s="1787"/>
      <c r="D66" s="1543" t="s">
        <v>596</v>
      </c>
      <c r="E66" s="1634">
        <f>IF(D66="Инженер ОК",ТрЗ_ОКиА!$K$170,IF(D66="Старший инженер ОК",ТрЗ_ОКиА!$L$170,IF(D66="Ведущий инженер ОК",ТрЗ_ОКиА!$M$170,"")))</f>
        <v>0.15000000000000002</v>
      </c>
      <c r="F66" s="144"/>
      <c r="G66" s="144"/>
      <c r="H66" s="144"/>
      <c r="I66" s="144"/>
      <c r="J66" s="144"/>
      <c r="K66" s="1798"/>
      <c r="M66" s="7" t="s">
        <v>566</v>
      </c>
      <c r="N66" s="7">
        <v>22</v>
      </c>
      <c r="O66" s="1802"/>
      <c r="Q66" s="1272"/>
      <c r="R66" s="1272"/>
      <c r="S66" s="1272"/>
      <c r="T66" s="1272"/>
      <c r="U66" s="1272"/>
    </row>
    <row r="67" spans="1:21" ht="15" customHeight="1" x14ac:dyDescent="0.25">
      <c r="A67" s="1787"/>
      <c r="B67" s="1787"/>
      <c r="C67" s="1787"/>
      <c r="D67" s="1543" t="s">
        <v>591</v>
      </c>
      <c r="E67" s="1634"/>
      <c r="F67" s="144"/>
      <c r="G67" s="144"/>
      <c r="H67" s="144"/>
      <c r="I67" s="144"/>
      <c r="J67" s="144"/>
      <c r="K67" s="1798"/>
      <c r="M67" s="7" t="s">
        <v>119</v>
      </c>
      <c r="N67" s="7">
        <v>0</v>
      </c>
      <c r="O67" s="1802"/>
      <c r="Q67" s="1272"/>
      <c r="R67" s="1272"/>
      <c r="S67" s="1272"/>
      <c r="T67" s="1272"/>
      <c r="U67" s="1272"/>
    </row>
    <row r="68" spans="1:21" ht="15" customHeight="1" x14ac:dyDescent="0.25">
      <c r="A68" s="1787"/>
      <c r="B68" s="1787"/>
      <c r="C68" s="1787"/>
      <c r="D68" s="1543" t="s">
        <v>591</v>
      </c>
      <c r="E68" s="1634"/>
      <c r="F68" s="144"/>
      <c r="G68" s="144"/>
      <c r="H68" s="144"/>
      <c r="I68" s="144"/>
      <c r="J68" s="144"/>
      <c r="K68" s="1798"/>
      <c r="M68" s="7"/>
      <c r="N68" s="7"/>
      <c r="O68" s="1802"/>
      <c r="Q68" s="1272"/>
      <c r="R68" s="1272"/>
      <c r="S68" s="1272"/>
      <c r="T68" s="1272"/>
      <c r="U68" s="1272"/>
    </row>
    <row r="69" spans="1:21" ht="15.75" x14ac:dyDescent="0.25">
      <c r="A69" s="1787"/>
      <c r="B69" s="1787"/>
      <c r="C69" s="1787"/>
      <c r="D69" s="1543" t="s">
        <v>592</v>
      </c>
      <c r="E69" s="1634"/>
      <c r="F69" s="144"/>
      <c r="G69" s="144"/>
      <c r="H69" s="144"/>
      <c r="I69" s="144"/>
      <c r="J69" s="144"/>
      <c r="K69" s="1798"/>
      <c r="M69" s="7"/>
      <c r="N69" s="7"/>
      <c r="O69" s="1802"/>
      <c r="Q69" s="1272"/>
    </row>
    <row r="70" spans="1:21" ht="15.75" x14ac:dyDescent="0.25">
      <c r="A70" s="1787"/>
      <c r="B70" s="1787"/>
      <c r="C70" s="1787"/>
      <c r="D70" s="1543" t="s">
        <v>592</v>
      </c>
      <c r="E70" s="1634"/>
      <c r="F70" s="144"/>
      <c r="G70" s="144"/>
      <c r="H70" s="144"/>
      <c r="I70" s="144"/>
      <c r="J70" s="144"/>
      <c r="K70" s="1798"/>
      <c r="M70" s="7" t="s">
        <v>87</v>
      </c>
      <c r="N70" s="7">
        <v>0</v>
      </c>
      <c r="O70" s="1802"/>
      <c r="Q70" s="1272"/>
    </row>
    <row r="71" spans="1:21" ht="15.75" x14ac:dyDescent="0.25">
      <c r="A71" s="1787"/>
      <c r="B71" s="1787"/>
      <c r="C71" s="1787"/>
      <c r="D71" s="1543" t="s">
        <v>593</v>
      </c>
      <c r="E71" s="1634"/>
      <c r="F71" s="144"/>
      <c r="G71" s="144"/>
      <c r="H71" s="144"/>
      <c r="I71" s="144"/>
      <c r="J71" s="144"/>
      <c r="K71" s="1798"/>
      <c r="M71" s="7"/>
      <c r="N71" s="7"/>
      <c r="O71" s="1802"/>
      <c r="Q71" s="1272"/>
    </row>
    <row r="72" spans="1:21" ht="15.75" x14ac:dyDescent="0.25">
      <c r="A72" s="1787"/>
      <c r="B72" s="1787"/>
      <c r="C72" s="1787"/>
      <c r="D72" s="1543" t="s">
        <v>593</v>
      </c>
      <c r="E72" s="1634"/>
      <c r="F72" s="144"/>
      <c r="G72" s="144"/>
      <c r="H72" s="144"/>
      <c r="I72" s="144"/>
      <c r="J72" s="144"/>
      <c r="K72" s="1798"/>
      <c r="M72" s="7" t="s">
        <v>566</v>
      </c>
      <c r="N72" s="7" t="s">
        <v>1224</v>
      </c>
      <c r="O72" s="1802"/>
      <c r="Q72" s="1272"/>
    </row>
    <row r="73" spans="1:21" ht="16.5" customHeight="1" thickBot="1" x14ac:dyDescent="0.3">
      <c r="A73" s="1787"/>
      <c r="B73" s="1791" t="s">
        <v>1597</v>
      </c>
      <c r="C73" s="1791" t="s">
        <v>1598</v>
      </c>
      <c r="D73" s="1543" t="s">
        <v>594</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798"/>
      <c r="M73" s="7" t="s">
        <v>119</v>
      </c>
      <c r="N73" s="7">
        <v>0</v>
      </c>
      <c r="O73" s="1802"/>
      <c r="Q73" s="1272"/>
    </row>
    <row r="74" spans="1:21" ht="16.5" thickBot="1" x14ac:dyDescent="0.3">
      <c r="A74" s="1787"/>
      <c r="B74" s="1792"/>
      <c r="C74" s="1792"/>
      <c r="D74" s="1543" t="s">
        <v>595</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798"/>
      <c r="M74" s="7"/>
      <c r="N74" s="7"/>
      <c r="O74" s="1802"/>
      <c r="Q74" s="1272"/>
    </row>
    <row r="75" spans="1:21" ht="16.5" thickBot="1" x14ac:dyDescent="0.3">
      <c r="A75" s="1787"/>
      <c r="B75" s="1792"/>
      <c r="C75" s="1792"/>
      <c r="D75" s="1545" t="s">
        <v>596</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798"/>
      <c r="M75" s="7" t="s">
        <v>87</v>
      </c>
      <c r="N75" s="7">
        <v>0</v>
      </c>
      <c r="O75" s="1802"/>
      <c r="Q75" s="1272"/>
    </row>
    <row r="76" spans="1:21" ht="16.5" thickBot="1" x14ac:dyDescent="0.3">
      <c r="A76" s="1787"/>
      <c r="B76" s="1792"/>
      <c r="C76" s="1792"/>
      <c r="D76" s="1543" t="s">
        <v>591</v>
      </c>
      <c r="E76" s="1636"/>
      <c r="F76" s="144"/>
      <c r="G76" s="144"/>
      <c r="H76" s="144"/>
      <c r="I76" s="144"/>
      <c r="J76" s="144"/>
      <c r="K76" s="1798"/>
      <c r="M76" s="7" t="s">
        <v>566</v>
      </c>
      <c r="N76" s="7">
        <v>0</v>
      </c>
      <c r="O76" s="1802"/>
      <c r="Q76" s="1272"/>
    </row>
    <row r="77" spans="1:21" ht="16.5" thickBot="1" x14ac:dyDescent="0.3">
      <c r="A77" s="1787"/>
      <c r="B77" s="1792"/>
      <c r="C77" s="1792"/>
      <c r="D77" s="1543" t="s">
        <v>592</v>
      </c>
      <c r="E77" s="1636"/>
      <c r="F77" s="144"/>
      <c r="G77" s="144"/>
      <c r="H77" s="144"/>
      <c r="I77" s="144"/>
      <c r="J77" s="144"/>
      <c r="K77" s="1798"/>
      <c r="M77" s="7"/>
      <c r="N77" s="7"/>
      <c r="O77" s="1802"/>
      <c r="Q77" s="1272"/>
    </row>
    <row r="78" spans="1:21" ht="16.5" thickBot="1" x14ac:dyDescent="0.3">
      <c r="A78" s="1787"/>
      <c r="B78" s="1792"/>
      <c r="C78" s="1792"/>
      <c r="D78" s="1543" t="s">
        <v>593</v>
      </c>
      <c r="E78" s="1636"/>
      <c r="F78" s="144"/>
      <c r="G78" s="144"/>
      <c r="H78" s="144"/>
      <c r="I78" s="144"/>
      <c r="J78" s="144"/>
      <c r="K78" s="1798"/>
      <c r="M78" s="7" t="s">
        <v>119</v>
      </c>
      <c r="N78" s="7">
        <v>0</v>
      </c>
      <c r="O78" s="1802"/>
      <c r="Q78" s="1272"/>
    </row>
    <row r="79" spans="1:21" ht="15.75" x14ac:dyDescent="0.25">
      <c r="A79" s="1787"/>
      <c r="B79" s="1793"/>
      <c r="C79" s="1793"/>
      <c r="D79" s="1544" t="s">
        <v>1223</v>
      </c>
      <c r="E79" s="1634"/>
      <c r="F79" s="144"/>
      <c r="G79" s="144"/>
      <c r="H79" s="144"/>
      <c r="I79" s="144"/>
      <c r="J79" s="144"/>
      <c r="K79" s="1798"/>
      <c r="L79" s="1542" t="s">
        <v>1524</v>
      </c>
      <c r="M79" s="7"/>
      <c r="N79" s="7"/>
      <c r="O79" s="1802"/>
      <c r="Q79" s="1272"/>
    </row>
    <row r="80" spans="1:21" ht="16.5" customHeight="1" thickBot="1" x14ac:dyDescent="0.3">
      <c r="A80" s="1787"/>
      <c r="B80" s="1791" t="s">
        <v>1599</v>
      </c>
      <c r="C80" s="1791" t="s">
        <v>1530</v>
      </c>
      <c r="D80" s="1543" t="s">
        <v>594</v>
      </c>
      <c r="E80" s="1634">
        <f>IF(D80="Инженер ОК",ТрЗ_ОКиА!$K$179,IF(D80="Старший инженер ОК",ТрЗ_ОКиА!$L$179,IF(D80="Ведущий инженер ОК",ТрЗ_ОКиА!$M$179,"")))</f>
        <v>4.0187500000000007</v>
      </c>
      <c r="F80" s="144"/>
      <c r="G80" s="144"/>
      <c r="H80" s="144"/>
      <c r="I80" s="144"/>
      <c r="J80" s="144"/>
      <c r="K80" s="1798"/>
      <c r="M80" s="7" t="s">
        <v>119</v>
      </c>
      <c r="N80" s="7">
        <v>0</v>
      </c>
      <c r="O80" s="1802"/>
      <c r="Q80" s="1272"/>
    </row>
    <row r="81" spans="1:21" ht="16.5" thickBot="1" x14ac:dyDescent="0.3">
      <c r="A81" s="1787"/>
      <c r="B81" s="1792"/>
      <c r="C81" s="1792"/>
      <c r="D81" s="1543" t="s">
        <v>595</v>
      </c>
      <c r="E81" s="1634">
        <f>IF(D81="Инженер ОК",ТрЗ_ОКиА!$K$179,IF(D81="Старший инженер ОК",ТрЗ_ОКиА!$L$179,IF(D81="Ведущий инженер ОК",ТрЗ_ОКиА!$M$179,"")))</f>
        <v>3.2150000000000007</v>
      </c>
      <c r="F81" s="144"/>
      <c r="G81" s="144"/>
      <c r="H81" s="144"/>
      <c r="I81" s="144"/>
      <c r="J81" s="144"/>
      <c r="K81" s="1798"/>
      <c r="M81" s="7"/>
      <c r="N81" s="7"/>
      <c r="O81" s="1802"/>
      <c r="Q81" s="1272"/>
    </row>
    <row r="82" spans="1:21" ht="16.5" thickBot="1" x14ac:dyDescent="0.3">
      <c r="A82" s="1787"/>
      <c r="B82" s="1792"/>
      <c r="C82" s="1792"/>
      <c r="D82" s="1545" t="s">
        <v>596</v>
      </c>
      <c r="E82" s="1634">
        <f>IF(D82="Инженер ОК",ТрЗ_ОКиА!$K$179,IF(D82="Старший инженер ОК",ТрЗ_ОКиА!$L$179,IF(D82="Ведущий инженер ОК",ТрЗ_ОКиА!$M$179,"")))</f>
        <v>0.80375000000000019</v>
      </c>
      <c r="F82" s="144"/>
      <c r="G82" s="144"/>
      <c r="H82" s="144"/>
      <c r="I82" s="144"/>
      <c r="J82" s="144"/>
      <c r="K82" s="1798"/>
      <c r="M82" s="7" t="s">
        <v>87</v>
      </c>
      <c r="N82" s="7">
        <v>0</v>
      </c>
      <c r="O82" s="1802"/>
      <c r="Q82" s="1272"/>
    </row>
    <row r="83" spans="1:21" ht="16.5" thickBot="1" x14ac:dyDescent="0.3">
      <c r="A83" s="1787"/>
      <c r="B83" s="1792"/>
      <c r="C83" s="1792"/>
      <c r="D83" s="1543" t="s">
        <v>591</v>
      </c>
      <c r="E83" s="1634"/>
      <c r="F83" s="144"/>
      <c r="G83" s="144"/>
      <c r="H83" s="144"/>
      <c r="I83" s="144"/>
      <c r="J83" s="144"/>
      <c r="K83" s="1798"/>
      <c r="M83" s="7" t="s">
        <v>566</v>
      </c>
      <c r="N83" s="7">
        <v>0</v>
      </c>
      <c r="O83" s="1802"/>
      <c r="Q83" s="1272"/>
    </row>
    <row r="84" spans="1:21" ht="16.5" thickBot="1" x14ac:dyDescent="0.3">
      <c r="A84" s="1787"/>
      <c r="B84" s="1792"/>
      <c r="C84" s="1792"/>
      <c r="D84" s="1543" t="s">
        <v>592</v>
      </c>
      <c r="E84" s="1634"/>
      <c r="F84" s="144"/>
      <c r="G84" s="144"/>
      <c r="H84" s="144"/>
      <c r="I84" s="144"/>
      <c r="J84" s="144"/>
      <c r="K84" s="1798"/>
      <c r="M84" s="7"/>
      <c r="N84" s="7"/>
      <c r="O84" s="1802"/>
      <c r="Q84" s="1272"/>
    </row>
    <row r="85" spans="1:21" ht="16.5" thickBot="1" x14ac:dyDescent="0.3">
      <c r="A85" s="1787"/>
      <c r="B85" s="1792"/>
      <c r="C85" s="1792"/>
      <c r="D85" s="1543" t="s">
        <v>593</v>
      </c>
      <c r="E85" s="1634"/>
      <c r="F85" s="144"/>
      <c r="G85" s="144"/>
      <c r="H85" s="144"/>
      <c r="I85" s="144"/>
      <c r="J85" s="144"/>
      <c r="K85" s="1798"/>
      <c r="M85" s="7" t="s">
        <v>119</v>
      </c>
      <c r="N85" s="7">
        <v>0</v>
      </c>
      <c r="O85" s="1802"/>
      <c r="Q85" s="1272"/>
    </row>
    <row r="86" spans="1:21" ht="15.75" x14ac:dyDescent="0.25">
      <c r="A86" s="1787"/>
      <c r="B86" s="1793"/>
      <c r="C86" s="1793"/>
      <c r="D86" s="1544" t="s">
        <v>1223</v>
      </c>
      <c r="E86" s="1634"/>
      <c r="F86" s="144"/>
      <c r="G86" s="144"/>
      <c r="H86" s="144"/>
      <c r="I86" s="144"/>
      <c r="J86" s="144"/>
      <c r="K86" s="1798"/>
      <c r="L86" s="1542" t="s">
        <v>1524</v>
      </c>
      <c r="M86" s="7"/>
      <c r="N86" s="7"/>
      <c r="O86" s="1802"/>
      <c r="Q86" s="1272"/>
    </row>
    <row r="87" spans="1:21" ht="15.75" x14ac:dyDescent="0.25">
      <c r="A87" s="1787"/>
      <c r="B87" s="1549" t="s">
        <v>1520</v>
      </c>
      <c r="C87" s="1549"/>
      <c r="D87" s="1547" t="s">
        <v>622</v>
      </c>
      <c r="E87" s="1635">
        <f>SUM(E64:E86)*0.1</f>
        <v>1.7637500000000004</v>
      </c>
      <c r="F87" s="144"/>
      <c r="G87" s="144"/>
      <c r="H87" s="144"/>
      <c r="I87" s="144"/>
      <c r="J87" s="144"/>
      <c r="K87" s="1798"/>
      <c r="M87" s="7"/>
      <c r="N87" s="7"/>
      <c r="O87" s="1802"/>
      <c r="Q87" s="1272"/>
    </row>
    <row r="88" spans="1:21" ht="16.5" thickBot="1" x14ac:dyDescent="0.3">
      <c r="A88" s="1794"/>
      <c r="B88" s="1550" t="s">
        <v>1521</v>
      </c>
      <c r="C88" s="1550"/>
      <c r="D88" s="1547" t="s">
        <v>156</v>
      </c>
      <c r="E88" s="1635">
        <f>SUM(E64:E86)*0.2</f>
        <v>3.5275000000000007</v>
      </c>
      <c r="F88" s="144"/>
      <c r="G88" s="144"/>
      <c r="H88" s="144"/>
      <c r="I88" s="144"/>
      <c r="J88" s="144"/>
      <c r="K88" s="1799"/>
      <c r="M88" s="7" t="s">
        <v>87</v>
      </c>
      <c r="N88" s="7">
        <v>0</v>
      </c>
      <c r="O88" s="1802"/>
      <c r="Q88" s="1272"/>
    </row>
    <row r="89" spans="1:21" ht="15.6" customHeight="1" x14ac:dyDescent="0.25">
      <c r="A89" s="1795" t="s">
        <v>1602</v>
      </c>
      <c r="B89" s="1786" t="s">
        <v>1596</v>
      </c>
      <c r="C89" s="1786" t="s">
        <v>1529</v>
      </c>
      <c r="D89" s="1543" t="s">
        <v>594</v>
      </c>
      <c r="E89" s="1634">
        <f>IF(D89="Инженер ОК",ТрЗ_ОКиА!$K$241,IF(D89="Старший инженер ОК",ТрЗ_ОКиА!$L$241,IF(D89="Ведущий инженер ОК",ТрЗ_ОКиА!$M$241,"")))</f>
        <v>0.6</v>
      </c>
      <c r="F89" s="143"/>
      <c r="G89" s="143"/>
      <c r="H89" s="143"/>
      <c r="I89" s="144"/>
      <c r="J89" s="143"/>
      <c r="K89" s="1797" t="s">
        <v>1557</v>
      </c>
      <c r="L89" s="93"/>
      <c r="M89" s="7"/>
      <c r="N89" s="7"/>
      <c r="O89" s="1802"/>
      <c r="Q89" s="1272"/>
      <c r="R89" s="1272"/>
      <c r="S89" s="1272"/>
      <c r="T89" s="1272"/>
      <c r="U89" s="1272"/>
    </row>
    <row r="90" spans="1:21" ht="15.75" x14ac:dyDescent="0.25">
      <c r="A90" s="1787"/>
      <c r="B90" s="1787"/>
      <c r="C90" s="1787"/>
      <c r="D90" s="1543" t="s">
        <v>595</v>
      </c>
      <c r="E90" s="1634">
        <f>IF(D90="Инженер ОК",ТрЗ_ОКиА!$K$241,IF(D90="Старший инженер ОК",ТрЗ_ОКиА!$L$241,IF(D90="Ведущий инженер ОК",ТрЗ_ОКиА!$M$241,"")))</f>
        <v>0.3</v>
      </c>
      <c r="F90" s="143"/>
      <c r="G90" s="143"/>
      <c r="H90" s="143"/>
      <c r="I90" s="144"/>
      <c r="J90" s="143"/>
      <c r="K90" s="1798"/>
      <c r="M90" s="7" t="s">
        <v>87</v>
      </c>
      <c r="N90" s="7">
        <v>0</v>
      </c>
      <c r="O90" s="1802"/>
      <c r="Q90" s="1272"/>
      <c r="R90" s="1272"/>
      <c r="S90" s="1272"/>
      <c r="T90" s="1272"/>
      <c r="U90" s="1272"/>
    </row>
    <row r="91" spans="1:21" ht="15" customHeight="1" x14ac:dyDescent="0.25">
      <c r="A91" s="1787"/>
      <c r="B91" s="1787"/>
      <c r="C91" s="1787"/>
      <c r="D91" s="1543" t="s">
        <v>596</v>
      </c>
      <c r="E91" s="1634">
        <f>IF(D91="Инженер ОК",ТрЗ_ОКиА!$K$241,IF(D91="Старший инженер ОК",ТрЗ_ОКиА!$L$241,IF(D91="Ведущий инженер ОК",ТрЗ_ОКиА!$M$241,"")))</f>
        <v>0.1</v>
      </c>
      <c r="F91" s="144"/>
      <c r="G91" s="144"/>
      <c r="H91" s="144"/>
      <c r="I91" s="144"/>
      <c r="J91" s="144"/>
      <c r="K91" s="1798"/>
      <c r="M91" s="7" t="s">
        <v>566</v>
      </c>
      <c r="N91" s="7">
        <v>22</v>
      </c>
      <c r="O91" s="1802"/>
      <c r="Q91" s="1272"/>
      <c r="R91" s="1272"/>
      <c r="S91" s="1272"/>
      <c r="T91" s="1272"/>
      <c r="U91" s="1272"/>
    </row>
    <row r="92" spans="1:21" ht="15" customHeight="1" x14ac:dyDescent="0.25">
      <c r="A92" s="1787"/>
      <c r="B92" s="1787"/>
      <c r="C92" s="1787"/>
      <c r="D92" s="1543" t="s">
        <v>591</v>
      </c>
      <c r="E92" s="1634"/>
      <c r="F92" s="144"/>
      <c r="G92" s="144"/>
      <c r="H92" s="144"/>
      <c r="I92" s="144"/>
      <c r="J92" s="144"/>
      <c r="K92" s="1798"/>
      <c r="M92" s="7" t="s">
        <v>119</v>
      </c>
      <c r="N92" s="7">
        <v>0</v>
      </c>
      <c r="O92" s="1802"/>
      <c r="Q92" s="1272"/>
      <c r="R92" s="1272"/>
      <c r="S92" s="1272"/>
      <c r="T92" s="1272"/>
      <c r="U92" s="1272"/>
    </row>
    <row r="93" spans="1:21" ht="15" customHeight="1" x14ac:dyDescent="0.25">
      <c r="A93" s="1787"/>
      <c r="B93" s="1787"/>
      <c r="C93" s="1787"/>
      <c r="D93" s="1543" t="s">
        <v>591</v>
      </c>
      <c r="E93" s="1634"/>
      <c r="F93" s="144"/>
      <c r="G93" s="144"/>
      <c r="H93" s="144"/>
      <c r="I93" s="144"/>
      <c r="J93" s="144"/>
      <c r="K93" s="1798"/>
      <c r="M93" s="7"/>
      <c r="N93" s="7"/>
      <c r="O93" s="1802"/>
      <c r="Q93" s="1272"/>
      <c r="R93" s="1272"/>
      <c r="S93" s="1272"/>
      <c r="T93" s="1272"/>
      <c r="U93" s="1272"/>
    </row>
    <row r="94" spans="1:21" ht="16.5" customHeight="1" thickBot="1" x14ac:dyDescent="0.3">
      <c r="A94" s="1787"/>
      <c r="B94" s="1791" t="s">
        <v>1597</v>
      </c>
      <c r="C94" s="1791" t="s">
        <v>1598</v>
      </c>
      <c r="D94" s="1543" t="s">
        <v>594</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798"/>
      <c r="M94" s="7" t="s">
        <v>119</v>
      </c>
      <c r="N94" s="7">
        <v>0</v>
      </c>
      <c r="O94" s="1802"/>
      <c r="Q94" s="1272"/>
    </row>
    <row r="95" spans="1:21" ht="16.5" thickBot="1" x14ac:dyDescent="0.3">
      <c r="A95" s="1787"/>
      <c r="B95" s="1792"/>
      <c r="C95" s="1792"/>
      <c r="D95" s="1543" t="s">
        <v>595</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798"/>
      <c r="M95" s="7"/>
      <c r="N95" s="7"/>
      <c r="O95" s="1802"/>
      <c r="Q95" s="1272"/>
    </row>
    <row r="96" spans="1:21" ht="16.5" thickBot="1" x14ac:dyDescent="0.3">
      <c r="A96" s="1787"/>
      <c r="B96" s="1792"/>
      <c r="C96" s="1792"/>
      <c r="D96" s="1545" t="s">
        <v>596</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798"/>
      <c r="M96" s="7" t="s">
        <v>87</v>
      </c>
      <c r="N96" s="7">
        <v>0</v>
      </c>
      <c r="O96" s="1802"/>
      <c r="Q96" s="1272"/>
    </row>
    <row r="97" spans="1:17" ht="16.5" thickBot="1" x14ac:dyDescent="0.3">
      <c r="A97" s="1787"/>
      <c r="B97" s="1792"/>
      <c r="C97" s="1792"/>
      <c r="D97" s="1543" t="s">
        <v>591</v>
      </c>
      <c r="E97" s="1634"/>
      <c r="F97" s="144"/>
      <c r="G97" s="144"/>
      <c r="H97" s="144"/>
      <c r="I97" s="144"/>
      <c r="J97" s="144"/>
      <c r="K97" s="1798"/>
      <c r="M97" s="7" t="s">
        <v>566</v>
      </c>
      <c r="N97" s="7">
        <v>0</v>
      </c>
      <c r="O97" s="1802"/>
      <c r="Q97" s="1272"/>
    </row>
    <row r="98" spans="1:17" ht="16.5" thickBot="1" x14ac:dyDescent="0.3">
      <c r="A98" s="1787"/>
      <c r="B98" s="1792"/>
      <c r="C98" s="1792"/>
      <c r="D98" s="1543" t="s">
        <v>592</v>
      </c>
      <c r="E98" s="1634"/>
      <c r="F98" s="144"/>
      <c r="G98" s="144"/>
      <c r="H98" s="144"/>
      <c r="I98" s="144"/>
      <c r="J98" s="144"/>
      <c r="K98" s="1798"/>
      <c r="M98" s="7"/>
      <c r="N98" s="7"/>
      <c r="O98" s="1802"/>
      <c r="Q98" s="1272"/>
    </row>
    <row r="99" spans="1:17" ht="16.5" thickBot="1" x14ac:dyDescent="0.3">
      <c r="A99" s="1787"/>
      <c r="B99" s="1792"/>
      <c r="C99" s="1792"/>
      <c r="D99" s="1543" t="s">
        <v>593</v>
      </c>
      <c r="E99" s="1634"/>
      <c r="F99" s="144"/>
      <c r="G99" s="144"/>
      <c r="H99" s="144"/>
      <c r="I99" s="144"/>
      <c r="J99" s="144"/>
      <c r="K99" s="1798"/>
      <c r="M99" s="7" t="s">
        <v>119</v>
      </c>
      <c r="N99" s="7">
        <v>0</v>
      </c>
      <c r="O99" s="1802"/>
      <c r="Q99" s="1272"/>
    </row>
    <row r="100" spans="1:17" ht="15.75" x14ac:dyDescent="0.25">
      <c r="A100" s="1787"/>
      <c r="B100" s="1793"/>
      <c r="C100" s="1793"/>
      <c r="D100" s="1544" t="s">
        <v>1223</v>
      </c>
      <c r="E100" s="1634"/>
      <c r="F100" s="144"/>
      <c r="G100" s="144"/>
      <c r="H100" s="144"/>
      <c r="I100" s="144"/>
      <c r="J100" s="144"/>
      <c r="K100" s="1798"/>
      <c r="L100" s="1542" t="s">
        <v>1524</v>
      </c>
      <c r="M100" s="7"/>
      <c r="N100" s="7"/>
      <c r="O100" s="1802"/>
      <c r="Q100" s="1272"/>
    </row>
    <row r="101" spans="1:17" ht="16.5" customHeight="1" thickBot="1" x14ac:dyDescent="0.3">
      <c r="A101" s="1787"/>
      <c r="B101" s="1791" t="s">
        <v>1599</v>
      </c>
      <c r="C101" s="1791" t="s">
        <v>1530</v>
      </c>
      <c r="D101" s="1543" t="s">
        <v>594</v>
      </c>
      <c r="E101" s="1634">
        <f>IF(D101="Инженер ОК",ТрЗ_ОКиА!$K$250,IF(D101="Старший инженер ОК",ТрЗ_ОКиА!$L$250,IF(D101="Ведущий инженер ОК",ТрЗ_ОКиА!$M$250,"")))</f>
        <v>1.3125</v>
      </c>
      <c r="F101" s="144"/>
      <c r="G101" s="144"/>
      <c r="H101" s="144"/>
      <c r="I101" s="144"/>
      <c r="J101" s="144"/>
      <c r="K101" s="1798"/>
      <c r="M101" s="7" t="s">
        <v>119</v>
      </c>
      <c r="N101" s="7">
        <v>0</v>
      </c>
      <c r="O101" s="1802"/>
      <c r="Q101" s="1272"/>
    </row>
    <row r="102" spans="1:17" ht="16.5" thickBot="1" x14ac:dyDescent="0.3">
      <c r="A102" s="1787"/>
      <c r="B102" s="1792"/>
      <c r="C102" s="1792"/>
      <c r="D102" s="1543" t="s">
        <v>595</v>
      </c>
      <c r="E102" s="1634">
        <f>IF(D102="Инженер ОК",ТрЗ_ОКиА!$K$250,IF(D102="Старший инженер ОК",ТрЗ_ОКиА!$L$250,IF(D102="Ведущий инженер ОК",ТрЗ_ОКиА!$M$250,"")))</f>
        <v>1.05</v>
      </c>
      <c r="F102" s="144"/>
      <c r="G102" s="144"/>
      <c r="H102" s="144"/>
      <c r="I102" s="144"/>
      <c r="J102" s="144"/>
      <c r="K102" s="1798"/>
      <c r="M102" s="7"/>
      <c r="N102" s="7"/>
      <c r="O102" s="1802"/>
      <c r="Q102" s="1272"/>
    </row>
    <row r="103" spans="1:17" ht="16.5" thickBot="1" x14ac:dyDescent="0.3">
      <c r="A103" s="1787"/>
      <c r="B103" s="1792"/>
      <c r="C103" s="1792"/>
      <c r="D103" s="1545" t="s">
        <v>596</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798"/>
      <c r="M103" s="7" t="s">
        <v>87</v>
      </c>
      <c r="N103" s="7">
        <v>0</v>
      </c>
      <c r="O103" s="1802"/>
      <c r="Q103" s="1272"/>
    </row>
    <row r="104" spans="1:17" ht="15.75" x14ac:dyDescent="0.25">
      <c r="A104" s="1787"/>
      <c r="B104" s="1793"/>
      <c r="C104" s="1793"/>
      <c r="D104" s="1544" t="s">
        <v>1223</v>
      </c>
      <c r="E104" s="1634"/>
      <c r="F104" s="144"/>
      <c r="G104" s="144"/>
      <c r="H104" s="144"/>
      <c r="I104" s="144"/>
      <c r="J104" s="144"/>
      <c r="K104" s="1798"/>
      <c r="L104" s="1542" t="s">
        <v>1524</v>
      </c>
      <c r="M104" s="7"/>
      <c r="N104" s="7"/>
      <c r="O104" s="1802"/>
      <c r="Q104" s="1272"/>
    </row>
    <row r="105" spans="1:17" ht="15.75" x14ac:dyDescent="0.25">
      <c r="A105" s="1787"/>
      <c r="B105" s="1549" t="s">
        <v>1520</v>
      </c>
      <c r="C105" s="1549"/>
      <c r="D105" s="1547" t="s">
        <v>622</v>
      </c>
      <c r="E105" s="1635">
        <f>SUM(E89:E104)*0.1</f>
        <v>0.76250000000000007</v>
      </c>
      <c r="F105" s="144"/>
      <c r="G105" s="144"/>
      <c r="H105" s="144"/>
      <c r="I105" s="144"/>
      <c r="J105" s="144"/>
      <c r="K105" s="1798"/>
      <c r="M105" s="7"/>
      <c r="N105" s="7"/>
      <c r="O105" s="1802"/>
      <c r="Q105" s="1272"/>
    </row>
    <row r="106" spans="1:17" ht="15.75" x14ac:dyDescent="0.25">
      <c r="A106" s="1794"/>
      <c r="B106" s="1550" t="s">
        <v>1521</v>
      </c>
      <c r="C106" s="1550"/>
      <c r="D106" s="1547" t="s">
        <v>156</v>
      </c>
      <c r="E106" s="1635">
        <f>SUM(E89:E104)*0.2</f>
        <v>1.5250000000000001</v>
      </c>
      <c r="F106" s="144"/>
      <c r="G106" s="144"/>
      <c r="H106" s="144"/>
      <c r="I106" s="144"/>
      <c r="J106" s="144"/>
      <c r="K106" s="1799"/>
      <c r="M106" s="7" t="s">
        <v>87</v>
      </c>
      <c r="N106" s="7">
        <v>0</v>
      </c>
      <c r="O106" s="1802"/>
      <c r="Q106" s="1272"/>
    </row>
    <row r="107" spans="1:17" ht="30" customHeight="1" x14ac:dyDescent="0.25">
      <c r="A107" s="1786" t="s">
        <v>1603</v>
      </c>
      <c r="B107" s="1786" t="s">
        <v>1604</v>
      </c>
      <c r="C107" s="1787" t="s">
        <v>1605</v>
      </c>
      <c r="D107" s="145" t="s">
        <v>594</v>
      </c>
      <c r="E107" s="1634">
        <f>IF(D107="Инженер ОК",ТрЗ_ОКиА!$K$280,IF(D107="Старший инженер ОК",ТрЗ_ОКиА!$L$280,IF(D107="Ведущий инженер ОК",ТрЗ_ОКиА!$M$280,"")))</f>
        <v>0</v>
      </c>
      <c r="F107" s="144"/>
      <c r="G107" s="144"/>
      <c r="H107" s="144"/>
      <c r="I107" s="144"/>
      <c r="J107" s="144"/>
      <c r="K107" s="1807" t="s">
        <v>1557</v>
      </c>
      <c r="M107" s="7" t="s">
        <v>566</v>
      </c>
      <c r="N107" s="7">
        <v>0</v>
      </c>
      <c r="O107" s="1802"/>
      <c r="Q107" s="1272"/>
    </row>
    <row r="108" spans="1:17" ht="30" customHeight="1" x14ac:dyDescent="0.25">
      <c r="A108" s="1787"/>
      <c r="B108" s="1787"/>
      <c r="C108" s="1787"/>
      <c r="D108" s="145" t="s">
        <v>595</v>
      </c>
      <c r="E108" s="1634">
        <f>IF(D108="Инженер ОК",ТрЗ_ОКиА!$K$280,IF(D108="Старший инженер ОК",ТрЗ_ОКиА!$L$280,IF(D108="Ведущий инженер ОК",ТрЗ_ОКиА!$M$280,"")))</f>
        <v>0</v>
      </c>
      <c r="F108" s="144"/>
      <c r="G108" s="144"/>
      <c r="H108" s="144"/>
      <c r="I108" s="144"/>
      <c r="J108" s="144"/>
      <c r="K108" s="1798"/>
      <c r="M108" s="7" t="s">
        <v>119</v>
      </c>
      <c r="N108" s="7">
        <v>0</v>
      </c>
      <c r="O108" s="1802"/>
      <c r="Q108" s="1272"/>
    </row>
    <row r="109" spans="1:17" ht="30" customHeight="1" x14ac:dyDescent="0.25">
      <c r="A109" s="1787"/>
      <c r="B109" s="1787"/>
      <c r="C109" s="1787"/>
      <c r="D109" s="145" t="s">
        <v>596</v>
      </c>
      <c r="E109" s="1634">
        <f>IF(D109="Инженер ОК",ТрЗ_ОКиА!$K$280,IF(D109="Старший инженер ОК",ТрЗ_ОКиА!$L$280,IF(D109="Ведущий инженер ОК",ТрЗ_ОКиА!$M$280,"")))</f>
        <v>0</v>
      </c>
      <c r="F109" s="144"/>
      <c r="G109" s="144"/>
      <c r="H109" s="144"/>
      <c r="I109" s="144"/>
      <c r="J109" s="144"/>
      <c r="K109" s="1798"/>
      <c r="M109" s="7"/>
      <c r="N109" s="7"/>
      <c r="O109" s="1802"/>
      <c r="Q109" s="1272"/>
    </row>
    <row r="110" spans="1:17" ht="30" customHeight="1" x14ac:dyDescent="0.25">
      <c r="A110" s="1787"/>
      <c r="B110" s="1549" t="s">
        <v>1606</v>
      </c>
      <c r="C110" s="1549"/>
      <c r="D110" s="1548" t="s">
        <v>622</v>
      </c>
      <c r="E110" s="1635">
        <f>SUM(E107:E109)*0.1</f>
        <v>0</v>
      </c>
      <c r="F110" s="144"/>
      <c r="G110" s="144"/>
      <c r="H110" s="144"/>
      <c r="I110" s="144"/>
      <c r="J110" s="144"/>
      <c r="K110" s="1798"/>
      <c r="M110" s="7"/>
      <c r="N110" s="7"/>
      <c r="O110" s="1802"/>
    </row>
    <row r="111" spans="1:17" ht="30" customHeight="1" x14ac:dyDescent="0.25">
      <c r="A111" s="1794"/>
      <c r="B111" s="1550" t="s">
        <v>1607</v>
      </c>
      <c r="C111" s="1550"/>
      <c r="D111" s="1548" t="s">
        <v>156</v>
      </c>
      <c r="E111" s="1635">
        <f>SUM(E107:E109)*0.2</f>
        <v>0</v>
      </c>
      <c r="F111" s="144"/>
      <c r="G111" s="144"/>
      <c r="H111" s="144"/>
      <c r="I111" s="144"/>
      <c r="J111" s="144"/>
      <c r="K111" s="1799"/>
      <c r="M111" s="7" t="s">
        <v>87</v>
      </c>
      <c r="N111" s="7">
        <v>0</v>
      </c>
      <c r="O111" s="1802"/>
    </row>
    <row r="112" spans="1:17" ht="15.75" x14ac:dyDescent="0.25">
      <c r="A112" s="1786" t="s">
        <v>1608</v>
      </c>
      <c r="B112" s="1786" t="s">
        <v>1663</v>
      </c>
      <c r="C112" s="1787" t="s">
        <v>1664</v>
      </c>
      <c r="D112" s="145" t="s">
        <v>594</v>
      </c>
      <c r="E112" s="1634">
        <f>IF(D112="Инженер ОК",ТрЗ_ОКиА!$K$10,IF(D112="Старший инженер ОК",ТрЗ_ОКиА!$L$10,IF(D112="Ведущий инженер ОК",ТрЗ_ОКиА!$M$10,"")))</f>
        <v>0</v>
      </c>
      <c r="F112" s="144"/>
      <c r="G112" s="144"/>
      <c r="H112" s="144"/>
      <c r="I112" s="144"/>
      <c r="J112" s="144"/>
      <c r="K112" s="1807" t="s">
        <v>1557</v>
      </c>
      <c r="M112" s="7" t="s">
        <v>566</v>
      </c>
      <c r="N112" s="7">
        <v>0</v>
      </c>
      <c r="O112" s="1802"/>
      <c r="Q112" s="1272"/>
    </row>
    <row r="113" spans="1:17" ht="15.75" x14ac:dyDescent="0.25">
      <c r="A113" s="1787"/>
      <c r="B113" s="1787"/>
      <c r="C113" s="1787"/>
      <c r="D113" s="145" t="s">
        <v>595</v>
      </c>
      <c r="E113" s="1634">
        <f>IF(D113="Инженер ОК",ТрЗ_ОКиА!$K$10,IF(D113="Старший инженер ОК",ТрЗ_ОКиА!$L$10,IF(D113="Ведущий инженер ОК",ТрЗ_ОКиА!$M$10,"")))</f>
        <v>0</v>
      </c>
      <c r="F113" s="144"/>
      <c r="G113" s="144"/>
      <c r="H113" s="144"/>
      <c r="I113" s="144"/>
      <c r="J113" s="144"/>
      <c r="K113" s="1798"/>
      <c r="M113" s="7" t="s">
        <v>119</v>
      </c>
      <c r="N113" s="7">
        <v>0</v>
      </c>
      <c r="O113" s="1802"/>
      <c r="Q113" s="1272"/>
    </row>
    <row r="114" spans="1:17" ht="15.75" x14ac:dyDescent="0.25">
      <c r="A114" s="1787"/>
      <c r="B114" s="1787"/>
      <c r="C114" s="1787"/>
      <c r="D114" s="145" t="s">
        <v>596</v>
      </c>
      <c r="E114" s="1634">
        <f>IF(D114="Инженер ОК",ТрЗ_ОКиА!$K$10,IF(D114="Старший инженер ОК",ТрЗ_ОКиА!$L$10,IF(D114="Ведущий инженер ОК",ТрЗ_ОКиА!$M$10,"")))</f>
        <v>0</v>
      </c>
      <c r="F114" s="144"/>
      <c r="G114" s="144"/>
      <c r="H114" s="144"/>
      <c r="I114" s="144"/>
      <c r="J114" s="144"/>
      <c r="K114" s="1798"/>
      <c r="M114" s="7"/>
      <c r="N114" s="7"/>
      <c r="O114" s="1802"/>
      <c r="Q114" s="1272"/>
    </row>
    <row r="115" spans="1:17" ht="15.75" x14ac:dyDescent="0.25">
      <c r="A115" s="1787"/>
      <c r="B115" s="1787"/>
      <c r="C115" s="1787"/>
      <c r="D115" s="145" t="s">
        <v>594</v>
      </c>
      <c r="E115" s="1634"/>
      <c r="F115" s="144"/>
      <c r="G115" s="144"/>
      <c r="H115" s="144"/>
      <c r="I115" s="144"/>
      <c r="J115" s="144"/>
      <c r="K115" s="1798"/>
      <c r="M115" s="7" t="s">
        <v>87</v>
      </c>
      <c r="N115" s="7">
        <v>0</v>
      </c>
      <c r="O115" s="1802"/>
      <c r="Q115" s="1272"/>
    </row>
    <row r="116" spans="1:17" ht="15.75" x14ac:dyDescent="0.25">
      <c r="A116" s="1787"/>
      <c r="B116" s="1787"/>
      <c r="C116" s="1794"/>
      <c r="D116" s="145" t="s">
        <v>595</v>
      </c>
      <c r="E116" s="1634"/>
      <c r="F116" s="144"/>
      <c r="G116" s="144"/>
      <c r="H116" s="144"/>
      <c r="I116" s="144"/>
      <c r="J116" s="144"/>
      <c r="K116" s="1798"/>
      <c r="M116" s="7" t="s">
        <v>566</v>
      </c>
      <c r="N116" s="7">
        <v>0</v>
      </c>
      <c r="O116" s="1802"/>
      <c r="Q116" s="1272"/>
    </row>
    <row r="117" spans="1:17" x14ac:dyDescent="0.25">
      <c r="A117" s="1787"/>
      <c r="B117" s="1549" t="s">
        <v>1522</v>
      </c>
      <c r="C117" s="1549"/>
      <c r="D117" s="1548" t="s">
        <v>622</v>
      </c>
      <c r="E117" s="1635">
        <f>SUM(E112:E116)*0.1</f>
        <v>0</v>
      </c>
      <c r="F117" s="144"/>
      <c r="G117" s="144"/>
      <c r="H117" s="144"/>
      <c r="I117" s="144"/>
      <c r="J117" s="144"/>
      <c r="K117" s="1798"/>
      <c r="M117" s="7"/>
      <c r="N117" s="7"/>
      <c r="O117" s="1802"/>
    </row>
    <row r="118" spans="1:17" x14ac:dyDescent="0.25">
      <c r="A118" s="1794"/>
      <c r="B118" s="1550" t="s">
        <v>1523</v>
      </c>
      <c r="C118" s="1550"/>
      <c r="D118" s="1548" t="s">
        <v>156</v>
      </c>
      <c r="E118" s="1635">
        <f>SUM(E112:E116)*0.2</f>
        <v>0</v>
      </c>
      <c r="F118" s="144"/>
      <c r="G118" s="144"/>
      <c r="H118" s="144"/>
      <c r="I118" s="144"/>
      <c r="J118" s="144"/>
      <c r="K118" s="1799"/>
      <c r="M118" s="7" t="s">
        <v>87</v>
      </c>
      <c r="N118" s="7">
        <v>0</v>
      </c>
      <c r="O118" s="1802"/>
    </row>
    <row r="119" spans="1:17" ht="15.75" x14ac:dyDescent="0.25">
      <c r="A119" s="1786" t="s">
        <v>1609</v>
      </c>
      <c r="B119" s="1786" t="s">
        <v>1610</v>
      </c>
      <c r="C119" s="1787" t="s">
        <v>1611</v>
      </c>
      <c r="D119" s="145" t="s">
        <v>594</v>
      </c>
      <c r="E119" s="1634">
        <f>IF(D119="Инженер ОК",ТрЗ_ОКиА!$K$107,IF(D119="Старший инженер ОК",ТрЗ_ОКиА!$L$107,IF(D119="Ведущий инженер ОК",ТрЗ_ОКиА!$M$107,"")))</f>
        <v>0</v>
      </c>
      <c r="F119" s="144"/>
      <c r="G119" s="144"/>
      <c r="H119" s="144"/>
      <c r="I119" s="144"/>
      <c r="J119" s="144"/>
      <c r="K119" s="1807" t="s">
        <v>1557</v>
      </c>
      <c r="M119" s="7" t="s">
        <v>566</v>
      </c>
      <c r="N119" s="7">
        <v>0</v>
      </c>
      <c r="O119" s="1802"/>
      <c r="Q119" s="1272"/>
    </row>
    <row r="120" spans="1:17" ht="15.75" x14ac:dyDescent="0.25">
      <c r="A120" s="1787"/>
      <c r="B120" s="1787"/>
      <c r="C120" s="1787"/>
      <c r="D120" s="145" t="s">
        <v>595</v>
      </c>
      <c r="E120" s="1634">
        <f>IF(D120="Инженер ОК",ТрЗ_ОКиА!$K$107,IF(D120="Старший инженер ОК",ТрЗ_ОКиА!$L$107,IF(D120="Ведущий инженер ОК",ТрЗ_ОКиА!$M$107,"")))</f>
        <v>0</v>
      </c>
      <c r="F120" s="144"/>
      <c r="G120" s="144"/>
      <c r="H120" s="144"/>
      <c r="I120" s="144"/>
      <c r="J120" s="144"/>
      <c r="K120" s="1798"/>
      <c r="M120" s="7" t="s">
        <v>119</v>
      </c>
      <c r="N120" s="7">
        <v>0</v>
      </c>
      <c r="O120" s="1802"/>
      <c r="Q120" s="1272"/>
    </row>
    <row r="121" spans="1:17" ht="15.75" x14ac:dyDescent="0.25">
      <c r="A121" s="1787"/>
      <c r="B121" s="1787"/>
      <c r="C121" s="1787"/>
      <c r="D121" s="145" t="s">
        <v>596</v>
      </c>
      <c r="E121" s="1634">
        <f>IF(D121="Инженер ОК",ТрЗ_ОКиА!$K$107,IF(D121="Старший инженер ОК",ТрЗ_ОКиА!$L$107,IF(D121="Ведущий инженер ОК",ТрЗ_ОКиА!$M$107,"")))</f>
        <v>0</v>
      </c>
      <c r="F121" s="144"/>
      <c r="G121" s="144"/>
      <c r="H121" s="144"/>
      <c r="I121" s="144"/>
      <c r="J121" s="144"/>
      <c r="K121" s="1798"/>
      <c r="M121" s="7"/>
      <c r="N121" s="7"/>
      <c r="O121" s="1802"/>
      <c r="Q121" s="1272"/>
    </row>
    <row r="122" spans="1:17" ht="15.75" x14ac:dyDescent="0.25">
      <c r="A122" s="1787"/>
      <c r="B122" s="1787"/>
      <c r="C122" s="1787"/>
      <c r="D122" s="145" t="s">
        <v>594</v>
      </c>
      <c r="E122" s="1634"/>
      <c r="F122" s="144"/>
      <c r="G122" s="144"/>
      <c r="H122" s="144"/>
      <c r="I122" s="144"/>
      <c r="J122" s="144"/>
      <c r="K122" s="1798"/>
      <c r="M122" s="7" t="s">
        <v>87</v>
      </c>
      <c r="N122" s="7">
        <v>0</v>
      </c>
      <c r="O122" s="1802"/>
      <c r="Q122" s="1272"/>
    </row>
    <row r="123" spans="1:17" ht="15.75" x14ac:dyDescent="0.25">
      <c r="A123" s="1787"/>
      <c r="B123" s="1787"/>
      <c r="C123" s="1794"/>
      <c r="D123" s="145" t="s">
        <v>595</v>
      </c>
      <c r="E123" s="1634"/>
      <c r="F123" s="144"/>
      <c r="G123" s="144"/>
      <c r="H123" s="144"/>
      <c r="I123" s="144"/>
      <c r="J123" s="144"/>
      <c r="K123" s="1798"/>
      <c r="M123" s="7" t="s">
        <v>566</v>
      </c>
      <c r="N123" s="7">
        <v>0</v>
      </c>
      <c r="O123" s="1802"/>
      <c r="Q123" s="1272"/>
    </row>
    <row r="124" spans="1:17" x14ac:dyDescent="0.25">
      <c r="A124" s="1787"/>
      <c r="B124" s="1549" t="s">
        <v>1522</v>
      </c>
      <c r="C124" s="1549"/>
      <c r="D124" s="1548" t="s">
        <v>622</v>
      </c>
      <c r="E124" s="1635">
        <f>SUM(E119:E123)*0.1</f>
        <v>0</v>
      </c>
      <c r="F124" s="144"/>
      <c r="G124" s="144"/>
      <c r="H124" s="144"/>
      <c r="I124" s="144"/>
      <c r="J124" s="144"/>
      <c r="K124" s="1798"/>
      <c r="M124" s="7"/>
      <c r="N124" s="7"/>
      <c r="O124" s="1802"/>
    </row>
    <row r="125" spans="1:17" x14ac:dyDescent="0.25">
      <c r="A125" s="1794"/>
      <c r="B125" s="1550" t="s">
        <v>1523</v>
      </c>
      <c r="C125" s="1550"/>
      <c r="D125" s="1548" t="s">
        <v>156</v>
      </c>
      <c r="E125" s="1635">
        <f>SUM(E119:E123)*0.2</f>
        <v>0</v>
      </c>
      <c r="F125" s="144"/>
      <c r="G125" s="144"/>
      <c r="H125" s="144"/>
      <c r="I125" s="144"/>
      <c r="J125" s="144"/>
      <c r="K125" s="1799"/>
      <c r="M125" s="7" t="s">
        <v>87</v>
      </c>
      <c r="N125" s="7">
        <v>0</v>
      </c>
      <c r="O125" s="1802"/>
    </row>
    <row r="126" spans="1:17" ht="15.75" x14ac:dyDescent="0.25">
      <c r="A126" s="1786" t="s">
        <v>1612</v>
      </c>
      <c r="B126" s="1786" t="s">
        <v>1613</v>
      </c>
      <c r="C126" s="1787" t="s">
        <v>1614</v>
      </c>
      <c r="D126" s="145" t="s">
        <v>594</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807" t="s">
        <v>1557</v>
      </c>
      <c r="M126" s="7" t="s">
        <v>566</v>
      </c>
      <c r="N126" s="7">
        <v>0</v>
      </c>
      <c r="O126" s="1802"/>
      <c r="Q126" s="1272"/>
    </row>
    <row r="127" spans="1:17" ht="15.75" x14ac:dyDescent="0.25">
      <c r="A127" s="1787"/>
      <c r="B127" s="1787"/>
      <c r="C127" s="1787"/>
      <c r="D127" s="145" t="s">
        <v>595</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798"/>
      <c r="M127" s="7" t="s">
        <v>119</v>
      </c>
      <c r="N127" s="7">
        <v>0</v>
      </c>
      <c r="O127" s="1802"/>
      <c r="Q127" s="1272"/>
    </row>
    <row r="128" spans="1:17" ht="15.75" x14ac:dyDescent="0.25">
      <c r="A128" s="1787"/>
      <c r="B128" s="1787"/>
      <c r="C128" s="1787"/>
      <c r="D128" s="145" t="s">
        <v>596</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798"/>
      <c r="M128" s="7"/>
      <c r="N128" s="7"/>
      <c r="O128" s="1802"/>
      <c r="Q128" s="1272"/>
    </row>
    <row r="129" spans="1:17" ht="15.75" x14ac:dyDescent="0.25">
      <c r="A129" s="1787"/>
      <c r="B129" s="1787"/>
      <c r="C129" s="1787"/>
      <c r="D129" s="145" t="s">
        <v>594</v>
      </c>
      <c r="E129" s="1634"/>
      <c r="F129" s="144"/>
      <c r="G129" s="144"/>
      <c r="H129" s="144"/>
      <c r="I129" s="144"/>
      <c r="J129" s="144"/>
      <c r="K129" s="1798"/>
      <c r="M129" s="7" t="s">
        <v>87</v>
      </c>
      <c r="N129" s="7">
        <v>0</v>
      </c>
      <c r="O129" s="1802"/>
      <c r="Q129" s="1272"/>
    </row>
    <row r="130" spans="1:17" ht="15.75" x14ac:dyDescent="0.25">
      <c r="A130" s="1787"/>
      <c r="B130" s="1787"/>
      <c r="C130" s="1794"/>
      <c r="D130" s="145" t="s">
        <v>595</v>
      </c>
      <c r="E130" s="1634"/>
      <c r="F130" s="144"/>
      <c r="G130" s="144"/>
      <c r="H130" s="144"/>
      <c r="I130" s="144"/>
      <c r="J130" s="144"/>
      <c r="K130" s="1798"/>
      <c r="M130" s="7" t="s">
        <v>566</v>
      </c>
      <c r="N130" s="7">
        <v>0</v>
      </c>
      <c r="O130" s="1802"/>
      <c r="Q130" s="1272"/>
    </row>
    <row r="131" spans="1:17" x14ac:dyDescent="0.25">
      <c r="A131" s="1787"/>
      <c r="B131" s="1549" t="s">
        <v>1522</v>
      </c>
      <c r="C131" s="1549"/>
      <c r="D131" s="1548" t="s">
        <v>622</v>
      </c>
      <c r="E131" s="1635">
        <f>SUM(E126:E130)*0.1</f>
        <v>3.4374999999999996E-2</v>
      </c>
      <c r="F131" s="144"/>
      <c r="G131" s="144"/>
      <c r="H131" s="144"/>
      <c r="I131" s="144"/>
      <c r="J131" s="144"/>
      <c r="K131" s="1798"/>
      <c r="M131" s="7"/>
      <c r="N131" s="7"/>
      <c r="O131" s="1802"/>
    </row>
    <row r="132" spans="1:17" x14ac:dyDescent="0.25">
      <c r="A132" s="1794"/>
      <c r="B132" s="1550" t="s">
        <v>1523</v>
      </c>
      <c r="C132" s="1550"/>
      <c r="D132" s="1548" t="s">
        <v>156</v>
      </c>
      <c r="E132" s="1635">
        <f>SUM(E126:E130)*0.2</f>
        <v>6.8749999999999992E-2</v>
      </c>
      <c r="F132" s="144"/>
      <c r="G132" s="144"/>
      <c r="H132" s="144"/>
      <c r="I132" s="144"/>
      <c r="J132" s="144"/>
      <c r="K132" s="1799"/>
      <c r="M132" s="7" t="s">
        <v>87</v>
      </c>
      <c r="N132" s="7">
        <v>0</v>
      </c>
      <c r="O132" s="1802"/>
    </row>
    <row r="133" spans="1:17" ht="15.75" x14ac:dyDescent="0.25">
      <c r="A133" s="1786" t="s">
        <v>1615</v>
      </c>
      <c r="B133" s="1786" t="s">
        <v>1616</v>
      </c>
      <c r="C133" s="1810" t="s">
        <v>1617</v>
      </c>
      <c r="D133" s="145" t="s">
        <v>594</v>
      </c>
      <c r="E133" s="1634">
        <f>IF(D133="Инженер ОК",ТрЗ_ОКиА!$K$38,IF(D133="Старший инженер ОК",ТрЗ_ОКиА!$L$38,IF(D133="Ведущий инженер ОК",ТрЗ_ОКиА!$M$38,"")))</f>
        <v>0</v>
      </c>
      <c r="F133" s="144"/>
      <c r="G133" s="144"/>
      <c r="H133" s="144"/>
      <c r="I133" s="144"/>
      <c r="J133" s="144"/>
      <c r="K133" s="1807" t="s">
        <v>1557</v>
      </c>
      <c r="M133" s="7" t="s">
        <v>566</v>
      </c>
      <c r="N133" s="7">
        <v>0</v>
      </c>
      <c r="O133" s="1802"/>
      <c r="Q133" s="1272"/>
    </row>
    <row r="134" spans="1:17" ht="15.75" x14ac:dyDescent="0.25">
      <c r="A134" s="1787"/>
      <c r="B134" s="1787"/>
      <c r="C134" s="1811"/>
      <c r="D134" s="145" t="s">
        <v>595</v>
      </c>
      <c r="E134" s="1634">
        <f>IF(D134="Инженер ОК",ТрЗ_ОКиА!$K$38,IF(D134="Старший инженер ОК",ТрЗ_ОКиА!$L$38,IF(D134="Ведущий инженер ОК",ТрЗ_ОКиА!$M$38,"")))</f>
        <v>0</v>
      </c>
      <c r="F134" s="144"/>
      <c r="G134" s="144"/>
      <c r="H134" s="144"/>
      <c r="I134" s="144"/>
      <c r="J134" s="144"/>
      <c r="K134" s="1798"/>
      <c r="M134" s="7" t="s">
        <v>119</v>
      </c>
      <c r="N134" s="7">
        <v>0</v>
      </c>
      <c r="O134" s="1802"/>
      <c r="Q134" s="1272"/>
    </row>
    <row r="135" spans="1:17" ht="15.75" x14ac:dyDescent="0.25">
      <c r="A135" s="1787"/>
      <c r="B135" s="1787"/>
      <c r="C135" s="1811"/>
      <c r="D135" s="145" t="s">
        <v>596</v>
      </c>
      <c r="E135" s="1634">
        <f>IF(D135="Инженер ОК",ТрЗ_ОКиА!$K$38,IF(D135="Старший инженер ОК",ТрЗ_ОКиА!$L$38,IF(D135="Ведущий инженер ОК",ТрЗ_ОКиА!$M$38,"")))</f>
        <v>0</v>
      </c>
      <c r="F135" s="144"/>
      <c r="G135" s="144"/>
      <c r="H135" s="144"/>
      <c r="I135" s="144"/>
      <c r="J135" s="144"/>
      <c r="K135" s="1798"/>
      <c r="M135" s="7"/>
      <c r="N135" s="7"/>
      <c r="O135" s="1622"/>
      <c r="Q135" s="1272"/>
    </row>
    <row r="136" spans="1:17" ht="15" customHeight="1" x14ac:dyDescent="0.25">
      <c r="A136" s="1787"/>
      <c r="B136" s="1787"/>
      <c r="C136" s="1811"/>
      <c r="D136" s="1546" t="s">
        <v>1223</v>
      </c>
      <c r="E136" s="1634"/>
      <c r="F136" s="144"/>
      <c r="G136" s="144"/>
      <c r="H136" s="144"/>
      <c r="I136" s="144"/>
      <c r="J136" s="144"/>
      <c r="K136" s="1798"/>
      <c r="L136" s="1542" t="s">
        <v>1524</v>
      </c>
      <c r="M136" s="7"/>
      <c r="N136" s="7"/>
      <c r="O136" s="1622"/>
      <c r="Q136" s="1272"/>
    </row>
    <row r="137" spans="1:17" ht="15.75" x14ac:dyDescent="0.25">
      <c r="A137" s="1787"/>
      <c r="B137" s="1786" t="s">
        <v>1618</v>
      </c>
      <c r="C137" s="1810" t="s">
        <v>1619</v>
      </c>
      <c r="D137" s="145" t="s">
        <v>594</v>
      </c>
      <c r="E137" s="1634">
        <f>IF(D137="Инженер ОК",ТрЗ_ОКиА!$K$104,IF(D137="Старший инженер ОК",ТрЗ_ОКиА!$L$104,IF(D137="Ведущий инженер ОК",ТрЗ_ОКиА!$M$104,"")))</f>
        <v>0</v>
      </c>
      <c r="F137" s="144"/>
      <c r="G137" s="144"/>
      <c r="H137" s="144"/>
      <c r="I137" s="144"/>
      <c r="J137" s="144"/>
      <c r="K137" s="1798"/>
      <c r="M137" s="7" t="s">
        <v>566</v>
      </c>
      <c r="N137" s="7">
        <v>0</v>
      </c>
      <c r="O137" s="1622"/>
      <c r="Q137" s="1272"/>
    </row>
    <row r="138" spans="1:17" ht="15.75" x14ac:dyDescent="0.25">
      <c r="A138" s="1787"/>
      <c r="B138" s="1787"/>
      <c r="C138" s="1811"/>
      <c r="D138" s="145" t="s">
        <v>595</v>
      </c>
      <c r="E138" s="1634">
        <f>IF(D138="Инженер ОК",ТрЗ_ОКиА!$K$104,IF(D138="Старший инженер ОК",ТрЗ_ОКиА!$L$104,IF(D138="Ведущий инженер ОК",ТрЗ_ОКиА!$M$104,"")))</f>
        <v>0</v>
      </c>
      <c r="F138" s="144"/>
      <c r="G138" s="144"/>
      <c r="H138" s="144"/>
      <c r="I138" s="144"/>
      <c r="J138" s="144"/>
      <c r="K138" s="1798"/>
      <c r="M138" s="7" t="s">
        <v>119</v>
      </c>
      <c r="N138" s="7">
        <v>0</v>
      </c>
      <c r="O138" s="1622"/>
      <c r="Q138" s="1272"/>
    </row>
    <row r="139" spans="1:17" ht="15.75" x14ac:dyDescent="0.25">
      <c r="A139" s="1787"/>
      <c r="B139" s="1787"/>
      <c r="C139" s="1811"/>
      <c r="D139" s="145" t="s">
        <v>596</v>
      </c>
      <c r="E139" s="1634">
        <f>IF(D139="Инженер ОК",ТрЗ_ОКиА!$K$104,IF(D139="Старший инженер ОК",ТрЗ_ОКиА!$L$104,IF(D139="Ведущий инженер ОК",ТрЗ_ОКиА!$M$104,"")))</f>
        <v>0</v>
      </c>
      <c r="F139" s="144"/>
      <c r="G139" s="144"/>
      <c r="H139" s="144"/>
      <c r="I139" s="144"/>
      <c r="J139" s="144"/>
      <c r="K139" s="1798"/>
      <c r="M139" s="7"/>
      <c r="N139" s="7"/>
      <c r="O139" s="1622"/>
      <c r="Q139" s="1272"/>
    </row>
    <row r="140" spans="1:17" ht="15" customHeight="1" x14ac:dyDescent="0.25">
      <c r="A140" s="1787"/>
      <c r="B140" s="1787"/>
      <c r="C140" s="1811"/>
      <c r="D140" s="1546" t="s">
        <v>1223</v>
      </c>
      <c r="E140" s="1634"/>
      <c r="F140" s="144"/>
      <c r="G140" s="144"/>
      <c r="H140" s="144"/>
      <c r="I140" s="144"/>
      <c r="J140" s="144"/>
      <c r="K140" s="1798"/>
      <c r="L140" s="1542" t="s">
        <v>1524</v>
      </c>
      <c r="M140" s="7"/>
      <c r="N140" s="7"/>
      <c r="O140" s="1622"/>
      <c r="Q140" s="1272"/>
    </row>
    <row r="141" spans="1:17" ht="15.75" x14ac:dyDescent="0.25">
      <c r="A141" s="1787"/>
      <c r="B141" s="1786" t="s">
        <v>1620</v>
      </c>
      <c r="C141" s="1810" t="s">
        <v>1621</v>
      </c>
      <c r="D141" s="145" t="s">
        <v>594</v>
      </c>
      <c r="E141" s="1634">
        <f>IF(D141="Инженер ОК",ТрЗ_ОКиА!$K$182,IF(D141="Старший инженер ОК",ТрЗ_ОКиА!$L$182,IF(D141="Ведущий инженер ОК",ТрЗ_ОКиА!$M$182,"")))</f>
        <v>2.4</v>
      </c>
      <c r="F141" s="144"/>
      <c r="G141" s="144"/>
      <c r="H141" s="144"/>
      <c r="I141" s="144"/>
      <c r="J141" s="144"/>
      <c r="K141" s="1798"/>
      <c r="M141" s="7" t="s">
        <v>566</v>
      </c>
      <c r="N141" s="7">
        <v>0</v>
      </c>
      <c r="O141" s="1622"/>
      <c r="Q141" s="1272"/>
    </row>
    <row r="142" spans="1:17" ht="15.75" x14ac:dyDescent="0.25">
      <c r="A142" s="1787"/>
      <c r="B142" s="1787"/>
      <c r="C142" s="1811"/>
      <c r="D142" s="145" t="s">
        <v>595</v>
      </c>
      <c r="E142" s="1634">
        <f>IF(D142="Инженер ОК",ТрЗ_ОКиА!$K$182,IF(D142="Старший инженер ОК",ТрЗ_ОКиА!$L$182,IF(D142="Ведущий инженер ОК",ТрЗ_ОКиА!$M$182,"")))</f>
        <v>3.2</v>
      </c>
      <c r="F142" s="144"/>
      <c r="G142" s="144"/>
      <c r="H142" s="144"/>
      <c r="I142" s="144"/>
      <c r="J142" s="144"/>
      <c r="K142" s="1798"/>
      <c r="M142" s="7" t="s">
        <v>119</v>
      </c>
      <c r="N142" s="7">
        <v>0</v>
      </c>
      <c r="O142" s="1622"/>
      <c r="Q142" s="1272"/>
    </row>
    <row r="143" spans="1:17" ht="15.75" x14ac:dyDescent="0.25">
      <c r="A143" s="1787"/>
      <c r="B143" s="1787"/>
      <c r="C143" s="1811"/>
      <c r="D143" s="145" t="s">
        <v>596</v>
      </c>
      <c r="E143" s="1634">
        <f>IF(D143="Инженер ОК",ТрЗ_ОКиА!$K$182,IF(D143="Старший инженер ОК",ТрЗ_ОКиА!$L$182,IF(D143="Ведущий инженер ОК",ТрЗ_ОКиА!$M$182,"")))</f>
        <v>2.4</v>
      </c>
      <c r="F143" s="144"/>
      <c r="G143" s="144"/>
      <c r="H143" s="144"/>
      <c r="I143" s="144"/>
      <c r="J143" s="144"/>
      <c r="K143" s="1798"/>
      <c r="M143" s="7"/>
      <c r="N143" s="7"/>
      <c r="O143" s="1622"/>
      <c r="Q143" s="1272"/>
    </row>
    <row r="144" spans="1:17" ht="15" customHeight="1" x14ac:dyDescent="0.25">
      <c r="A144" s="1787"/>
      <c r="B144" s="1787"/>
      <c r="C144" s="1811"/>
      <c r="D144" s="1546" t="s">
        <v>1223</v>
      </c>
      <c r="E144" s="1634"/>
      <c r="F144" s="144"/>
      <c r="G144" s="144"/>
      <c r="H144" s="144"/>
      <c r="I144" s="144"/>
      <c r="J144" s="144"/>
      <c r="K144" s="1798"/>
      <c r="L144" s="1542" t="s">
        <v>1524</v>
      </c>
      <c r="M144" s="7"/>
      <c r="N144" s="7"/>
      <c r="O144" s="1622"/>
      <c r="Q144" s="1272"/>
    </row>
    <row r="145" spans="1:17" ht="15.75" x14ac:dyDescent="0.25">
      <c r="A145" s="1787"/>
      <c r="B145" s="1786" t="s">
        <v>1622</v>
      </c>
      <c r="C145" s="1810" t="s">
        <v>1623</v>
      </c>
      <c r="D145" s="145" t="s">
        <v>594</v>
      </c>
      <c r="E145" s="1634">
        <f>IF(D145="Инженер ОК",ТрЗ_ОКиА!$K$253,IF(D145="Старший инженер ОК",ТрЗ_ОКиА!$L$253,IF(D145="Ведущий инженер ОК",ТрЗ_ОКиА!$M$253,"")))</f>
        <v>0</v>
      </c>
      <c r="F145" s="144"/>
      <c r="G145" s="144"/>
      <c r="H145" s="144"/>
      <c r="I145" s="144"/>
      <c r="J145" s="144"/>
      <c r="K145" s="1798"/>
      <c r="M145" s="7" t="s">
        <v>566</v>
      </c>
      <c r="N145" s="7">
        <v>0</v>
      </c>
      <c r="O145" s="1622"/>
      <c r="Q145" s="1272"/>
    </row>
    <row r="146" spans="1:17" ht="15.75" x14ac:dyDescent="0.25">
      <c r="A146" s="1787"/>
      <c r="B146" s="1787"/>
      <c r="C146" s="1811"/>
      <c r="D146" s="145" t="s">
        <v>595</v>
      </c>
      <c r="E146" s="1634">
        <f>IF(D146="Инженер ОК",ТрЗ_ОКиА!$K$253,IF(D146="Старший инженер ОК",ТрЗ_ОКиА!$L$253,IF(D146="Ведущий инженер ОК",ТрЗ_ОКиА!$M$253,"")))</f>
        <v>0</v>
      </c>
      <c r="F146" s="144"/>
      <c r="G146" s="144"/>
      <c r="H146" s="144"/>
      <c r="I146" s="144"/>
      <c r="J146" s="144"/>
      <c r="K146" s="1798"/>
      <c r="M146" s="7" t="s">
        <v>119</v>
      </c>
      <c r="N146" s="7">
        <v>0</v>
      </c>
      <c r="O146" s="1622"/>
      <c r="Q146" s="1272"/>
    </row>
    <row r="147" spans="1:17" ht="15.75" x14ac:dyDescent="0.25">
      <c r="A147" s="1787"/>
      <c r="B147" s="1787"/>
      <c r="C147" s="1811"/>
      <c r="D147" s="145" t="s">
        <v>596</v>
      </c>
      <c r="E147" s="1634">
        <f>IF(D147="Инженер ОК",ТрЗ_ОКиА!$K$253,IF(D147="Старший инженер ОК",ТрЗ_ОКиА!$L$253,IF(D147="Ведущий инженер ОК",ТрЗ_ОКиА!$M$253,"")))</f>
        <v>0</v>
      </c>
      <c r="F147" s="144"/>
      <c r="G147" s="144"/>
      <c r="H147" s="144"/>
      <c r="I147" s="144"/>
      <c r="J147" s="144"/>
      <c r="K147" s="1798"/>
      <c r="M147" s="7"/>
      <c r="N147" s="7"/>
      <c r="O147" s="1622"/>
      <c r="Q147" s="1272"/>
    </row>
    <row r="148" spans="1:17" ht="15" customHeight="1" x14ac:dyDescent="0.25">
      <c r="A148" s="1787"/>
      <c r="B148" s="1787"/>
      <c r="C148" s="1811"/>
      <c r="D148" s="1546" t="s">
        <v>1223</v>
      </c>
      <c r="E148" s="1634"/>
      <c r="F148" s="144"/>
      <c r="G148" s="144"/>
      <c r="H148" s="144"/>
      <c r="I148" s="144"/>
      <c r="J148" s="144"/>
      <c r="K148" s="1798"/>
      <c r="L148" s="1542" t="s">
        <v>1524</v>
      </c>
      <c r="M148" s="7"/>
      <c r="N148" s="7"/>
      <c r="O148" s="1622"/>
      <c r="Q148" s="1272"/>
    </row>
    <row r="149" spans="1:17" x14ac:dyDescent="0.25">
      <c r="A149" s="1787"/>
      <c r="B149" s="1830" t="s">
        <v>1659</v>
      </c>
      <c r="C149" s="1808" t="s">
        <v>1624</v>
      </c>
      <c r="D149" s="145" t="s">
        <v>594</v>
      </c>
      <c r="E149" s="1634"/>
      <c r="F149" s="144"/>
      <c r="G149" s="144"/>
      <c r="H149" s="144"/>
      <c r="I149" s="144"/>
      <c r="J149" s="144"/>
      <c r="K149" s="1798"/>
      <c r="M149" s="7" t="s">
        <v>87</v>
      </c>
      <c r="N149" s="7">
        <v>0</v>
      </c>
      <c r="O149" s="1802"/>
    </row>
    <row r="150" spans="1:17" x14ac:dyDescent="0.25">
      <c r="A150" s="1787"/>
      <c r="B150" s="1831"/>
      <c r="C150" s="1809"/>
      <c r="D150" s="145" t="s">
        <v>595</v>
      </c>
      <c r="E150" s="1634"/>
      <c r="F150" s="144"/>
      <c r="G150" s="144"/>
      <c r="H150" s="144"/>
      <c r="I150" s="144"/>
      <c r="J150" s="144"/>
      <c r="K150" s="1798"/>
      <c r="M150" s="7" t="s">
        <v>566</v>
      </c>
      <c r="N150" s="7">
        <v>0</v>
      </c>
      <c r="O150" s="1802"/>
    </row>
    <row r="151" spans="1:17" x14ac:dyDescent="0.25">
      <c r="A151" s="1787"/>
      <c r="B151" s="1831"/>
      <c r="C151" s="1809"/>
      <c r="D151" s="145" t="s">
        <v>596</v>
      </c>
      <c r="E151" s="1634"/>
      <c r="F151" s="144"/>
      <c r="G151" s="144"/>
      <c r="H151" s="144"/>
      <c r="I151" s="144"/>
      <c r="J151" s="144"/>
      <c r="K151" s="1798"/>
      <c r="M151" s="7" t="s">
        <v>119</v>
      </c>
      <c r="N151" s="7">
        <v>0</v>
      </c>
      <c r="O151" s="1802"/>
    </row>
    <row r="152" spans="1:17" x14ac:dyDescent="0.25">
      <c r="A152" s="1787"/>
      <c r="B152" s="1831"/>
      <c r="C152" s="1812"/>
      <c r="D152" s="1546" t="s">
        <v>1223</v>
      </c>
      <c r="E152" s="1634"/>
      <c r="F152" s="144"/>
      <c r="G152" s="144"/>
      <c r="H152" s="144"/>
      <c r="I152" s="144"/>
      <c r="J152" s="144"/>
      <c r="K152" s="1798"/>
      <c r="M152" s="7"/>
      <c r="N152" s="7"/>
      <c r="O152" s="1622"/>
    </row>
    <row r="153" spans="1:17" x14ac:dyDescent="0.25">
      <c r="A153" s="1787"/>
      <c r="B153" s="1831"/>
      <c r="C153" s="1808" t="s">
        <v>1531</v>
      </c>
      <c r="D153" s="145" t="s">
        <v>591</v>
      </c>
      <c r="E153" s="1634"/>
      <c r="F153" s="144"/>
      <c r="G153" s="144"/>
      <c r="H153" s="144"/>
      <c r="I153" s="144"/>
      <c r="J153" s="144"/>
      <c r="K153" s="1798"/>
      <c r="M153" s="7" t="s">
        <v>87</v>
      </c>
      <c r="N153" s="7">
        <v>0</v>
      </c>
      <c r="O153" s="1802"/>
    </row>
    <row r="154" spans="1:17" x14ac:dyDescent="0.25">
      <c r="A154" s="1787"/>
      <c r="B154" s="1831"/>
      <c r="C154" s="1809"/>
      <c r="D154" s="145" t="s">
        <v>592</v>
      </c>
      <c r="E154" s="1634"/>
      <c r="F154" s="144"/>
      <c r="G154" s="144"/>
      <c r="H154" s="144"/>
      <c r="I154" s="144"/>
      <c r="J154" s="144"/>
      <c r="K154" s="1798"/>
      <c r="M154" s="7" t="s">
        <v>566</v>
      </c>
      <c r="N154" s="7">
        <v>0</v>
      </c>
      <c r="O154" s="1802"/>
    </row>
    <row r="155" spans="1:17" x14ac:dyDescent="0.25">
      <c r="A155" s="1787"/>
      <c r="B155" s="1832"/>
      <c r="C155" s="1809"/>
      <c r="D155" s="145" t="s">
        <v>593</v>
      </c>
      <c r="E155" s="1634"/>
      <c r="F155" s="144"/>
      <c r="G155" s="144"/>
      <c r="H155" s="144"/>
      <c r="I155" s="144"/>
      <c r="J155" s="144"/>
      <c r="K155" s="1798"/>
      <c r="M155" s="7" t="s">
        <v>119</v>
      </c>
      <c r="N155" s="7">
        <v>0</v>
      </c>
      <c r="O155" s="1802"/>
    </row>
    <row r="156" spans="1:17" x14ac:dyDescent="0.25">
      <c r="A156" s="1787"/>
      <c r="B156" s="1549" t="s">
        <v>1625</v>
      </c>
      <c r="C156" s="1549"/>
      <c r="D156" s="1548" t="s">
        <v>622</v>
      </c>
      <c r="E156" s="1635">
        <f>SUM(E133:E155)*0.1</f>
        <v>0.8</v>
      </c>
      <c r="F156" s="144"/>
      <c r="G156" s="144"/>
      <c r="H156" s="144"/>
      <c r="I156" s="144"/>
      <c r="J156" s="144"/>
      <c r="K156" s="1798"/>
      <c r="M156" s="1803" t="s">
        <v>447</v>
      </c>
      <c r="N156" s="1801"/>
      <c r="O156" s="1801"/>
    </row>
    <row r="157" spans="1:17" x14ac:dyDescent="0.25">
      <c r="A157" s="1794"/>
      <c r="B157" s="1550" t="s">
        <v>1626</v>
      </c>
      <c r="C157" s="1550"/>
      <c r="D157" s="1548" t="s">
        <v>156</v>
      </c>
      <c r="E157" s="1635">
        <f>SUM(E133:E155)*0.2</f>
        <v>1.6</v>
      </c>
      <c r="F157" s="144"/>
      <c r="G157" s="144"/>
      <c r="H157" s="144"/>
      <c r="I157" s="144"/>
      <c r="J157" s="144"/>
      <c r="K157" s="1799"/>
      <c r="M157" s="7" t="s">
        <v>87</v>
      </c>
      <c r="N157" s="7">
        <v>0</v>
      </c>
      <c r="O157" s="1802"/>
    </row>
    <row r="158" spans="1:17" ht="14.45" customHeight="1" x14ac:dyDescent="0.25">
      <c r="A158" s="1813" t="s">
        <v>1627</v>
      </c>
      <c r="B158" s="1786" t="s">
        <v>1628</v>
      </c>
      <c r="C158" s="1786" t="s">
        <v>1532</v>
      </c>
      <c r="D158" s="145" t="s">
        <v>137</v>
      </c>
      <c r="E158" s="1634"/>
      <c r="F158" s="144"/>
      <c r="G158" s="144"/>
      <c r="H158" s="144"/>
      <c r="I158" s="144"/>
      <c r="J158" s="144"/>
      <c r="K158" s="1807" t="s">
        <v>1557</v>
      </c>
      <c r="M158" s="7" t="s">
        <v>566</v>
      </c>
      <c r="N158" s="7">
        <v>0</v>
      </c>
      <c r="O158" s="1802"/>
    </row>
    <row r="159" spans="1:17" x14ac:dyDescent="0.25">
      <c r="A159" s="1814"/>
      <c r="B159" s="1787"/>
      <c r="C159" s="1787"/>
      <c r="D159" s="145" t="s">
        <v>597</v>
      </c>
      <c r="E159" s="1634"/>
      <c r="F159" s="144"/>
      <c r="G159" s="144"/>
      <c r="H159" s="144"/>
      <c r="I159" s="144"/>
      <c r="J159" s="144"/>
      <c r="K159" s="1798"/>
      <c r="M159" s="7" t="s">
        <v>119</v>
      </c>
      <c r="N159" s="7">
        <v>0</v>
      </c>
      <c r="O159" s="1802"/>
    </row>
    <row r="160" spans="1:17" ht="15" customHeight="1" x14ac:dyDescent="0.25">
      <c r="A160" s="1814"/>
      <c r="B160" s="1787"/>
      <c r="C160" s="1787"/>
      <c r="D160" s="145" t="s">
        <v>136</v>
      </c>
      <c r="E160" s="1634"/>
      <c r="F160" s="144"/>
      <c r="G160" s="144"/>
      <c r="H160" s="144"/>
      <c r="I160" s="144"/>
      <c r="J160" s="144"/>
      <c r="K160" s="1798"/>
      <c r="M160" s="1803" t="s">
        <v>1</v>
      </c>
      <c r="N160" s="1801"/>
      <c r="O160" s="1801"/>
    </row>
    <row r="161" spans="1:15" x14ac:dyDescent="0.25">
      <c r="A161" s="1814"/>
      <c r="B161" s="1787"/>
      <c r="C161" s="1787"/>
      <c r="D161" s="145" t="s">
        <v>591</v>
      </c>
      <c r="E161" s="1634"/>
      <c r="F161" s="144"/>
      <c r="G161" s="144"/>
      <c r="H161" s="144"/>
      <c r="I161" s="144"/>
      <c r="J161" s="144"/>
      <c r="K161" s="1798"/>
      <c r="M161" s="7" t="s">
        <v>87</v>
      </c>
      <c r="N161" s="7">
        <v>0</v>
      </c>
      <c r="O161" s="1802"/>
    </row>
    <row r="162" spans="1:15" x14ac:dyDescent="0.25">
      <c r="A162" s="1814"/>
      <c r="B162" s="1787"/>
      <c r="C162" s="1787"/>
      <c r="D162" s="145" t="s">
        <v>592</v>
      </c>
      <c r="E162" s="1634"/>
      <c r="F162" s="144"/>
      <c r="G162" s="144"/>
      <c r="H162" s="144"/>
      <c r="I162" s="144"/>
      <c r="J162" s="144"/>
      <c r="K162" s="1798"/>
      <c r="M162" s="7" t="s">
        <v>566</v>
      </c>
      <c r="N162" s="7">
        <v>0</v>
      </c>
      <c r="O162" s="1802"/>
    </row>
    <row r="163" spans="1:15" x14ac:dyDescent="0.25">
      <c r="A163" s="1814"/>
      <c r="B163" s="1787"/>
      <c r="C163" s="1787"/>
      <c r="D163" s="145" t="s">
        <v>593</v>
      </c>
      <c r="E163" s="1634"/>
      <c r="F163" s="144"/>
      <c r="G163" s="144"/>
      <c r="H163" s="144"/>
      <c r="I163" s="144"/>
      <c r="J163" s="144"/>
      <c r="K163" s="1798"/>
      <c r="M163" s="7"/>
      <c r="N163" s="7"/>
      <c r="O163" s="1802"/>
    </row>
    <row r="164" spans="1:15" x14ac:dyDescent="0.25">
      <c r="A164" s="1814"/>
      <c r="B164" s="1787"/>
      <c r="C164" s="1787"/>
      <c r="D164" s="145" t="s">
        <v>137</v>
      </c>
      <c r="E164" s="1634"/>
      <c r="F164" s="144"/>
      <c r="G164" s="144"/>
      <c r="H164" s="144"/>
      <c r="I164" s="144"/>
      <c r="J164" s="144"/>
      <c r="K164" s="1798"/>
      <c r="M164" s="7" t="s">
        <v>119</v>
      </c>
      <c r="N164" s="7">
        <v>0</v>
      </c>
      <c r="O164" s="1802"/>
    </row>
    <row r="165" spans="1:15" x14ac:dyDescent="0.25">
      <c r="A165" s="1814"/>
      <c r="B165" s="1794"/>
      <c r="C165" s="1794"/>
      <c r="D165" s="145" t="s">
        <v>597</v>
      </c>
      <c r="E165" s="1634"/>
      <c r="F165" s="144"/>
      <c r="G165" s="144"/>
      <c r="H165" s="144"/>
      <c r="I165" s="144"/>
      <c r="J165" s="144"/>
      <c r="K165" s="1798"/>
      <c r="M165" s="1803" t="s">
        <v>11</v>
      </c>
      <c r="N165" s="1801"/>
      <c r="O165" s="1801"/>
    </row>
    <row r="166" spans="1:15" x14ac:dyDescent="0.25">
      <c r="A166" s="1814"/>
      <c r="B166" s="1786" t="s">
        <v>1629</v>
      </c>
      <c r="C166" s="1786" t="s">
        <v>1533</v>
      </c>
      <c r="D166" s="145" t="s">
        <v>591</v>
      </c>
      <c r="E166" s="1634"/>
      <c r="F166" s="144"/>
      <c r="G166" s="144"/>
      <c r="H166" s="144"/>
      <c r="I166" s="144"/>
      <c r="J166" s="144"/>
      <c r="K166" s="1798"/>
      <c r="M166" s="7" t="s">
        <v>87</v>
      </c>
      <c r="N166" s="7">
        <v>0</v>
      </c>
      <c r="O166" s="1802"/>
    </row>
    <row r="167" spans="1:15" x14ac:dyDescent="0.25">
      <c r="A167" s="1814"/>
      <c r="B167" s="1787"/>
      <c r="C167" s="1787"/>
      <c r="D167" s="145" t="s">
        <v>592</v>
      </c>
      <c r="E167" s="1634"/>
      <c r="F167" s="144"/>
      <c r="G167" s="144"/>
      <c r="H167" s="144"/>
      <c r="I167" s="144"/>
      <c r="J167" s="144"/>
      <c r="K167" s="1798"/>
      <c r="M167" s="7" t="s">
        <v>566</v>
      </c>
      <c r="N167" s="7">
        <v>0</v>
      </c>
      <c r="O167" s="1802"/>
    </row>
    <row r="168" spans="1:15" x14ac:dyDescent="0.25">
      <c r="A168" s="1814"/>
      <c r="B168" s="1787"/>
      <c r="C168" s="1787"/>
      <c r="D168" s="145" t="s">
        <v>593</v>
      </c>
      <c r="E168" s="1634"/>
      <c r="F168" s="144"/>
      <c r="G168" s="144"/>
      <c r="H168" s="144"/>
      <c r="I168" s="144"/>
      <c r="J168" s="144"/>
      <c r="K168" s="1798"/>
      <c r="M168" s="7" t="s">
        <v>119</v>
      </c>
      <c r="N168" s="7">
        <v>0</v>
      </c>
      <c r="O168" s="1802"/>
    </row>
    <row r="169" spans="1:15" x14ac:dyDescent="0.25">
      <c r="A169" s="1814"/>
      <c r="B169" s="1787"/>
      <c r="C169" s="1787"/>
      <c r="D169" s="1546" t="s">
        <v>1223</v>
      </c>
      <c r="E169" s="1634"/>
      <c r="F169" s="144"/>
      <c r="G169" s="144"/>
      <c r="H169" s="144"/>
      <c r="I169" s="144"/>
      <c r="J169" s="144"/>
      <c r="K169" s="1798"/>
      <c r="L169" s="1542" t="s">
        <v>1524</v>
      </c>
      <c r="M169" s="7"/>
      <c r="N169" s="7"/>
      <c r="O169" s="1622"/>
    </row>
    <row r="170" spans="1:15" x14ac:dyDescent="0.25">
      <c r="A170" s="1814"/>
      <c r="B170" s="1549" t="s">
        <v>1630</v>
      </c>
      <c r="C170" s="1549"/>
      <c r="D170" s="1548" t="s">
        <v>622</v>
      </c>
      <c r="E170" s="1635">
        <f>SUM(E166:E169)*0.1</f>
        <v>0</v>
      </c>
      <c r="F170" s="144"/>
      <c r="G170" s="144"/>
      <c r="H170" s="144"/>
      <c r="I170" s="144"/>
      <c r="J170" s="144"/>
      <c r="K170" s="1798"/>
      <c r="M170" s="1803" t="s">
        <v>343</v>
      </c>
      <c r="N170" s="1801"/>
      <c r="O170" s="1801"/>
    </row>
    <row r="171" spans="1:15" x14ac:dyDescent="0.25">
      <c r="A171" s="1815"/>
      <c r="B171" s="1550" t="s">
        <v>1631</v>
      </c>
      <c r="C171" s="1550"/>
      <c r="D171" s="1548" t="s">
        <v>156</v>
      </c>
      <c r="E171" s="1635">
        <f>SUM(E166:E169)*0.2</f>
        <v>0</v>
      </c>
      <c r="F171" s="144"/>
      <c r="G171" s="144"/>
      <c r="H171" s="144"/>
      <c r="I171" s="144"/>
      <c r="J171" s="144"/>
      <c r="K171" s="1799"/>
      <c r="M171" s="7" t="s">
        <v>87</v>
      </c>
      <c r="N171" s="7">
        <v>0</v>
      </c>
      <c r="O171" s="1802"/>
    </row>
    <row r="172" spans="1:15" x14ac:dyDescent="0.25">
      <c r="A172" s="1813" t="s">
        <v>1632</v>
      </c>
      <c r="B172" s="1786" t="s">
        <v>1633</v>
      </c>
      <c r="C172" s="1786" t="s">
        <v>1535</v>
      </c>
      <c r="D172" s="145" t="s">
        <v>591</v>
      </c>
      <c r="E172" s="1634">
        <f>IFERROR(ROUNDUP(ТрЗ_ОП!H107+IF(ТрЗ_ОП!F2="Пресейл",ТрЗ_ОП!H127,0),1),"-")</f>
        <v>0</v>
      </c>
      <c r="F172" s="144"/>
      <c r="G172" s="144"/>
      <c r="H172" s="144"/>
      <c r="I172" s="144"/>
      <c r="J172" s="144"/>
      <c r="K172" s="1807" t="s">
        <v>1557</v>
      </c>
      <c r="M172" s="7" t="s">
        <v>566</v>
      </c>
      <c r="N172" s="7">
        <v>0</v>
      </c>
      <c r="O172" s="1802"/>
    </row>
    <row r="173" spans="1:15" x14ac:dyDescent="0.25">
      <c r="A173" s="1814"/>
      <c r="B173" s="1787"/>
      <c r="C173" s="1787"/>
      <c r="D173" s="145" t="s">
        <v>592</v>
      </c>
      <c r="E173" s="1634">
        <f>IFERROR(ROUNDUP(ТрЗ_ОП!H108+IF(ТрЗ_ОП!F2="Пресейл",ТрЗ_ОП!H128,0),1),"-")</f>
        <v>0</v>
      </c>
      <c r="F173" s="144"/>
      <c r="G173" s="144"/>
      <c r="H173" s="144"/>
      <c r="I173" s="144"/>
      <c r="J173" s="144"/>
      <c r="K173" s="1798"/>
      <c r="M173" s="7" t="s">
        <v>119</v>
      </c>
      <c r="N173" s="7">
        <v>0</v>
      </c>
      <c r="O173" s="1802"/>
    </row>
    <row r="174" spans="1:15" x14ac:dyDescent="0.25">
      <c r="A174" s="1814"/>
      <c r="B174" s="1787"/>
      <c r="C174" s="1787"/>
      <c r="D174" s="145" t="s">
        <v>593</v>
      </c>
      <c r="E174" s="1634">
        <f>IFERROR(ROUNDUP(ТрЗ_ОП!H109+IF(ТрЗ_ОП!F2="Пресейл",ТрЗ_ОП!H129,0),1),"-")</f>
        <v>0</v>
      </c>
      <c r="F174" s="144"/>
      <c r="G174" s="144"/>
      <c r="H174" s="144"/>
      <c r="I174" s="144"/>
      <c r="J174" s="144"/>
      <c r="K174" s="1798"/>
      <c r="M174" s="1803" t="s">
        <v>243</v>
      </c>
      <c r="N174" s="1801"/>
      <c r="O174" s="1801"/>
    </row>
    <row r="175" spans="1:15" x14ac:dyDescent="0.25">
      <c r="A175" s="1814"/>
      <c r="B175" s="1787"/>
      <c r="C175" s="1787"/>
      <c r="D175" s="1546" t="s">
        <v>1223</v>
      </c>
      <c r="E175" s="1634">
        <f>IFERROR(ROUNDUP(ТрЗ_ОП!H110+IF(ТрЗ_ОП!F2="Пресейл",ТрЗ_ОП!H130,0),1),"-")</f>
        <v>0</v>
      </c>
      <c r="F175" s="144"/>
      <c r="G175" s="144"/>
      <c r="H175" s="144"/>
      <c r="I175" s="144"/>
      <c r="J175" s="144"/>
      <c r="K175" s="1798"/>
      <c r="M175" s="1624"/>
    </row>
    <row r="176" spans="1:15" x14ac:dyDescent="0.25">
      <c r="A176" s="1814"/>
      <c r="B176" s="1787"/>
      <c r="C176" s="1787"/>
      <c r="D176" s="145" t="s">
        <v>157</v>
      </c>
      <c r="E176" s="1634">
        <f>IFERROR(SUM(E172:E174)*0.01,"-")</f>
        <v>0</v>
      </c>
      <c r="F176" s="144"/>
      <c r="G176" s="144"/>
      <c r="H176" s="144"/>
      <c r="I176" s="144"/>
      <c r="J176" s="144"/>
      <c r="K176" s="1798"/>
      <c r="M176" s="7" t="s">
        <v>87</v>
      </c>
      <c r="N176" s="7">
        <v>0</v>
      </c>
      <c r="O176" s="1802"/>
    </row>
    <row r="177" spans="1:15" x14ac:dyDescent="0.25">
      <c r="A177" s="1814"/>
      <c r="B177" s="1794"/>
      <c r="C177" s="1794"/>
      <c r="D177" s="145" t="s">
        <v>591</v>
      </c>
      <c r="E177" s="1634"/>
      <c r="F177" s="144"/>
      <c r="G177" s="144"/>
      <c r="H177" s="144"/>
      <c r="I177" s="144"/>
      <c r="J177" s="144"/>
      <c r="K177" s="1798"/>
      <c r="M177" s="7" t="s">
        <v>566</v>
      </c>
      <c r="N177" s="7">
        <v>0</v>
      </c>
      <c r="O177" s="1802"/>
    </row>
    <row r="178" spans="1:15" x14ac:dyDescent="0.25">
      <c r="A178" s="1814"/>
      <c r="B178" s="1786" t="s">
        <v>1634</v>
      </c>
      <c r="C178" s="1786" t="s">
        <v>1534</v>
      </c>
      <c r="D178" s="145" t="s">
        <v>591</v>
      </c>
      <c r="E178" s="1634">
        <f>IFERROR(ROUNDUP(ТрЗ_ОП!H111+IF(ТрЗ_ОП!F2="ЭП",ТрЗ_ОП!H127,0),1),"-")</f>
        <v>0</v>
      </c>
      <c r="F178" s="144"/>
      <c r="G178" s="144"/>
      <c r="H178" s="144"/>
      <c r="I178" s="144"/>
      <c r="J178" s="144"/>
      <c r="K178" s="1798"/>
      <c r="M178" s="7" t="s">
        <v>119</v>
      </c>
      <c r="N178" s="7">
        <v>0</v>
      </c>
      <c r="O178" s="1802"/>
    </row>
    <row r="179" spans="1:15" x14ac:dyDescent="0.25">
      <c r="A179" s="1814"/>
      <c r="B179" s="1787"/>
      <c r="C179" s="1787"/>
      <c r="D179" s="145" t="s">
        <v>592</v>
      </c>
      <c r="E179" s="1634">
        <f>IFERROR(ROUNDUP(ТрЗ_ОП!H112+IF(ТрЗ_ОП!F2="ЭП",ТрЗ_ОП!H128,0),1),"-")</f>
        <v>0</v>
      </c>
      <c r="F179" s="144"/>
      <c r="G179" s="144"/>
      <c r="H179" s="144"/>
      <c r="I179" s="144"/>
      <c r="J179" s="144"/>
      <c r="K179" s="1798"/>
      <c r="M179" s="1803" t="s">
        <v>244</v>
      </c>
      <c r="N179" s="1801"/>
      <c r="O179" s="1801"/>
    </row>
    <row r="180" spans="1:15" x14ac:dyDescent="0.25">
      <c r="A180" s="1814"/>
      <c r="B180" s="1787"/>
      <c r="C180" s="1787"/>
      <c r="D180" s="145" t="s">
        <v>593</v>
      </c>
      <c r="E180" s="1634">
        <f>IFERROR(ROUNDUP(ТрЗ_ОП!H113+IF(ТрЗ_ОП!F2="ЭП",ТрЗ_ОП!H129,0),1),"-")</f>
        <v>0</v>
      </c>
      <c r="F180" s="144"/>
      <c r="G180" s="144"/>
      <c r="H180" s="144"/>
      <c r="I180" s="144"/>
      <c r="J180" s="144"/>
      <c r="K180" s="1798"/>
      <c r="M180" s="7" t="s">
        <v>87</v>
      </c>
      <c r="N180" s="7">
        <v>0</v>
      </c>
      <c r="O180" s="1802"/>
    </row>
    <row r="181" spans="1:15" x14ac:dyDescent="0.25">
      <c r="A181" s="1814"/>
      <c r="B181" s="1787"/>
      <c r="C181" s="1787"/>
      <c r="D181" s="1546" t="s">
        <v>1223</v>
      </c>
      <c r="E181" s="1634">
        <f>IFERROR(ROUNDUP(ТрЗ_ОП!H114+IF(ТрЗ_ОП!F2="ЭП",ТрЗ_ОП!H130,0),1),"-")</f>
        <v>0</v>
      </c>
      <c r="F181" s="144"/>
      <c r="G181" s="144"/>
      <c r="H181" s="144"/>
      <c r="I181" s="144"/>
      <c r="J181" s="144"/>
      <c r="K181" s="1798"/>
      <c r="L181" s="1542" t="s">
        <v>1524</v>
      </c>
      <c r="M181" s="7"/>
      <c r="N181" s="7"/>
      <c r="O181" s="1802"/>
    </row>
    <row r="182" spans="1:15" x14ac:dyDescent="0.25">
      <c r="A182" s="1814"/>
      <c r="B182" s="1787"/>
      <c r="C182" s="1787"/>
      <c r="D182" s="145" t="s">
        <v>157</v>
      </c>
      <c r="E182" s="1634">
        <f>IFERROR(SUM(E178:E180)*0.01,"-")</f>
        <v>0</v>
      </c>
      <c r="F182" s="144"/>
      <c r="G182" s="144"/>
      <c r="H182" s="144"/>
      <c r="I182" s="144"/>
      <c r="J182" s="144"/>
      <c r="K182" s="1798"/>
      <c r="M182" s="7" t="s">
        <v>566</v>
      </c>
      <c r="N182" s="7">
        <v>0</v>
      </c>
      <c r="O182" s="1802"/>
    </row>
    <row r="183" spans="1:15" x14ac:dyDescent="0.25">
      <c r="A183" s="1814"/>
      <c r="B183" s="1794"/>
      <c r="C183" s="1794"/>
      <c r="D183" s="145" t="s">
        <v>591</v>
      </c>
      <c r="E183" s="1634"/>
      <c r="F183" s="144"/>
      <c r="G183" s="144"/>
      <c r="H183" s="144"/>
      <c r="I183" s="144"/>
      <c r="J183" s="144"/>
      <c r="K183" s="1798"/>
      <c r="M183" s="7" t="s">
        <v>119</v>
      </c>
      <c r="N183" s="7">
        <v>0</v>
      </c>
      <c r="O183" s="1802"/>
    </row>
    <row r="184" spans="1:15" ht="14.45" customHeight="1" x14ac:dyDescent="0.25">
      <c r="A184" s="1814"/>
      <c r="B184" s="1786" t="s">
        <v>1635</v>
      </c>
      <c r="C184" s="1786" t="s">
        <v>1536</v>
      </c>
      <c r="D184" s="145" t="s">
        <v>591</v>
      </c>
      <c r="E184" s="1634" t="str">
        <f>IFERROR(ROUNDUP(IF(ТрЗ_ОП!$F$2="ТП",ТрЗ_ОП!H115+ТрЗ_ОП!H119+ТрЗ_ОП!H127,ТрЗ_ОП!H115+IF(ТрЗ_ОП!$F$2="ТРП",ТрЗ_ОП!H127*ТрЗ_ОП!$I$127,0)),1),"-")</f>
        <v>-</v>
      </c>
      <c r="F184" s="144"/>
      <c r="G184" s="144"/>
      <c r="H184" s="144"/>
      <c r="I184" s="144"/>
      <c r="J184" s="144"/>
      <c r="K184" s="1798"/>
      <c r="M184" s="1803" t="s">
        <v>245</v>
      </c>
      <c r="N184" s="1801"/>
      <c r="O184" s="1801"/>
    </row>
    <row r="185" spans="1:15" x14ac:dyDescent="0.25">
      <c r="A185" s="1814"/>
      <c r="B185" s="1787"/>
      <c r="C185" s="1787"/>
      <c r="D185" s="145" t="s">
        <v>592</v>
      </c>
      <c r="E185" s="1634" t="str">
        <f>IFERROR(ROUNDUP(IF(ТрЗ_ОП!$F$2="ТП",ТрЗ_ОП!H116+ТрЗ_ОП!H120+ТрЗ_ОП!H128,ТрЗ_ОП!H116+IF(ТрЗ_ОП!$F$2="ТРП",ТрЗ_ОП!H128*ТрЗ_ОП!$I$127,0)),1),"-")</f>
        <v>-</v>
      </c>
      <c r="F185" s="144"/>
      <c r="G185" s="144"/>
      <c r="H185" s="144"/>
      <c r="I185" s="144"/>
      <c r="J185" s="144"/>
      <c r="K185" s="1798"/>
      <c r="M185" s="7" t="s">
        <v>87</v>
      </c>
      <c r="N185" s="7">
        <v>0</v>
      </c>
      <c r="O185" s="1802"/>
    </row>
    <row r="186" spans="1:15" x14ac:dyDescent="0.25">
      <c r="A186" s="1814"/>
      <c r="B186" s="1787"/>
      <c r="C186" s="1787"/>
      <c r="D186" s="145" t="s">
        <v>593</v>
      </c>
      <c r="E186" s="1634" t="str">
        <f>IFERROR(ROUNDUP(IF(ТрЗ_ОП!$F$2="ТП",ТрЗ_ОП!H117+ТрЗ_ОП!H121+ТрЗ_ОП!H129,ТрЗ_ОП!H117+IF(ТрЗ_ОП!$F$2="ТРП",ТрЗ_ОП!H129*ТрЗ_ОП!$I$127,0)),1),"-")</f>
        <v>-</v>
      </c>
      <c r="F186" s="144"/>
      <c r="G186" s="144"/>
      <c r="H186" s="144"/>
      <c r="I186" s="144"/>
      <c r="J186" s="144"/>
      <c r="K186" s="1798"/>
      <c r="M186" s="7" t="s">
        <v>566</v>
      </c>
      <c r="N186" s="7">
        <v>0</v>
      </c>
      <c r="O186" s="1802"/>
    </row>
    <row r="187" spans="1:15" x14ac:dyDescent="0.25">
      <c r="A187" s="1814"/>
      <c r="B187" s="1787"/>
      <c r="C187" s="1787"/>
      <c r="D187" s="1546" t="s">
        <v>1223</v>
      </c>
      <c r="E187" s="1634" t="str">
        <f>IFERROR(ROUNDUP(IF(ТрЗ_ОП!$F$2="ТП",ТрЗ_ОП!H118+ТрЗ_ОП!H122+ТрЗ_ОП!H130,ТрЗ_ОП!H118+IF(ТрЗ_ОП!$F$2="ТРП",ТрЗ_ОП!H130*ТрЗ_ОП!$I$127,0)),1),"-")</f>
        <v>-</v>
      </c>
      <c r="F187" s="144"/>
      <c r="G187" s="144"/>
      <c r="H187" s="144"/>
      <c r="I187" s="144"/>
      <c r="J187" s="144"/>
      <c r="K187" s="1798"/>
      <c r="L187" s="1542" t="s">
        <v>1524</v>
      </c>
      <c r="M187" s="7"/>
      <c r="N187" s="7"/>
      <c r="O187" s="1802"/>
    </row>
    <row r="188" spans="1:15" x14ac:dyDescent="0.25">
      <c r="A188" s="1814"/>
      <c r="B188" s="1787"/>
      <c r="C188" s="1787"/>
      <c r="D188" s="145" t="s">
        <v>157</v>
      </c>
      <c r="E188" s="1634">
        <f>IFERROR(SUM(E184:E186)*0.02,"-")</f>
        <v>0</v>
      </c>
      <c r="F188" s="144"/>
      <c r="G188" s="144"/>
      <c r="H188" s="144"/>
      <c r="I188" s="144"/>
      <c r="J188" s="144"/>
      <c r="K188" s="1798"/>
      <c r="M188" s="7"/>
      <c r="N188" s="7"/>
      <c r="O188" s="1802"/>
    </row>
    <row r="189" spans="1:15" x14ac:dyDescent="0.25">
      <c r="A189" s="1814"/>
      <c r="B189" s="1787"/>
      <c r="C189" s="1787"/>
      <c r="D189" s="145" t="s">
        <v>591</v>
      </c>
      <c r="E189" s="1634"/>
      <c r="F189" s="144"/>
      <c r="G189" s="144"/>
      <c r="H189" s="144"/>
      <c r="I189" s="144"/>
      <c r="J189" s="144"/>
      <c r="K189" s="1798"/>
      <c r="M189" s="7" t="s">
        <v>119</v>
      </c>
      <c r="N189" s="7">
        <v>0</v>
      </c>
      <c r="O189" s="1802"/>
    </row>
    <row r="190" spans="1:15" x14ac:dyDescent="0.25">
      <c r="A190" s="1814"/>
      <c r="B190" s="1794"/>
      <c r="C190" s="1794"/>
      <c r="D190" s="145" t="s">
        <v>591</v>
      </c>
      <c r="E190" s="1634"/>
      <c r="F190" s="144"/>
      <c r="G190" s="144"/>
      <c r="H190" s="144"/>
      <c r="I190" s="144"/>
      <c r="J190" s="144"/>
      <c r="K190" s="1798"/>
      <c r="M190" s="1800" t="s">
        <v>342</v>
      </c>
      <c r="N190" s="1801"/>
      <c r="O190" s="1801"/>
    </row>
    <row r="191" spans="1:15" x14ac:dyDescent="0.25">
      <c r="A191" s="1814"/>
      <c r="B191" s="1786" t="s">
        <v>1636</v>
      </c>
      <c r="C191" s="1786" t="s">
        <v>1541</v>
      </c>
      <c r="D191" s="145" t="s">
        <v>591</v>
      </c>
      <c r="E191" s="1634" t="str">
        <f>IFERROR(ROUNDUP(IF(ТрЗ_ОП!$F$2="ТП",0,ТрЗ_ОП!H119+IF(ТрЗ_ОП!$F$2="ТРП",ТрЗ_ОП!H127*ТрЗ_ОП!$J$127,0)),1),"-")</f>
        <v>-</v>
      </c>
      <c r="F191" s="144"/>
      <c r="G191" s="144"/>
      <c r="H191" s="144"/>
      <c r="I191" s="144"/>
      <c r="J191" s="144"/>
      <c r="K191" s="1798"/>
      <c r="M191" s="1803" t="s">
        <v>245</v>
      </c>
      <c r="N191" s="1801"/>
      <c r="O191" s="1801"/>
    </row>
    <row r="192" spans="1:15" x14ac:dyDescent="0.25">
      <c r="A192" s="1814"/>
      <c r="B192" s="1787"/>
      <c r="C192" s="1787"/>
      <c r="D192" s="145" t="s">
        <v>592</v>
      </c>
      <c r="E192" s="1634" t="str">
        <f>IFERROR(ROUNDUP(IF(ТрЗ_ОП!$F$2="ТП",0,ТрЗ_ОП!H120+IF(ТрЗ_ОП!$F$2="ТРП",ТрЗ_ОП!H128*ТрЗ_ОП!$J$127,0)),1),"-")</f>
        <v>-</v>
      </c>
      <c r="F192" s="144"/>
      <c r="G192" s="144"/>
      <c r="H192" s="144"/>
      <c r="I192" s="144"/>
      <c r="J192" s="144"/>
      <c r="K192" s="1798"/>
      <c r="M192" s="7" t="s">
        <v>87</v>
      </c>
      <c r="N192" s="7">
        <v>0</v>
      </c>
      <c r="O192" s="1802"/>
    </row>
    <row r="193" spans="1:15" x14ac:dyDescent="0.25">
      <c r="A193" s="1814"/>
      <c r="B193" s="1787"/>
      <c r="C193" s="1787"/>
      <c r="D193" s="145" t="s">
        <v>593</v>
      </c>
      <c r="E193" s="1634" t="str">
        <f>IFERROR(ROUNDUP(IF(ТрЗ_ОП!$F$2="ТП",0,ТрЗ_ОП!H121+IF(ТрЗ_ОП!$F$2="ТРП",ТрЗ_ОП!H129*ТрЗ_ОП!$J$127,0)),1),"-")</f>
        <v>-</v>
      </c>
      <c r="F193" s="144"/>
      <c r="G193" s="144"/>
      <c r="H193" s="144"/>
      <c r="I193" s="144"/>
      <c r="J193" s="144"/>
      <c r="K193" s="1798"/>
      <c r="M193" s="7" t="s">
        <v>566</v>
      </c>
      <c r="N193" s="7">
        <v>0</v>
      </c>
      <c r="O193" s="1802"/>
    </row>
    <row r="194" spans="1:15" x14ac:dyDescent="0.25">
      <c r="A194" s="1814"/>
      <c r="B194" s="1787"/>
      <c r="C194" s="1787"/>
      <c r="D194" s="1546" t="s">
        <v>1223</v>
      </c>
      <c r="E194" s="1634" t="str">
        <f>IFERROR(ROUNDUP(IF(ТрЗ_ОП!$F$2="ТП",0,ТрЗ_ОП!H122+IF(ТрЗ_ОП!$F$2="ТРП",ТрЗ_ОП!H130*ТрЗ_ОП!$J$127,0)),1),"-")</f>
        <v>-</v>
      </c>
      <c r="F194" s="144"/>
      <c r="G194" s="144"/>
      <c r="H194" s="144"/>
      <c r="I194" s="144"/>
      <c r="J194" s="144"/>
      <c r="K194" s="1798"/>
      <c r="L194" s="1542" t="s">
        <v>1524</v>
      </c>
      <c r="M194" s="7"/>
      <c r="N194" s="7"/>
      <c r="O194" s="1802"/>
    </row>
    <row r="195" spans="1:15" x14ac:dyDescent="0.25">
      <c r="A195" s="1814"/>
      <c r="B195" s="1787"/>
      <c r="C195" s="1787"/>
      <c r="D195" s="145" t="s">
        <v>157</v>
      </c>
      <c r="E195" s="1634">
        <f>IFERROR(SUM(E191:E193)*0.02,"-")</f>
        <v>0</v>
      </c>
      <c r="F195" s="144"/>
      <c r="G195" s="144"/>
      <c r="H195" s="144"/>
      <c r="I195" s="144"/>
      <c r="J195" s="144"/>
      <c r="K195" s="1798"/>
      <c r="M195" s="7"/>
      <c r="N195" s="7"/>
      <c r="O195" s="1802"/>
    </row>
    <row r="196" spans="1:15" x14ac:dyDescent="0.25">
      <c r="A196" s="1814"/>
      <c r="B196" s="1787"/>
      <c r="C196" s="1787"/>
      <c r="D196" s="145" t="s">
        <v>591</v>
      </c>
      <c r="E196" s="1634"/>
      <c r="F196" s="144"/>
      <c r="G196" s="144"/>
      <c r="H196" s="144"/>
      <c r="I196" s="144"/>
      <c r="J196" s="144"/>
      <c r="K196" s="1798"/>
      <c r="M196" s="7" t="s">
        <v>119</v>
      </c>
      <c r="N196" s="7">
        <v>0</v>
      </c>
      <c r="O196" s="1802"/>
    </row>
    <row r="197" spans="1:15" x14ac:dyDescent="0.25">
      <c r="A197" s="1814"/>
      <c r="B197" s="1794"/>
      <c r="C197" s="1794"/>
      <c r="D197" s="145" t="s">
        <v>591</v>
      </c>
      <c r="E197" s="1634"/>
      <c r="F197" s="144"/>
      <c r="G197" s="144"/>
      <c r="H197" s="144"/>
      <c r="I197" s="144"/>
      <c r="J197" s="144"/>
      <c r="K197" s="1798"/>
      <c r="M197" s="1800" t="s">
        <v>342</v>
      </c>
      <c r="N197" s="1801"/>
      <c r="O197" s="1801"/>
    </row>
    <row r="198" spans="1:15" x14ac:dyDescent="0.25">
      <c r="A198" s="1814"/>
      <c r="B198" s="1786" t="s">
        <v>1637</v>
      </c>
      <c r="C198" s="1786" t="s">
        <v>1542</v>
      </c>
      <c r="D198" s="145" t="s">
        <v>591</v>
      </c>
      <c r="E198" s="1634" t="str">
        <f>IFERROR(ROUNDUP(ТрЗ_ОП!H123+IF(ТрЗ_ОП!F2="ТРП",ТрЗ_ОП!H127*ТрЗ_ОП!$K$127,0),1),"-")</f>
        <v>-</v>
      </c>
      <c r="F198" s="144"/>
      <c r="G198" s="144"/>
      <c r="H198" s="144"/>
      <c r="I198" s="144"/>
      <c r="J198" s="144"/>
      <c r="K198" s="1798"/>
      <c r="M198" s="1803" t="s">
        <v>245</v>
      </c>
      <c r="N198" s="1801"/>
      <c r="O198" s="1801"/>
    </row>
    <row r="199" spans="1:15" x14ac:dyDescent="0.25">
      <c r="A199" s="1814"/>
      <c r="B199" s="1787"/>
      <c r="C199" s="1787"/>
      <c r="D199" s="145" t="s">
        <v>592</v>
      </c>
      <c r="E199" s="1634" t="str">
        <f>IFERROR(ROUNDUP(ТрЗ_ОП!H124+IF(ТрЗ_ОП!F2="ТРП",ТрЗ_ОП!H128*ТрЗ_ОП!$K$127,0),1),"-")</f>
        <v>-</v>
      </c>
      <c r="F199" s="144"/>
      <c r="G199" s="144"/>
      <c r="H199" s="144"/>
      <c r="I199" s="144"/>
      <c r="J199" s="144"/>
      <c r="K199" s="1798"/>
      <c r="M199" s="7" t="s">
        <v>87</v>
      </c>
      <c r="N199" s="7">
        <v>0</v>
      </c>
      <c r="O199" s="1802"/>
    </row>
    <row r="200" spans="1:15" x14ac:dyDescent="0.25">
      <c r="A200" s="1814"/>
      <c r="B200" s="1787"/>
      <c r="C200" s="1787"/>
      <c r="D200" s="145" t="s">
        <v>593</v>
      </c>
      <c r="E200" s="1634" t="str">
        <f>IFERROR(ROUNDUP(ТрЗ_ОП!H125+IF(ТрЗ_ОП!F2="ТРП",ТрЗ_ОП!H129*ТрЗ_ОП!$K$127,0),1),"-")</f>
        <v>-</v>
      </c>
      <c r="F200" s="144"/>
      <c r="G200" s="144"/>
      <c r="H200" s="144"/>
      <c r="I200" s="144"/>
      <c r="J200" s="144"/>
      <c r="K200" s="1798"/>
      <c r="M200" s="7" t="s">
        <v>566</v>
      </c>
      <c r="N200" s="7">
        <v>0</v>
      </c>
      <c r="O200" s="1802"/>
    </row>
    <row r="201" spans="1:15" x14ac:dyDescent="0.25">
      <c r="A201" s="1814"/>
      <c r="B201" s="1787"/>
      <c r="C201" s="1787"/>
      <c r="D201" s="1546" t="s">
        <v>1223</v>
      </c>
      <c r="E201" s="1634">
        <f>IFERROR(ROUNDUP(IF(ТрЗ_ОП!F2="ТРП",ТрЗ_ОП!H130*ТрЗ_ОП!$K$127,0),1),"-")</f>
        <v>0</v>
      </c>
      <c r="F201" s="144"/>
      <c r="G201" s="144"/>
      <c r="H201" s="144"/>
      <c r="I201" s="144"/>
      <c r="J201" s="144"/>
      <c r="K201" s="1798"/>
      <c r="L201" s="1542" t="s">
        <v>1524</v>
      </c>
      <c r="M201" s="7"/>
      <c r="N201" s="7"/>
      <c r="O201" s="1802"/>
    </row>
    <row r="202" spans="1:15" x14ac:dyDescent="0.25">
      <c r="A202" s="1814"/>
      <c r="B202" s="1787"/>
      <c r="C202" s="1787"/>
      <c r="D202" s="145" t="s">
        <v>157</v>
      </c>
      <c r="E202" s="1634">
        <f>IFERROR(SUM(E198:E200)*0.02,"-")</f>
        <v>0</v>
      </c>
      <c r="F202" s="144"/>
      <c r="G202" s="144"/>
      <c r="H202" s="144"/>
      <c r="I202" s="144"/>
      <c r="J202" s="144"/>
      <c r="K202" s="1798"/>
      <c r="M202" s="7"/>
      <c r="N202" s="7"/>
      <c r="O202" s="1802"/>
    </row>
    <row r="203" spans="1:15" x14ac:dyDescent="0.25">
      <c r="A203" s="1814"/>
      <c r="B203" s="1787"/>
      <c r="C203" s="1787"/>
      <c r="D203" s="145" t="s">
        <v>591</v>
      </c>
      <c r="E203" s="1634" t="str">
        <f>IF(D203="Инженер ОК",ТрЗ_ОКиА!$K$110,IF(D203="Старший инженер ОК",ТрЗ_ОКиА!$L$110,IF(D203="Ведущий инженер ОК",ТрЗ_ОКиА!$M$110,"")))</f>
        <v/>
      </c>
      <c r="F203" s="144"/>
      <c r="G203" s="144"/>
      <c r="H203" s="144"/>
      <c r="I203" s="144"/>
      <c r="J203" s="144"/>
      <c r="K203" s="1798"/>
      <c r="M203" s="7" t="s">
        <v>119</v>
      </c>
      <c r="N203" s="7">
        <v>0</v>
      </c>
      <c r="O203" s="1802"/>
    </row>
    <row r="204" spans="1:15" x14ac:dyDescent="0.25">
      <c r="A204" s="1814"/>
      <c r="B204" s="1794"/>
      <c r="C204" s="1794"/>
      <c r="D204" s="145" t="s">
        <v>591</v>
      </c>
      <c r="E204" s="1634"/>
      <c r="F204" s="144"/>
      <c r="G204" s="144"/>
      <c r="H204" s="144"/>
      <c r="I204" s="144"/>
      <c r="J204" s="144"/>
      <c r="K204" s="1798"/>
      <c r="M204" s="1800" t="s">
        <v>342</v>
      </c>
      <c r="N204" s="1801"/>
      <c r="O204" s="1801"/>
    </row>
    <row r="205" spans="1:15" ht="14.45" customHeight="1" x14ac:dyDescent="0.25">
      <c r="A205" s="1814"/>
      <c r="B205" s="1786" t="s">
        <v>1638</v>
      </c>
      <c r="C205" s="1786" t="s">
        <v>1639</v>
      </c>
      <c r="D205" s="145" t="s">
        <v>594</v>
      </c>
      <c r="E205" s="1634">
        <f>IF(D205="Инженер ОК",ТрЗ_ОКиА!$K$42,IF(D205="Старший инженер ОК",ТрЗ_ОКиА!$L$42,IF(D205="Ведущий инженер ОК",ТрЗ_ОКиА!$M$42,"")))</f>
        <v>0</v>
      </c>
      <c r="F205" s="144"/>
      <c r="G205" s="144"/>
      <c r="H205" s="144"/>
      <c r="I205" s="144"/>
      <c r="J205" s="144"/>
      <c r="K205" s="1798"/>
      <c r="M205" s="7" t="s">
        <v>87</v>
      </c>
      <c r="N205" s="7">
        <v>0</v>
      </c>
      <c r="O205" s="1802"/>
    </row>
    <row r="206" spans="1:15" x14ac:dyDescent="0.25">
      <c r="A206" s="1814"/>
      <c r="B206" s="1787"/>
      <c r="C206" s="1787"/>
      <c r="D206" s="145" t="s">
        <v>595</v>
      </c>
      <c r="E206" s="1634">
        <f>IF(D206="Инженер ОК",ТрЗ_ОКиА!$K$42,IF(D206="Старший инженер ОК",ТрЗ_ОКиА!$L$42,IF(D206="Ведущий инженер ОК",ТрЗ_ОКиА!$M$42,"")))</f>
        <v>0</v>
      </c>
      <c r="F206" s="144"/>
      <c r="G206" s="144"/>
      <c r="H206" s="144"/>
      <c r="I206" s="144"/>
      <c r="J206" s="144"/>
      <c r="K206" s="1798"/>
      <c r="M206" s="7" t="s">
        <v>566</v>
      </c>
      <c r="N206" s="7">
        <v>0</v>
      </c>
      <c r="O206" s="1802"/>
    </row>
    <row r="207" spans="1:15" x14ac:dyDescent="0.25">
      <c r="A207" s="1814"/>
      <c r="B207" s="1787"/>
      <c r="C207" s="1787"/>
      <c r="D207" s="145" t="s">
        <v>596</v>
      </c>
      <c r="E207" s="1634">
        <f>IF(D207="Инженер ОК",ТрЗ_ОКиА!$K$42,IF(D207="Старший инженер ОК",ТрЗ_ОКиА!$L$42,IF(D207="Ведущий инженер ОК",ТрЗ_ОКиА!$M$42,"")))</f>
        <v>0</v>
      </c>
      <c r="F207" s="144"/>
      <c r="G207" s="144"/>
      <c r="H207" s="144"/>
      <c r="I207" s="144"/>
      <c r="J207" s="144"/>
      <c r="K207" s="1798"/>
      <c r="M207" s="7" t="s">
        <v>119</v>
      </c>
      <c r="N207" s="7">
        <v>0</v>
      </c>
      <c r="O207" s="1802"/>
    </row>
    <row r="208" spans="1:15" x14ac:dyDescent="0.25">
      <c r="A208" s="1814"/>
      <c r="B208" s="1787"/>
      <c r="C208" s="1787"/>
      <c r="D208" s="1546" t="s">
        <v>1223</v>
      </c>
      <c r="E208" s="1634"/>
      <c r="F208" s="144"/>
      <c r="G208" s="144"/>
      <c r="H208" s="144"/>
      <c r="I208" s="144"/>
      <c r="J208" s="144"/>
      <c r="K208" s="1798"/>
      <c r="L208" s="1542" t="s">
        <v>1524</v>
      </c>
      <c r="M208" s="7"/>
      <c r="N208" s="7"/>
      <c r="O208" s="1622"/>
    </row>
    <row r="209" spans="1:15" ht="14.45" customHeight="1" x14ac:dyDescent="0.25">
      <c r="A209" s="1814"/>
      <c r="B209" s="1786" t="s">
        <v>1640</v>
      </c>
      <c r="C209" s="1786" t="s">
        <v>1641</v>
      </c>
      <c r="D209" s="145" t="s">
        <v>594</v>
      </c>
      <c r="E209" s="1634">
        <f>IF(D209="Инженер ОК",ТрЗ_ОКиА!$K$110,IF(D209="Старший инженер ОК",ТрЗ_ОКиА!$L$110,IF(D209="Ведущий инженер ОК",ТрЗ_ОКиА!$M$110,"")))</f>
        <v>0</v>
      </c>
      <c r="F209" s="144"/>
      <c r="G209" s="144"/>
      <c r="H209" s="144"/>
      <c r="I209" s="144"/>
      <c r="J209" s="144"/>
      <c r="K209" s="1798"/>
      <c r="M209" s="7" t="s">
        <v>87</v>
      </c>
      <c r="N209" s="7">
        <v>0</v>
      </c>
      <c r="O209" s="1802"/>
    </row>
    <row r="210" spans="1:15" x14ac:dyDescent="0.25">
      <c r="A210" s="1814"/>
      <c r="B210" s="1787"/>
      <c r="C210" s="1787"/>
      <c r="D210" s="145" t="s">
        <v>595</v>
      </c>
      <c r="E210" s="1634">
        <f>IF(D210="Инженер ОК",ТрЗ_ОКиА!$K$110,IF(D210="Старший инженер ОК",ТрЗ_ОКиА!$L$110,IF(D210="Ведущий инженер ОК",ТрЗ_ОКиА!$M$110,"")))</f>
        <v>0</v>
      </c>
      <c r="F210" s="144"/>
      <c r="G210" s="144"/>
      <c r="H210" s="144"/>
      <c r="I210" s="144"/>
      <c r="J210" s="144"/>
      <c r="K210" s="1798"/>
      <c r="M210" s="7" t="s">
        <v>566</v>
      </c>
      <c r="N210" s="7">
        <v>0</v>
      </c>
      <c r="O210" s="1802"/>
    </row>
    <row r="211" spans="1:15" x14ac:dyDescent="0.25">
      <c r="A211" s="1814"/>
      <c r="B211" s="1787"/>
      <c r="C211" s="1787"/>
      <c r="D211" s="145" t="s">
        <v>596</v>
      </c>
      <c r="E211" s="1634">
        <f>IF(D211="Инженер ОК",ТрЗ_ОКиА!$K$110,IF(D211="Старший инженер ОК",ТрЗ_ОКиА!$L$110,IF(D211="Ведущий инженер ОК",ТрЗ_ОКиА!$M$110,"")))</f>
        <v>0</v>
      </c>
      <c r="F211" s="144"/>
      <c r="G211" s="144"/>
      <c r="H211" s="144"/>
      <c r="I211" s="144"/>
      <c r="J211" s="144"/>
      <c r="K211" s="1798"/>
      <c r="M211" s="7" t="s">
        <v>119</v>
      </c>
      <c r="N211" s="7">
        <v>0</v>
      </c>
      <c r="O211" s="1802"/>
    </row>
    <row r="212" spans="1:15" x14ac:dyDescent="0.25">
      <c r="A212" s="1814"/>
      <c r="B212" s="1787"/>
      <c r="C212" s="1787"/>
      <c r="D212" s="1546" t="s">
        <v>1223</v>
      </c>
      <c r="E212" s="1634"/>
      <c r="F212" s="144"/>
      <c r="G212" s="144"/>
      <c r="H212" s="144"/>
      <c r="I212" s="144"/>
      <c r="J212" s="144"/>
      <c r="K212" s="1798"/>
      <c r="L212" s="1542" t="s">
        <v>1524</v>
      </c>
      <c r="M212" s="7"/>
      <c r="N212" s="7"/>
      <c r="O212" s="1622"/>
    </row>
    <row r="213" spans="1:15" ht="14.45" customHeight="1" x14ac:dyDescent="0.25">
      <c r="A213" s="1814"/>
      <c r="B213" s="1786" t="s">
        <v>1642</v>
      </c>
      <c r="C213" s="1786" t="s">
        <v>1643</v>
      </c>
      <c r="D213" s="145" t="s">
        <v>594</v>
      </c>
      <c r="E213" s="1634">
        <f>IF(D213="Инженер ОК",ТрЗ_ОКиА!$K$188,IF(D213="Старший инженер ОК",ТрЗ_ОКиА!$L$188,IF(D213="Ведущий инженер ОК",ТрЗ_ОКиА!$M$188,"")))</f>
        <v>9.26</v>
      </c>
      <c r="F213" s="144"/>
      <c r="G213" s="144"/>
      <c r="H213" s="144"/>
      <c r="I213" s="144"/>
      <c r="J213" s="144"/>
      <c r="K213" s="1798"/>
      <c r="M213" s="7" t="s">
        <v>87</v>
      </c>
      <c r="N213" s="7">
        <v>0</v>
      </c>
      <c r="O213" s="1802"/>
    </row>
    <row r="214" spans="1:15" x14ac:dyDescent="0.25">
      <c r="A214" s="1814"/>
      <c r="B214" s="1787"/>
      <c r="C214" s="1787"/>
      <c r="D214" s="145" t="s">
        <v>595</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798"/>
      <c r="M214" s="7" t="s">
        <v>566</v>
      </c>
      <c r="N214" s="7">
        <v>0</v>
      </c>
      <c r="O214" s="1802"/>
    </row>
    <row r="215" spans="1:15" x14ac:dyDescent="0.25">
      <c r="A215" s="1814"/>
      <c r="B215" s="1787"/>
      <c r="C215" s="1787"/>
      <c r="D215" s="145" t="s">
        <v>596</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798"/>
      <c r="M215" s="7" t="s">
        <v>119</v>
      </c>
      <c r="N215" s="7">
        <v>0</v>
      </c>
      <c r="O215" s="1802"/>
    </row>
    <row r="216" spans="1:15" x14ac:dyDescent="0.25">
      <c r="A216" s="1814"/>
      <c r="B216" s="1787"/>
      <c r="C216" s="1787"/>
      <c r="D216" s="1546" t="s">
        <v>1223</v>
      </c>
      <c r="E216" s="1634"/>
      <c r="F216" s="144"/>
      <c r="G216" s="144"/>
      <c r="H216" s="144"/>
      <c r="I216" s="144"/>
      <c r="J216" s="144"/>
      <c r="K216" s="1798"/>
      <c r="L216" s="1542" t="s">
        <v>1524</v>
      </c>
      <c r="M216" s="7"/>
      <c r="N216" s="7"/>
      <c r="O216" s="1622"/>
    </row>
    <row r="217" spans="1:15" ht="14.45" customHeight="1" x14ac:dyDescent="0.25">
      <c r="A217" s="1814"/>
      <c r="B217" s="1786" t="s">
        <v>1644</v>
      </c>
      <c r="C217" s="1786" t="s">
        <v>1645</v>
      </c>
      <c r="D217" s="145" t="s">
        <v>594</v>
      </c>
      <c r="E217" s="1634">
        <f>IF(D217="Инженер ОК",ТрЗ_ОКиА!$K$256,IF(D217="Старший инженер ОК",ТрЗ_ОКиА!$L$256,IF(D217="Ведущий инженер ОК",ТрЗ_ОКиА!$M$256,"")))</f>
        <v>0</v>
      </c>
      <c r="F217" s="144"/>
      <c r="G217" s="144"/>
      <c r="H217" s="144"/>
      <c r="I217" s="144"/>
      <c r="J217" s="144"/>
      <c r="K217" s="1798"/>
      <c r="M217" s="7" t="s">
        <v>87</v>
      </c>
      <c r="N217" s="7">
        <v>0</v>
      </c>
      <c r="O217" s="1802"/>
    </row>
    <row r="218" spans="1:15" x14ac:dyDescent="0.25">
      <c r="A218" s="1814"/>
      <c r="B218" s="1787"/>
      <c r="C218" s="1787"/>
      <c r="D218" s="145" t="s">
        <v>595</v>
      </c>
      <c r="E218" s="1634">
        <f>IF(D218="Инженер ОК",ТрЗ_ОКиА!$K$256,IF(D218="Старший инженер ОК",ТрЗ_ОКиА!$L$256,IF(D218="Ведущий инженер ОК",ТрЗ_ОКиА!$M$256,"")))</f>
        <v>0</v>
      </c>
      <c r="F218" s="144"/>
      <c r="G218" s="144"/>
      <c r="H218" s="144"/>
      <c r="I218" s="144"/>
      <c r="J218" s="144"/>
      <c r="K218" s="1798"/>
      <c r="M218" s="7" t="s">
        <v>566</v>
      </c>
      <c r="N218" s="7">
        <v>0</v>
      </c>
      <c r="O218" s="1802"/>
    </row>
    <row r="219" spans="1:15" x14ac:dyDescent="0.25">
      <c r="A219" s="1814"/>
      <c r="B219" s="1787"/>
      <c r="C219" s="1787"/>
      <c r="D219" s="145" t="s">
        <v>596</v>
      </c>
      <c r="E219" s="1634">
        <f>IF(D219="Инженер ОК",ТрЗ_ОКиА!$K$256,IF(D219="Старший инженер ОК",ТрЗ_ОКиА!$L$256,IF(D219="Ведущий инженер ОК",ТрЗ_ОКиА!$M$256,"")))</f>
        <v>0</v>
      </c>
      <c r="F219" s="144"/>
      <c r="G219" s="144"/>
      <c r="H219" s="144"/>
      <c r="I219" s="144"/>
      <c r="J219" s="144"/>
      <c r="K219" s="1798"/>
      <c r="M219" s="7" t="s">
        <v>119</v>
      </c>
      <c r="N219" s="7">
        <v>0</v>
      </c>
      <c r="O219" s="1802"/>
    </row>
    <row r="220" spans="1:15" x14ac:dyDescent="0.25">
      <c r="A220" s="1814"/>
      <c r="B220" s="1787"/>
      <c r="C220" s="1787"/>
      <c r="D220" s="1546" t="s">
        <v>1223</v>
      </c>
      <c r="E220" s="1634"/>
      <c r="F220" s="144"/>
      <c r="G220" s="144"/>
      <c r="H220" s="144"/>
      <c r="I220" s="144"/>
      <c r="J220" s="144"/>
      <c r="K220" s="1798"/>
      <c r="L220" s="1542" t="s">
        <v>1524</v>
      </c>
      <c r="M220" s="7"/>
      <c r="N220" s="7"/>
      <c r="O220" s="1622"/>
    </row>
    <row r="221" spans="1:15" x14ac:dyDescent="0.25">
      <c r="A221" s="1814"/>
      <c r="B221" s="1549" t="s">
        <v>1646</v>
      </c>
      <c r="C221" s="1549"/>
      <c r="D221" s="145" t="s">
        <v>622</v>
      </c>
      <c r="E221" s="1635">
        <f>SUM(E172:E208)*0.1</f>
        <v>0</v>
      </c>
      <c r="F221" s="144"/>
      <c r="G221" s="144"/>
      <c r="H221" s="144"/>
      <c r="I221" s="144"/>
      <c r="J221" s="144"/>
      <c r="K221" s="1798"/>
    </row>
    <row r="222" spans="1:15" x14ac:dyDescent="0.25">
      <c r="A222" s="1815"/>
      <c r="B222" s="1550" t="s">
        <v>1647</v>
      </c>
      <c r="C222" s="1550"/>
      <c r="D222" s="145" t="s">
        <v>156</v>
      </c>
      <c r="E222" s="1635">
        <f>SUM(E172:E208)*0.2</f>
        <v>0</v>
      </c>
      <c r="F222" s="144"/>
      <c r="G222" s="144"/>
      <c r="H222" s="144"/>
      <c r="I222" s="144"/>
      <c r="J222" s="144"/>
      <c r="K222" s="1799"/>
    </row>
    <row r="223" spans="1:15" x14ac:dyDescent="0.25">
      <c r="A223" s="1813" t="s">
        <v>1648</v>
      </c>
      <c r="B223" s="1786" t="s">
        <v>1649</v>
      </c>
      <c r="C223" s="1786" t="s">
        <v>1537</v>
      </c>
      <c r="D223" s="145" t="s">
        <v>137</v>
      </c>
      <c r="E223" s="1634">
        <f>IFERROR(ROUNDUP(ТрЗ_ОВ!$D$11,1),"-")</f>
        <v>0</v>
      </c>
      <c r="F223" s="144"/>
      <c r="G223" s="144"/>
      <c r="H223" s="144"/>
      <c r="I223" s="144"/>
      <c r="J223" s="144"/>
      <c r="K223" s="1807" t="s">
        <v>1557</v>
      </c>
    </row>
    <row r="224" spans="1:15" x14ac:dyDescent="0.25">
      <c r="A224" s="1814"/>
      <c r="B224" s="1787"/>
      <c r="C224" s="1787"/>
      <c r="D224" s="145" t="s">
        <v>597</v>
      </c>
      <c r="E224" s="1634">
        <f>IFERROR(ROUNDUP(ТрЗ_ОВ!$D$10,1),"-")</f>
        <v>0</v>
      </c>
      <c r="F224" s="144"/>
      <c r="G224" s="144"/>
      <c r="H224" s="144"/>
      <c r="I224" s="144"/>
      <c r="J224" s="144"/>
      <c r="K224" s="1798"/>
    </row>
    <row r="225" spans="1:11" x14ac:dyDescent="0.25">
      <c r="A225" s="1814"/>
      <c r="B225" s="1787"/>
      <c r="C225" s="1787"/>
      <c r="D225" s="145" t="s">
        <v>136</v>
      </c>
      <c r="E225" s="1634">
        <f>IFERROR(ROUNDUP(ТрЗ_ОВ!$D$9,1),"-")</f>
        <v>0</v>
      </c>
      <c r="F225" s="144"/>
      <c r="G225" s="144"/>
      <c r="H225" s="144"/>
      <c r="I225" s="144"/>
      <c r="J225" s="144"/>
      <c r="K225" s="1798"/>
    </row>
    <row r="226" spans="1:11" x14ac:dyDescent="0.25">
      <c r="A226" s="1814"/>
      <c r="B226" s="1787"/>
      <c r="C226" s="1787"/>
      <c r="D226" s="145" t="s">
        <v>591</v>
      </c>
      <c r="E226" s="1634"/>
      <c r="F226" s="144"/>
      <c r="G226" s="144"/>
      <c r="H226" s="144"/>
      <c r="I226" s="144"/>
      <c r="J226" s="144"/>
      <c r="K226" s="1798"/>
    </row>
    <row r="227" spans="1:11" x14ac:dyDescent="0.25">
      <c r="A227" s="1814"/>
      <c r="B227" s="1794"/>
      <c r="C227" s="1794"/>
      <c r="D227" s="145" t="s">
        <v>592</v>
      </c>
      <c r="E227" s="1634"/>
      <c r="F227" s="144"/>
      <c r="G227" s="144"/>
      <c r="H227" s="144"/>
      <c r="I227" s="144"/>
      <c r="J227" s="144"/>
      <c r="K227" s="1798"/>
    </row>
    <row r="228" spans="1:11" x14ac:dyDescent="0.25">
      <c r="A228" s="1814"/>
      <c r="B228" s="1786" t="s">
        <v>1650</v>
      </c>
      <c r="C228" s="1786" t="s">
        <v>1540</v>
      </c>
      <c r="D228" s="145" t="s">
        <v>137</v>
      </c>
      <c r="E228" s="1634">
        <f>IFERROR(ROUNDUP(ТрЗ_ОВ!$D$16,1),"-")</f>
        <v>0</v>
      </c>
      <c r="F228" s="144"/>
      <c r="G228" s="144"/>
      <c r="H228" s="144"/>
      <c r="I228" s="144"/>
      <c r="J228" s="144"/>
      <c r="K228" s="1798"/>
    </row>
    <row r="229" spans="1:11" x14ac:dyDescent="0.25">
      <c r="A229" s="1814"/>
      <c r="B229" s="1787"/>
      <c r="C229" s="1787"/>
      <c r="D229" s="145" t="s">
        <v>597</v>
      </c>
      <c r="E229" s="1634">
        <f>IFERROR(ROUNDUP(ТрЗ_ОВ!$D$15,1),"-")</f>
        <v>0</v>
      </c>
      <c r="F229" s="144"/>
      <c r="G229" s="144"/>
      <c r="H229" s="144"/>
      <c r="I229" s="144"/>
      <c r="J229" s="144"/>
      <c r="K229" s="1798"/>
    </row>
    <row r="230" spans="1:11" x14ac:dyDescent="0.25">
      <c r="A230" s="1814"/>
      <c r="B230" s="1787"/>
      <c r="C230" s="1787"/>
      <c r="D230" s="145" t="s">
        <v>136</v>
      </c>
      <c r="E230" s="1634">
        <f>IFERROR(ROUNDUP(ТрЗ_ОВ!$D$14,1),"-")</f>
        <v>0</v>
      </c>
      <c r="F230" s="144"/>
      <c r="G230" s="144"/>
      <c r="H230" s="144"/>
      <c r="I230" s="144"/>
      <c r="J230" s="144"/>
      <c r="K230" s="1798"/>
    </row>
    <row r="231" spans="1:11" x14ac:dyDescent="0.25">
      <c r="A231" s="1814"/>
      <c r="B231" s="1787"/>
      <c r="C231" s="1787"/>
      <c r="D231" s="145" t="s">
        <v>591</v>
      </c>
      <c r="E231" s="1634"/>
      <c r="F231" s="144"/>
      <c r="G231" s="144"/>
      <c r="H231" s="144"/>
      <c r="I231" s="144"/>
      <c r="J231" s="144"/>
      <c r="K231" s="1798"/>
    </row>
    <row r="232" spans="1:11" x14ac:dyDescent="0.25">
      <c r="A232" s="1814"/>
      <c r="B232" s="1787"/>
      <c r="C232" s="1787"/>
      <c r="D232" s="145" t="s">
        <v>592</v>
      </c>
      <c r="E232" s="1634"/>
      <c r="F232" s="144"/>
      <c r="G232" s="144"/>
      <c r="H232" s="144"/>
      <c r="I232" s="144"/>
      <c r="J232" s="144"/>
      <c r="K232" s="1798"/>
    </row>
    <row r="233" spans="1:11" x14ac:dyDescent="0.25">
      <c r="A233" s="1814"/>
      <c r="B233" s="1794"/>
      <c r="C233" s="1794"/>
      <c r="D233" s="145" t="s">
        <v>593</v>
      </c>
      <c r="E233" s="1634"/>
      <c r="F233" s="144"/>
      <c r="G233" s="144"/>
      <c r="H233" s="144"/>
      <c r="I233" s="144"/>
      <c r="J233" s="144"/>
      <c r="K233" s="1798"/>
    </row>
    <row r="234" spans="1:11" x14ac:dyDescent="0.25">
      <c r="A234" s="1814"/>
      <c r="B234" s="1786" t="s">
        <v>1651</v>
      </c>
      <c r="C234" s="1786" t="s">
        <v>1539</v>
      </c>
      <c r="D234" s="145" t="s">
        <v>137</v>
      </c>
      <c r="E234" s="1634">
        <f>IFERROR(ROUNDUP(ТрЗ_ОВ!$D$21,1),"-")</f>
        <v>0</v>
      </c>
      <c r="F234" s="144"/>
      <c r="G234" s="144"/>
      <c r="H234" s="144"/>
      <c r="I234" s="144"/>
      <c r="J234" s="144"/>
      <c r="K234" s="1798"/>
    </row>
    <row r="235" spans="1:11" x14ac:dyDescent="0.25">
      <c r="A235" s="1814"/>
      <c r="B235" s="1787"/>
      <c r="C235" s="1787"/>
      <c r="D235" s="145" t="s">
        <v>597</v>
      </c>
      <c r="E235" s="1634">
        <f>IFERROR(ROUNDUP(ТрЗ_ОВ!$D$20,1),"-")</f>
        <v>0</v>
      </c>
      <c r="F235" s="144"/>
      <c r="G235" s="144"/>
      <c r="H235" s="144"/>
      <c r="I235" s="144"/>
      <c r="J235" s="144"/>
      <c r="K235" s="1798"/>
    </row>
    <row r="236" spans="1:11" x14ac:dyDescent="0.25">
      <c r="A236" s="1814"/>
      <c r="B236" s="1787"/>
      <c r="C236" s="1787"/>
      <c r="D236" s="145" t="s">
        <v>136</v>
      </c>
      <c r="E236" s="1634">
        <f>IFERROR(ROUNDUP(ТрЗ_ОВ!$D$19,1),"-")</f>
        <v>0</v>
      </c>
      <c r="F236" s="144"/>
      <c r="G236" s="144"/>
      <c r="H236" s="144"/>
      <c r="I236" s="144"/>
      <c r="J236" s="144"/>
      <c r="K236" s="1798"/>
    </row>
    <row r="237" spans="1:11" x14ac:dyDescent="0.25">
      <c r="A237" s="1814"/>
      <c r="B237" s="1787"/>
      <c r="C237" s="1787"/>
      <c r="D237" s="145" t="s">
        <v>591</v>
      </c>
      <c r="E237" s="1634"/>
      <c r="F237" s="144"/>
      <c r="G237" s="144"/>
      <c r="H237" s="144"/>
      <c r="I237" s="144"/>
      <c r="J237" s="144"/>
      <c r="K237" s="1798"/>
    </row>
    <row r="238" spans="1:11" x14ac:dyDescent="0.25">
      <c r="A238" s="1814"/>
      <c r="B238" s="1794"/>
      <c r="C238" s="1794"/>
      <c r="D238" s="145" t="s">
        <v>592</v>
      </c>
      <c r="E238" s="1634"/>
      <c r="F238" s="144"/>
      <c r="G238" s="144"/>
      <c r="H238" s="144"/>
      <c r="I238" s="144"/>
      <c r="J238" s="144"/>
      <c r="K238" s="1798"/>
    </row>
    <row r="239" spans="1:11" ht="14.45" customHeight="1" x14ac:dyDescent="0.25">
      <c r="A239" s="1814"/>
      <c r="B239" s="1786" t="s">
        <v>1652</v>
      </c>
      <c r="C239" s="1786" t="s">
        <v>1538</v>
      </c>
      <c r="D239" s="145" t="s">
        <v>137</v>
      </c>
      <c r="E239" s="1634">
        <f>IFERROR(ROUNDUP(ТрЗ_ОВ!$D$26,1),"-")</f>
        <v>0</v>
      </c>
      <c r="F239" s="144"/>
      <c r="G239" s="144"/>
      <c r="H239" s="144"/>
      <c r="I239" s="144"/>
      <c r="J239" s="144"/>
      <c r="K239" s="1798"/>
    </row>
    <row r="240" spans="1:11" x14ac:dyDescent="0.25">
      <c r="A240" s="1814"/>
      <c r="B240" s="1787"/>
      <c r="C240" s="1787"/>
      <c r="D240" s="145" t="s">
        <v>597</v>
      </c>
      <c r="E240" s="1634">
        <f>IFERROR(ROUNDUP(ТрЗ_ОВ!$D$25,1),"-")</f>
        <v>0</v>
      </c>
      <c r="F240" s="144"/>
      <c r="G240" s="144"/>
      <c r="H240" s="144"/>
      <c r="I240" s="144"/>
      <c r="J240" s="144"/>
      <c r="K240" s="1798"/>
    </row>
    <row r="241" spans="1:17" x14ac:dyDescent="0.25">
      <c r="A241" s="1814"/>
      <c r="B241" s="1787"/>
      <c r="C241" s="1787"/>
      <c r="D241" s="145" t="s">
        <v>136</v>
      </c>
      <c r="E241" s="1634">
        <f>IFERROR(ROUNDUP(ТрЗ_ОВ!$D$24,1),"-")</f>
        <v>0</v>
      </c>
      <c r="F241" s="144"/>
      <c r="G241" s="144"/>
      <c r="H241" s="144"/>
      <c r="I241" s="144"/>
      <c r="J241" s="144"/>
      <c r="K241" s="1798"/>
    </row>
    <row r="242" spans="1:17" x14ac:dyDescent="0.25">
      <c r="A242" s="1814"/>
      <c r="B242" s="1787"/>
      <c r="C242" s="1787"/>
      <c r="D242" s="145" t="s">
        <v>591</v>
      </c>
      <c r="E242" s="1634"/>
      <c r="F242" s="144"/>
      <c r="G242" s="144"/>
      <c r="H242" s="144"/>
      <c r="I242" s="144"/>
      <c r="J242" s="144"/>
      <c r="K242" s="1798"/>
    </row>
    <row r="243" spans="1:17" x14ac:dyDescent="0.25">
      <c r="A243" s="1814"/>
      <c r="B243" s="1787"/>
      <c r="C243" s="1787"/>
      <c r="D243" s="145" t="s">
        <v>594</v>
      </c>
      <c r="E243" s="1634"/>
      <c r="F243" s="144"/>
      <c r="G243" s="144"/>
      <c r="H243" s="144"/>
      <c r="I243" s="144"/>
      <c r="J243" s="144"/>
      <c r="K243" s="1798"/>
    </row>
    <row r="244" spans="1:17" x14ac:dyDescent="0.25">
      <c r="A244" s="1814"/>
      <c r="B244" s="1787"/>
      <c r="C244" s="1787"/>
      <c r="D244" s="145" t="s">
        <v>595</v>
      </c>
      <c r="E244" s="1634"/>
      <c r="F244" s="144"/>
      <c r="G244" s="144"/>
      <c r="H244" s="144"/>
      <c r="I244" s="144"/>
      <c r="J244" s="144"/>
      <c r="K244" s="1798"/>
    </row>
    <row r="245" spans="1:17" x14ac:dyDescent="0.25">
      <c r="A245" s="1814"/>
      <c r="B245" s="1549" t="s">
        <v>1653</v>
      </c>
      <c r="C245" s="1549"/>
      <c r="D245" s="145" t="s">
        <v>622</v>
      </c>
      <c r="E245" s="1635">
        <f>SUM(E223:E244)*0.1</f>
        <v>0</v>
      </c>
      <c r="F245" s="144"/>
      <c r="G245" s="144"/>
      <c r="H245" s="144"/>
      <c r="I245" s="144"/>
      <c r="J245" s="144"/>
      <c r="K245" s="1798"/>
    </row>
    <row r="246" spans="1:17" x14ac:dyDescent="0.25">
      <c r="A246" s="1815"/>
      <c r="B246" s="1550" t="s">
        <v>1654</v>
      </c>
      <c r="C246" s="1550"/>
      <c r="D246" s="145" t="s">
        <v>156</v>
      </c>
      <c r="E246" s="1635">
        <f>SUM(E223:E244)*0.2</f>
        <v>0</v>
      </c>
      <c r="F246" s="144"/>
      <c r="G246" s="144"/>
      <c r="H246" s="144"/>
      <c r="I246" s="144"/>
      <c r="J246" s="144"/>
      <c r="K246" s="1799"/>
    </row>
    <row r="247" spans="1:17" ht="15.75" x14ac:dyDescent="0.25">
      <c r="A247" s="1786" t="s">
        <v>1655</v>
      </c>
      <c r="B247" s="1786" t="s">
        <v>1656</v>
      </c>
      <c r="C247" s="1787" t="s">
        <v>1456</v>
      </c>
      <c r="D247" s="145" t="s">
        <v>594</v>
      </c>
      <c r="E247" s="1634">
        <f>IF(D247="Инженер ОК",ТрЗ_ОКиА!$K$223,IF(D247="Старший инженер ОК",ТрЗ_ОКиА!$L$223,IF(D247="Ведущий инженер ОК",ТрЗ_ОКиА!$M$223,"")))</f>
        <v>0</v>
      </c>
      <c r="F247" s="144"/>
      <c r="G247" s="144"/>
      <c r="H247" s="144"/>
      <c r="I247" s="144"/>
      <c r="J247" s="144"/>
      <c r="K247" s="1807" t="s">
        <v>1557</v>
      </c>
      <c r="M247" s="7" t="s">
        <v>566</v>
      </c>
      <c r="N247" s="7">
        <v>0</v>
      </c>
      <c r="Q247" s="1272"/>
    </row>
    <row r="248" spans="1:17" ht="15.75" x14ac:dyDescent="0.25">
      <c r="A248" s="1787"/>
      <c r="B248" s="1787"/>
      <c r="C248" s="1787"/>
      <c r="D248" s="145" t="s">
        <v>595</v>
      </c>
      <c r="E248" s="1634">
        <f>IF(D248="Инженер ОК",ТрЗ_ОКиА!$K$223,IF(D248="Старший инженер ОК",ТрЗ_ОКиА!$L$223,IF(D248="Ведущий инженер ОК",ТрЗ_ОКиА!$M$223,"")))</f>
        <v>0</v>
      </c>
      <c r="F248" s="144"/>
      <c r="G248" s="144"/>
      <c r="H248" s="144"/>
      <c r="I248" s="144"/>
      <c r="J248" s="144"/>
      <c r="K248" s="1798"/>
      <c r="M248" s="7" t="s">
        <v>119</v>
      </c>
      <c r="N248" s="7">
        <v>0</v>
      </c>
      <c r="Q248" s="1272"/>
    </row>
    <row r="249" spans="1:17" ht="35.25" customHeight="1" x14ac:dyDescent="0.25">
      <c r="A249" s="1787"/>
      <c r="B249" s="1787"/>
      <c r="C249" s="1787"/>
      <c r="D249" s="145" t="s">
        <v>596</v>
      </c>
      <c r="E249" s="1634">
        <f>IF(D249="Инженер ОК",ТрЗ_ОКиА!$K$223,IF(D249="Старший инженер ОК",ТрЗ_ОКиА!$L$223,IF(D249="Ведущий инженер ОК",ТрЗ_ОКиА!$M$223,"")))</f>
        <v>0</v>
      </c>
      <c r="F249" s="144"/>
      <c r="G249" s="144"/>
      <c r="H249" s="144"/>
      <c r="I249" s="144"/>
      <c r="J249" s="144"/>
      <c r="K249" s="1798"/>
      <c r="M249" s="7"/>
      <c r="N249" s="7"/>
      <c r="Q249" s="1272"/>
    </row>
    <row r="250" spans="1:17" x14ac:dyDescent="0.25">
      <c r="A250" s="1787"/>
      <c r="B250" s="1549" t="s">
        <v>1657</v>
      </c>
      <c r="C250" s="1549"/>
      <c r="D250" s="1548" t="s">
        <v>622</v>
      </c>
      <c r="E250" s="1635">
        <f>SUM(E247:E249)*0.1</f>
        <v>0</v>
      </c>
      <c r="F250" s="144"/>
      <c r="G250" s="144"/>
      <c r="H250" s="144"/>
      <c r="I250" s="144"/>
      <c r="J250" s="144"/>
      <c r="K250" s="1798"/>
      <c r="M250" s="7"/>
      <c r="N250" s="7"/>
    </row>
    <row r="251" spans="1:17" ht="27" customHeight="1" x14ac:dyDescent="0.25">
      <c r="A251" s="1794"/>
      <c r="B251" s="1550" t="s">
        <v>1658</v>
      </c>
      <c r="C251" s="1550"/>
      <c r="D251" s="1548" t="s">
        <v>156</v>
      </c>
      <c r="E251" s="1635">
        <f>SUM(E247:E249)*0.2</f>
        <v>0</v>
      </c>
      <c r="F251" s="144"/>
      <c r="G251" s="144"/>
      <c r="H251" s="144"/>
      <c r="I251" s="144"/>
      <c r="J251" s="144"/>
      <c r="K251" s="1799"/>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1511</v>
      </c>
      <c r="D253" s="1540"/>
      <c r="E253" s="1541"/>
      <c r="F253" s="1827" t="s">
        <v>1512</v>
      </c>
      <c r="G253" s="1828"/>
      <c r="H253" s="1828"/>
      <c r="I253" s="1828"/>
      <c r="J253" s="1828"/>
      <c r="K253" s="1828"/>
      <c r="L253" s="1828"/>
      <c r="M253" s="1828"/>
      <c r="N253" s="1828"/>
      <c r="O253" s="1828"/>
      <c r="P253" s="1829"/>
    </row>
    <row r="254" spans="1:17" ht="14.45" customHeight="1" x14ac:dyDescent="0.25">
      <c r="A254" s="1540"/>
      <c r="B254" s="1540"/>
      <c r="C254" s="1556" t="s">
        <v>1543</v>
      </c>
      <c r="D254" s="1540"/>
      <c r="E254" s="1541"/>
      <c r="F254" s="1820" t="s">
        <v>1516</v>
      </c>
      <c r="G254" s="1820" t="s">
        <v>1517</v>
      </c>
      <c r="H254" s="1820" t="s">
        <v>1518</v>
      </c>
      <c r="I254" s="1818" t="s">
        <v>1519</v>
      </c>
      <c r="J254" s="1625"/>
      <c r="K254" s="1816" t="s">
        <v>1525</v>
      </c>
      <c r="L254" s="1816" t="s">
        <v>1526</v>
      </c>
      <c r="P254" s="1818" t="s">
        <v>1527</v>
      </c>
    </row>
    <row r="255" spans="1:17" ht="15.75" thickBot="1" x14ac:dyDescent="0.3">
      <c r="A255" s="1540"/>
      <c r="B255" s="1540"/>
      <c r="C255" s="1553"/>
      <c r="D255" s="1540"/>
      <c r="E255" s="1541"/>
      <c r="F255" s="1821"/>
      <c r="G255" s="1821"/>
      <c r="H255" s="1821"/>
      <c r="I255" s="1819"/>
      <c r="J255" s="1626"/>
      <c r="K255" s="1817"/>
      <c r="L255" s="1817"/>
      <c r="P255" s="1819"/>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1544</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M160:O160"/>
    <mergeCell ref="O161:O164"/>
    <mergeCell ref="M165:O165"/>
    <mergeCell ref="B166:B169"/>
    <mergeCell ref="K119:K125"/>
    <mergeCell ref="A126:A132"/>
    <mergeCell ref="B126:B130"/>
    <mergeCell ref="C126:C130"/>
    <mergeCell ref="K126:K132"/>
    <mergeCell ref="K107:K111"/>
    <mergeCell ref="A112:A118"/>
    <mergeCell ref="B112:B116"/>
    <mergeCell ref="C112:C116"/>
    <mergeCell ref="K112:K118"/>
    <mergeCell ref="A119:A125"/>
    <mergeCell ref="B119:B123"/>
    <mergeCell ref="C119:C123"/>
    <mergeCell ref="C101:C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s>
  <conditionalFormatting sqref="B2:C3 C4:C8">
    <cfRule type="cellIs" dxfId="623"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22" priority="10" stopIfTrue="1">
      <formula>$E23&lt;$J23</formula>
    </cfRule>
  </conditionalFormatting>
  <conditionalFormatting sqref="E24">
    <cfRule type="cellIs" dxfId="621" priority="28" operator="lessThan">
      <formula>$J$24+0.1</formula>
    </cfRule>
  </conditionalFormatting>
  <conditionalFormatting sqref="E25">
    <cfRule type="cellIs" dxfId="620" priority="27" operator="lessThan">
      <formula>$J$25</formula>
    </cfRule>
  </conditionalFormatting>
  <conditionalFormatting sqref="E48">
    <cfRule type="cellIs" dxfId="619" priority="26" operator="lessThan">
      <formula>$J$48</formula>
    </cfRule>
  </conditionalFormatting>
  <conditionalFormatting sqref="E49">
    <cfRule type="cellIs" dxfId="618" priority="25" operator="lessThan">
      <formula>$J$49</formula>
    </cfRule>
  </conditionalFormatting>
  <conditionalFormatting sqref="E73">
    <cfRule type="cellIs" dxfId="617" priority="24" operator="lessThan">
      <formula>$J$73</formula>
    </cfRule>
  </conditionalFormatting>
  <conditionalFormatting sqref="E74">
    <cfRule type="cellIs" dxfId="616" priority="23" operator="lessThan">
      <formula>$J$74</formula>
    </cfRule>
  </conditionalFormatting>
  <conditionalFormatting sqref="E75">
    <cfRule type="cellIs" dxfId="615" priority="22" operator="lessThan">
      <formula>$J$75</formula>
    </cfRule>
  </conditionalFormatting>
  <conditionalFormatting sqref="E50">
    <cfRule type="cellIs" dxfId="614" priority="21" operator="lessThan">
      <formula>$J$50</formula>
    </cfRule>
  </conditionalFormatting>
  <conditionalFormatting sqref="E94">
    <cfRule type="cellIs" dxfId="613" priority="20" operator="lessThan">
      <formula>$J$94</formula>
    </cfRule>
  </conditionalFormatting>
  <conditionalFormatting sqref="E95">
    <cfRule type="cellIs" dxfId="612" priority="19" operator="lessThan">
      <formula>$J$95</formula>
    </cfRule>
  </conditionalFormatting>
  <conditionalFormatting sqref="E96">
    <cfRule type="cellIs" dxfId="611" priority="18" operator="lessThan">
      <formula>$J$96</formula>
    </cfRule>
  </conditionalFormatting>
  <conditionalFormatting sqref="E14">
    <cfRule type="expression" dxfId="610" priority="9" stopIfTrue="1">
      <formula>$E14&lt;$J14</formula>
    </cfRule>
  </conditionalFormatting>
  <conditionalFormatting sqref="E19:E20">
    <cfRule type="expression" dxfId="609" priority="6" stopIfTrue="1">
      <formula>$E19&lt;$J19</formula>
    </cfRule>
  </conditionalFormatting>
  <conditionalFormatting sqref="E15">
    <cfRule type="expression" dxfId="608" priority="5" stopIfTrue="1">
      <formula>$E15&lt;$J15</formula>
    </cfRule>
  </conditionalFormatting>
  <conditionalFormatting sqref="E16">
    <cfRule type="expression" dxfId="607" priority="4" stopIfTrue="1">
      <formula>$E16&lt;$J16</formula>
    </cfRule>
  </conditionalFormatting>
  <conditionalFormatting sqref="E17">
    <cfRule type="expression" dxfId="606" priority="3" stopIfTrue="1">
      <formula>$E17&lt;$J17</formula>
    </cfRule>
  </conditionalFormatting>
  <conditionalFormatting sqref="E18">
    <cfRule type="expression" dxfId="605"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zoomScale="85" zoomScaleNormal="85" zoomScalePageLayoutView="56" workbookViewId="0">
      <selection activeCell="G12" sqref="G12"/>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634</v>
      </c>
      <c r="E1" s="216"/>
      <c r="F1" s="68" t="s">
        <v>69</v>
      </c>
      <c r="G1" s="1833" t="s">
        <v>122</v>
      </c>
      <c r="H1" s="1834"/>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624</v>
      </c>
      <c r="AP1" s="82" t="s">
        <v>625</v>
      </c>
      <c r="AQ1" s="82" t="s">
        <v>626</v>
      </c>
    </row>
    <row r="2" spans="1:44" ht="15.75" thickBot="1" x14ac:dyDescent="0.3">
      <c r="A2" s="216"/>
      <c r="B2" s="289" t="s">
        <v>63</v>
      </c>
      <c r="C2" s="288"/>
      <c r="D2" s="881" t="s">
        <v>635</v>
      </c>
      <c r="E2" s="216"/>
      <c r="F2" s="209" t="str">
        <f>W5</f>
        <v>ТРП</v>
      </c>
      <c r="G2" s="1646" t="s">
        <v>1667</v>
      </c>
      <c r="H2" s="1648">
        <v>666</v>
      </c>
      <c r="I2" s="216" t="s">
        <v>1673</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#REF!</v>
      </c>
      <c r="AG2" t="e">
        <f ca="1">INDIRECT(ADDRESS(108,AE2,1,1,"Документы АСУТП"))</f>
        <v>#REF!</v>
      </c>
      <c r="AH2" t="e">
        <f ca="1">INDIRECT(ADDRESS(109,AE2,1,1,"Документы АСУТП"))</f>
        <v>#REF!</v>
      </c>
      <c r="AI2" t="e">
        <f ca="1">INDIRECT(ADDRESS(110,$AE2,1,1,"Документы АСУТП"))</f>
        <v>#REF!</v>
      </c>
      <c r="AJ2" t="e">
        <f ca="1">INDIRECT(ADDRESS(111,$AE2,1,1,"Документы АСУТП"))</f>
        <v>#REF!</v>
      </c>
      <c r="AK2" t="e">
        <f ca="1">INDIRECT(ADDRESS(112,$AE2,1,1,"Документы АСУТП"))</f>
        <v>#REF!</v>
      </c>
      <c r="AL2" t="e">
        <f ca="1">INDIRECT(ADDRESS(113,$AE2,1,1,"Документы АСУТП"))</f>
        <v>#REF!</v>
      </c>
      <c r="AM2" t="e">
        <f ca="1">INDIRECT(ADDRESS(114,$AE2,1,1,"Документы АСУТП"))</f>
        <v>#REF!</v>
      </c>
      <c r="AN2" t="e">
        <f ca="1">INDIRECT(ADDRESS(115,$AE2,1,1,"Документы АСУТП"))</f>
        <v>#REF!</v>
      </c>
      <c r="AO2" t="e">
        <f ca="1">INDIRECT(ADDRESS(116,$AE2,1,1,"Документы АСУТП"))</f>
        <v>#REF!</v>
      </c>
      <c r="AP2" t="e">
        <f ca="1">INDIRECT(ADDRESS(117,$AE2,1,1,"Документы АСУТП"))</f>
        <v>#REF!</v>
      </c>
      <c r="AQ2" t="e">
        <f ca="1">INDIRECT(ADDRESS(118,$AE2,1,1,"Документы АСУТП"))</f>
        <v>#REF!</v>
      </c>
    </row>
    <row r="3" spans="1:44" x14ac:dyDescent="0.25">
      <c r="A3" s="216"/>
      <c r="B3" s="868" t="s">
        <v>1551</v>
      </c>
      <c r="C3" s="290"/>
      <c r="D3" s="882" t="s">
        <v>636</v>
      </c>
      <c r="E3" s="216"/>
      <c r="F3" s="210">
        <f>W42</f>
        <v>1</v>
      </c>
      <c r="G3" s="1647" t="s">
        <v>1668</v>
      </c>
      <c r="H3" s="1649" t="s">
        <v>107</v>
      </c>
      <c r="I3" s="216" t="s">
        <v>1672</v>
      </c>
      <c r="J3" s="216"/>
      <c r="K3" s="216"/>
      <c r="L3" s="216"/>
      <c r="M3" s="216"/>
      <c r="N3" s="216"/>
      <c r="O3" s="216"/>
      <c r="P3" s="216"/>
      <c r="Q3" s="216"/>
      <c r="R3" s="216"/>
      <c r="S3" s="216"/>
      <c r="T3" s="216"/>
      <c r="U3" s="216"/>
      <c r="W3" s="181"/>
      <c r="X3" s="62"/>
      <c r="AE3" s="83"/>
    </row>
    <row r="4" spans="1:44" ht="15.75" customHeight="1" x14ac:dyDescent="0.25">
      <c r="A4" s="216"/>
      <c r="B4" s="867" t="s">
        <v>1552</v>
      </c>
      <c r="C4" s="287"/>
      <c r="D4" s="882" t="s">
        <v>637</v>
      </c>
      <c r="E4" s="216"/>
      <c r="F4" s="210">
        <f>W41</f>
        <v>1</v>
      </c>
      <c r="G4" s="1647" t="s">
        <v>1669</v>
      </c>
      <c r="H4" s="1649">
        <v>3</v>
      </c>
      <c r="I4" s="216" t="s">
        <v>1673</v>
      </c>
      <c r="J4" s="216"/>
      <c r="K4" s="216"/>
      <c r="L4" s="216"/>
      <c r="M4" s="216"/>
      <c r="N4" s="216"/>
      <c r="O4" s="216"/>
      <c r="P4" s="216"/>
      <c r="Q4" s="216"/>
      <c r="R4" s="216"/>
      <c r="S4" s="216"/>
      <c r="T4" s="216"/>
      <c r="U4" s="216"/>
      <c r="W4" s="181"/>
      <c r="X4" s="62"/>
      <c r="AE4" s="83"/>
    </row>
    <row r="5" spans="1:44" ht="17.25" customHeight="1" thickBot="1" x14ac:dyDescent="0.3">
      <c r="A5" s="216"/>
      <c r="B5" s="867" t="s">
        <v>632</v>
      </c>
      <c r="C5" s="287"/>
      <c r="D5" s="882" t="s">
        <v>638</v>
      </c>
      <c r="E5" s="216"/>
      <c r="F5" s="210">
        <f>W13</f>
        <v>1</v>
      </c>
      <c r="G5" s="1647" t="s">
        <v>1670</v>
      </c>
      <c r="H5" s="1649" t="s">
        <v>1681</v>
      </c>
      <c r="I5" s="216" t="s">
        <v>1674</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t="e">
        <f ca="1">INDIRECT(ADDRESS(107,AE5,1,1,"Документы АСУТП"))</f>
        <v>#REF!</v>
      </c>
      <c r="AG5">
        <f ca="1">INDIRECT(ADDRESS(108,AE5,1,1,"Документы АСУТП"))</f>
        <v>2</v>
      </c>
      <c r="AH5" t="e">
        <f ca="1">INDIRECT(ADDRESS(109,AE5,1,1,"Документы АСУТП"))</f>
        <v>#VALUE!</v>
      </c>
      <c r="AI5" t="e">
        <f ca="1">INDIRECT(ADDRESS(110,$AE5,1,1,"Документы АСУТП"))</f>
        <v>#REF!</v>
      </c>
      <c r="AJ5" t="e">
        <f ca="1">INDIRECT(ADDRESS(111,$AE5,1,1,"Документы АСУТП"))</f>
        <v>#VALUE!</v>
      </c>
      <c r="AK5">
        <f ca="1">INDIRECT(ADDRESS(112,$AE5,1,1,"Документы АСУТП"))</f>
        <v>5</v>
      </c>
      <c r="AL5" t="e">
        <f ca="1">INDIRECT(ADDRESS(113,$AE5,1,1,"Документы АСУТП"))</f>
        <v>#REF!</v>
      </c>
      <c r="AM5" t="e">
        <f ca="1">INDIRECT(ADDRESS(114,$AE5,1,1,"Документы АСУТП"))</f>
        <v>#VALUE!</v>
      </c>
      <c r="AN5" t="e">
        <f ca="1">INDIRECT(ADDRESS(115,$AE5,1,1,"Документы АСУТП"))</f>
        <v>#VALUE!</v>
      </c>
      <c r="AO5" t="e">
        <f ca="1">INDIRECT(ADDRESS(116,$AE5,1,1,"Документы АСУТП"))</f>
        <v>#REF!</v>
      </c>
      <c r="AP5" t="e">
        <f ca="1">INDIRECT(ADDRESS(117,$AE5,1,1,"Документы АСУТП"))</f>
        <v>#VALUE!</v>
      </c>
      <c r="AQ5" t="e">
        <f ca="1">INDIRECT(ADDRESS(118,$AE5,1,1,"Документы АСУТП"))</f>
        <v>#VALUE!</v>
      </c>
    </row>
    <row r="6" spans="1:44" ht="15.75" thickBot="1" x14ac:dyDescent="0.3">
      <c r="A6" s="216"/>
      <c r="B6" s="870" t="s">
        <v>62</v>
      </c>
      <c r="C6" s="869" t="str">
        <f>INDEX('Служебный АСУТП'!C23:C25,MATCH(W7,'Служебный АСУТП'!D23:D25,0))</f>
        <v>Обычный</v>
      </c>
      <c r="D6" s="883"/>
      <c r="E6" s="216"/>
      <c r="F6" s="916">
        <f>W7</f>
        <v>2</v>
      </c>
      <c r="G6" s="1642" t="s">
        <v>1671</v>
      </c>
      <c r="H6" s="1642" t="s">
        <v>1</v>
      </c>
      <c r="I6" s="216" t="s">
        <v>1682</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1554</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1553</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1556</v>
      </c>
      <c r="O10" s="219" t="s">
        <v>180</v>
      </c>
      <c r="P10" s="218" t="s">
        <v>69</v>
      </c>
      <c r="Q10" s="216"/>
      <c r="R10" s="1835"/>
      <c r="S10" s="1836"/>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v>1</v>
      </c>
      <c r="F11" s="115" t="str">
        <f ca="1">IF(A11,INDIRECT(ADDRESS(2,MATCH(C11,'АВЗ АСУТП'!1:1)+1,1,1,"АВЗ АСУТП")),"")</f>
        <v>АВЗ Кол-во смежных систем для интеграции</v>
      </c>
      <c r="G11" s="73">
        <v>1</v>
      </c>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t="e">
        <f>SUM('Итоговый расчет АСУТП'!CO4:CO41)</f>
        <v>#REF!</v>
      </c>
      <c r="O11" s="787" t="str">
        <f>'АВЗ АСУТП'!$D$2</f>
        <v>АВЗ Кол-во серверов управления</v>
      </c>
      <c r="P11" s="296">
        <f>E11</f>
        <v>1</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t="e">
        <f>SUM('Итоговый расчет АСУТП'!CQ4:CQ41)</f>
        <v>#VALUE!</v>
      </c>
      <c r="O12" s="297" t="str">
        <f>'АВЗ АСУТП'!$E$2</f>
        <v>АВЗ Кол-во смежных систем для интеграции</v>
      </c>
      <c r="P12" s="298">
        <f>G11</f>
        <v>1</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f>ROUNDUP('Итоговый расчет АСУТП'!EZ10/8,2)</f>
        <v>0</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t="e">
        <f>SUM('Итоговый расчет АСУТП'!EA4:EA41)</f>
        <v>#VALUE!</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606</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608</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41" t="s">
        <v>60</v>
      </c>
      <c r="C41" s="1842"/>
      <c r="D41" s="1842"/>
      <c r="E41" s="1842"/>
      <c r="F41" s="1842"/>
      <c r="G41" s="1842"/>
      <c r="H41" s="1842"/>
      <c r="I41" s="1842"/>
      <c r="J41" s="1842"/>
      <c r="K41" s="1842"/>
      <c r="L41" s="1842"/>
      <c r="M41" s="1843"/>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44" t="s">
        <v>104</v>
      </c>
      <c r="C42" s="1845"/>
      <c r="D42" s="1845"/>
      <c r="E42" s="1845"/>
      <c r="F42" s="1845"/>
      <c r="G42" s="1845"/>
      <c r="H42" s="1845"/>
      <c r="I42" s="1845"/>
      <c r="J42" s="1845"/>
      <c r="K42" s="1845"/>
      <c r="L42" s="1845"/>
      <c r="M42" s="1846"/>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47" t="s">
        <v>563</v>
      </c>
      <c r="C43" s="1848"/>
      <c r="D43" s="1848"/>
      <c r="E43" s="1848"/>
      <c r="F43" s="1848"/>
      <c r="G43" s="1848"/>
      <c r="H43" s="1848"/>
      <c r="I43" s="1848"/>
      <c r="J43" s="1848"/>
      <c r="K43" s="1848"/>
      <c r="L43" s="1848"/>
      <c r="M43" s="1849"/>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1509</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1547</v>
      </c>
      <c r="E46" s="94" t="s">
        <v>1548</v>
      </c>
      <c r="F46" s="94" t="s">
        <v>1549</v>
      </c>
      <c r="G46" s="94" t="s">
        <v>1550</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1675</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1687</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1677</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1676</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1510</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1547</v>
      </c>
      <c r="E71" s="94" t="s">
        <v>1548</v>
      </c>
      <c r="F71" s="94" t="s">
        <v>1549</v>
      </c>
      <c r="G71" s="94" t="s">
        <v>1550</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1696</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1464</v>
      </c>
      <c r="B91" s="1652" t="s">
        <v>1466</v>
      </c>
      <c r="C91" s="1657" t="s">
        <v>1703</v>
      </c>
      <c r="D91" s="1672" t="s">
        <v>1702</v>
      </c>
      <c r="E91" s="1672" t="s">
        <v>1701</v>
      </c>
      <c r="F91" s="1673" t="s">
        <v>1699</v>
      </c>
      <c r="G91" s="1672" t="s">
        <v>1700</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1698</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1697</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1364</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1569</v>
      </c>
      <c r="D106" s="95" t="s">
        <v>58</v>
      </c>
      <c r="E106" s="95"/>
      <c r="F106" s="95" t="s">
        <v>57</v>
      </c>
      <c r="G106" s="212" t="s">
        <v>1546</v>
      </c>
      <c r="H106" s="213" t="s">
        <v>1545</v>
      </c>
      <c r="I106" s="213" t="s">
        <v>3</v>
      </c>
      <c r="J106" s="213" t="s">
        <v>13</v>
      </c>
      <c r="K106" s="213" t="s">
        <v>22</v>
      </c>
      <c r="L106" s="213"/>
      <c r="M106" s="213"/>
      <c r="N106" s="213"/>
      <c r="O106" s="214" t="s">
        <v>56</v>
      </c>
      <c r="P106" s="216"/>
      <c r="Q106" s="216"/>
      <c r="R106" s="216"/>
      <c r="S106" s="216"/>
      <c r="T106" s="216"/>
      <c r="U106" s="216"/>
    </row>
    <row r="107" spans="1:21" x14ac:dyDescent="0.25">
      <c r="A107" s="216"/>
      <c r="B107" s="1837" t="s">
        <v>447</v>
      </c>
      <c r="C107" s="1855"/>
      <c r="D107" s="1850"/>
      <c r="E107" s="1839"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38"/>
      <c r="C108" s="1856"/>
      <c r="D108" s="1851"/>
      <c r="E108" s="1840"/>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38"/>
      <c r="C109" s="1856"/>
      <c r="D109" s="1851"/>
      <c r="E109" s="1840"/>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38"/>
      <c r="C110" s="1856"/>
      <c r="D110" s="1852"/>
      <c r="E110" s="1840"/>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37" t="s">
        <v>1505</v>
      </c>
      <c r="C111" s="1855"/>
      <c r="D111" s="1850"/>
      <c r="E111" s="1839"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38"/>
      <c r="C112" s="1856"/>
      <c r="D112" s="1851"/>
      <c r="E112" s="1840"/>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38"/>
      <c r="C113" s="1856"/>
      <c r="D113" s="1851"/>
      <c r="E113" s="1840"/>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38"/>
      <c r="C114" s="1856"/>
      <c r="D114" s="1852"/>
      <c r="E114" s="1840"/>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37" t="s">
        <v>1508</v>
      </c>
      <c r="C115" s="1855" t="s">
        <v>1689</v>
      </c>
      <c r="D115" s="1850"/>
      <c r="E115" s="1859"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38"/>
      <c r="C116" s="1856"/>
      <c r="D116" s="1851"/>
      <c r="E116" s="1860"/>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38"/>
      <c r="C117" s="1856"/>
      <c r="D117" s="1851"/>
      <c r="E117" s="1860"/>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38"/>
      <c r="C118" s="1856"/>
      <c r="D118" s="1852"/>
      <c r="E118" s="1861"/>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62" t="s">
        <v>1506</v>
      </c>
      <c r="C119" s="1856"/>
      <c r="D119" s="1850"/>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62"/>
      <c r="C120" s="1856"/>
      <c r="D120" s="1851"/>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62"/>
      <c r="C121" s="1856"/>
      <c r="D121" s="1851"/>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62"/>
      <c r="C122" s="1856"/>
      <c r="D122" s="1852"/>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62" t="s">
        <v>1507</v>
      </c>
      <c r="C123" s="1856"/>
      <c r="D123" s="1850"/>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62"/>
      <c r="C124" s="1856"/>
      <c r="D124" s="1851"/>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62"/>
      <c r="C125" s="1856"/>
      <c r="D125" s="1851"/>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62"/>
      <c r="C126" s="1865"/>
      <c r="D126" s="1852"/>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37" t="s">
        <v>88</v>
      </c>
      <c r="C127" s="1864" t="s">
        <v>1688</v>
      </c>
      <c r="D127" s="1850" t="s">
        <v>1571</v>
      </c>
      <c r="E127" s="858" t="str">
        <f>IF(O127&gt;0,"","")</f>
        <v/>
      </c>
      <c r="F127" s="386" t="s">
        <v>508</v>
      </c>
      <c r="G127" s="844" t="str">
        <f>IF($D$88&gt;0,$D$88,"0")</f>
        <v>0</v>
      </c>
      <c r="H127" s="844">
        <f t="shared" si="27"/>
        <v>0</v>
      </c>
      <c r="I127" s="1869">
        <v>0.3</v>
      </c>
      <c r="J127" s="1869">
        <v>0.5</v>
      </c>
      <c r="K127" s="1869">
        <v>0.2</v>
      </c>
      <c r="L127" s="59"/>
      <c r="M127" s="59"/>
      <c r="N127" s="58"/>
      <c r="O127" s="919">
        <f>ROUNDUP(SUM(G127:G129)*1.4,2)</f>
        <v>0</v>
      </c>
      <c r="P127" s="216"/>
      <c r="Q127" s="216"/>
      <c r="R127" s="216"/>
      <c r="S127" s="216"/>
      <c r="T127" s="216"/>
      <c r="U127" s="216"/>
    </row>
    <row r="128" spans="1:21" x14ac:dyDescent="0.25">
      <c r="A128" s="216"/>
      <c r="B128" s="1838"/>
      <c r="C128" s="1856"/>
      <c r="D128" s="1851"/>
      <c r="E128" s="859"/>
      <c r="F128" s="861" t="s">
        <v>509</v>
      </c>
      <c r="G128" s="845" t="str">
        <f>IF($E$88&gt;0,$E$88,"0")</f>
        <v>0</v>
      </c>
      <c r="H128" s="845">
        <f t="shared" si="27"/>
        <v>0</v>
      </c>
      <c r="I128" s="1870"/>
      <c r="J128" s="1870"/>
      <c r="K128" s="1870"/>
      <c r="L128" s="538"/>
      <c r="M128" s="538"/>
      <c r="N128" s="55"/>
      <c r="O128" s="920"/>
      <c r="P128" s="216"/>
      <c r="Q128" s="216"/>
      <c r="R128" s="216"/>
      <c r="S128" s="216"/>
      <c r="T128" s="216"/>
      <c r="U128" s="216"/>
    </row>
    <row r="129" spans="1:21" x14ac:dyDescent="0.25">
      <c r="A129" s="216"/>
      <c r="B129" s="1838"/>
      <c r="C129" s="1856"/>
      <c r="D129" s="1851"/>
      <c r="E129" s="859"/>
      <c r="F129" s="861" t="s">
        <v>510</v>
      </c>
      <c r="G129" s="845" t="str">
        <f>IF($F$88&gt;0,$F$88,"0")</f>
        <v>0</v>
      </c>
      <c r="H129" s="845">
        <f t="shared" si="27"/>
        <v>0</v>
      </c>
      <c r="I129" s="1870"/>
      <c r="J129" s="1870"/>
      <c r="K129" s="1870"/>
      <c r="L129" s="538"/>
      <c r="M129" s="538"/>
      <c r="N129" s="55"/>
      <c r="O129" s="920"/>
      <c r="P129" s="216"/>
      <c r="Q129" s="216"/>
      <c r="R129" s="216"/>
      <c r="S129" s="216"/>
      <c r="T129" s="216"/>
      <c r="U129" s="216"/>
    </row>
    <row r="130" spans="1:21" x14ac:dyDescent="0.25">
      <c r="A130" s="216"/>
      <c r="B130" s="1863"/>
      <c r="C130" s="1865"/>
      <c r="D130" s="1852"/>
      <c r="E130" s="860"/>
      <c r="F130" s="861" t="s">
        <v>48</v>
      </c>
      <c r="G130" s="846" t="str">
        <f>IF($G$88&gt;0,$G$88,"0")</f>
        <v>0</v>
      </c>
      <c r="H130" s="846">
        <f t="shared" si="27"/>
        <v>0</v>
      </c>
      <c r="I130" s="1871"/>
      <c r="J130" s="1871"/>
      <c r="K130" s="1871"/>
      <c r="L130" s="57"/>
      <c r="M130" s="57"/>
      <c r="N130" s="56"/>
      <c r="O130" s="921"/>
      <c r="P130" s="216"/>
      <c r="Q130" s="216"/>
      <c r="R130" s="216"/>
      <c r="S130" s="216"/>
      <c r="T130" s="216"/>
      <c r="U130" s="216"/>
    </row>
    <row r="131" spans="1:21" x14ac:dyDescent="0.25">
      <c r="A131" s="216"/>
      <c r="B131" s="1853" t="s">
        <v>52</v>
      </c>
      <c r="C131" s="1857"/>
      <c r="D131" s="1866"/>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53"/>
      <c r="C132" s="1857"/>
      <c r="D132" s="1867"/>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53"/>
      <c r="C133" s="1857"/>
      <c r="D133" s="1867"/>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53"/>
      <c r="C134" s="1857"/>
      <c r="D134" s="1867"/>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53"/>
      <c r="C135" s="1857"/>
      <c r="D135" s="1867"/>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54"/>
      <c r="C136" s="1858"/>
      <c r="D136" s="1868"/>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18A094BB-EA3E-4938-9069-21F549B37E23}" scale="55" hiddenColumns="1" topLeftCell="A16">
      <selection activeCell="E31" sqref="E31"/>
      <pageMargins left="0.7" right="0.7" top="0.75" bottom="0.75" header="0.3" footer="0.3"/>
      <pageSetup paperSize="9" orientation="portrait" r:id="rId1"/>
    </customSheetView>
    <customSheetView guid="{A1A876F1-3EAA-4E5F-BD51-8B131AB8854B}" scale="55" hiddenColumns="1" topLeftCell="A16">
      <selection activeCell="E31" sqref="E31"/>
      <pageMargins left="0.7" right="0.7" top="0.75" bottom="0.75" header="0.3" footer="0.3"/>
      <pageSetup paperSize="9" orientation="portrait" r:id="rId2"/>
    </customSheetView>
    <customSheetView guid="{F5CB9414-DBF4-48FF-9213-FFE745451535}" scale="55" hiddenColumns="1" topLeftCell="A16">
      <selection activeCell="E31" sqref="E31"/>
      <pageMargins left="0.7" right="0.7" top="0.75" bottom="0.75" header="0.3" footer="0.3"/>
      <pageSetup paperSize="9" orientation="portrait" r:id="rId3"/>
    </customSheetView>
    <customSheetView guid="{B91A3F61-3B23-46E3-9B55-19B17EB6638A}" scale="55" hiddenColumns="1" topLeftCell="A16">
      <selection activeCell="E31" sqref="E31"/>
      <pageMargins left="0.7" right="0.7" top="0.75" bottom="0.75" header="0.3" footer="0.3"/>
      <pageSetup paperSize="9" orientation="portrait" r:id="rId4"/>
    </customSheetView>
  </customSheetViews>
  <mergeCells count="30">
    <mergeCell ref="J127:J130"/>
    <mergeCell ref="K127:K130"/>
    <mergeCell ref="D115:D118"/>
    <mergeCell ref="D119:D122"/>
    <mergeCell ref="D123:D126"/>
    <mergeCell ref="D127:D130"/>
    <mergeCell ref="I127:I130"/>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G1:H1"/>
    <mergeCell ref="R10:S10"/>
    <mergeCell ref="B107:B110"/>
    <mergeCell ref="E107:E110"/>
    <mergeCell ref="B111:B114"/>
    <mergeCell ref="B41:M41"/>
    <mergeCell ref="B42:M42"/>
    <mergeCell ref="B43:M43"/>
    <mergeCell ref="D107:D110"/>
    <mergeCell ref="D111:D114"/>
  </mergeCells>
  <conditionalFormatting sqref="C6">
    <cfRule type="containsText" dxfId="604" priority="1" operator="containsText" text="Обычный">
      <formula>NOT(ISERROR(SEARCH("Обычный",C6)))</formula>
    </cfRule>
    <cfRule type="containsText" dxfId="603"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55" r:id="rId8" name="OP_Komandirovki_4">
          <controlPr defaultSize="0" autoLine="0" r:id="rId9">
            <anchor moveWithCells="1">
              <from>
                <xdr:col>0</xdr:col>
                <xdr:colOff>228600</xdr:colOff>
                <xdr:row>94</xdr:row>
                <xdr:rowOff>28575</xdr:rowOff>
              </from>
              <to>
                <xdr:col>0</xdr:col>
                <xdr:colOff>371475</xdr:colOff>
                <xdr:row>94</xdr:row>
                <xdr:rowOff>171450</xdr:rowOff>
              </to>
            </anchor>
          </controlPr>
        </control>
      </mc:Choice>
      <mc:Fallback>
        <control shapeId="11455" r:id="rId8" name="OP_Komandirovki_4"/>
      </mc:Fallback>
    </mc:AlternateContent>
    <mc:AlternateContent xmlns:mc="http://schemas.openxmlformats.org/markup-compatibility/2006">
      <mc:Choice Requires="x14">
        <control shapeId="11454" r:id="rId10" name="OP_Komandirovki_3">
          <controlPr defaultSize="0" autoLine="0" r:id="rId11">
            <anchor moveWithCells="1">
              <from>
                <xdr:col>0</xdr:col>
                <xdr:colOff>228600</xdr:colOff>
                <xdr:row>93</xdr:row>
                <xdr:rowOff>28575</xdr:rowOff>
              </from>
              <to>
                <xdr:col>0</xdr:col>
                <xdr:colOff>371475</xdr:colOff>
                <xdr:row>93</xdr:row>
                <xdr:rowOff>171450</xdr:rowOff>
              </to>
            </anchor>
          </controlPr>
        </control>
      </mc:Choice>
      <mc:Fallback>
        <control shapeId="11454" r:id="rId10" name="OP_Komandirovki_3"/>
      </mc:Fallback>
    </mc:AlternateContent>
    <mc:AlternateContent xmlns:mc="http://schemas.openxmlformats.org/markup-compatibility/2006">
      <mc:Choice Requires="x14">
        <control shapeId="11453" r:id="rId12" name="OP_Komandirovki_2">
          <controlPr defaultSize="0" autoLine="0" r:id="rId13">
            <anchor moveWithCells="1">
              <from>
                <xdr:col>0</xdr:col>
                <xdr:colOff>228600</xdr:colOff>
                <xdr:row>92</xdr:row>
                <xdr:rowOff>28575</xdr:rowOff>
              </from>
              <to>
                <xdr:col>0</xdr:col>
                <xdr:colOff>371475</xdr:colOff>
                <xdr:row>92</xdr:row>
                <xdr:rowOff>171450</xdr:rowOff>
              </to>
            </anchor>
          </controlPr>
        </control>
      </mc:Choice>
      <mc:Fallback>
        <control shapeId="11453" r:id="rId12" name="OP_Komandirovki_2"/>
      </mc:Fallback>
    </mc:AlternateContent>
    <mc:AlternateContent xmlns:mc="http://schemas.openxmlformats.org/markup-compatibility/2006">
      <mc:Choice Requires="x14">
        <control shapeId="11449" r:id="rId14" name="OP_Komandirovki_1">
          <controlPr defaultSize="0" autoLine="0" r:id="rId15">
            <anchor moveWithCells="1">
              <from>
                <xdr:col>0</xdr:col>
                <xdr:colOff>228600</xdr:colOff>
                <xdr:row>91</xdr:row>
                <xdr:rowOff>9525</xdr:rowOff>
              </from>
              <to>
                <xdr:col>0</xdr:col>
                <xdr:colOff>371475</xdr:colOff>
                <xdr:row>91</xdr:row>
                <xdr:rowOff>152400</xdr:rowOff>
              </to>
            </anchor>
          </controlPr>
        </control>
      </mc:Choice>
      <mc:Fallback>
        <control shapeId="11449" r:id="rId14" name="OP_Komandirovki_1"/>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EC1" activePane="topRight" state="frozen"/>
      <selection pane="topRight" activeCell="FB21" sqref="FB21"/>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75" t="e">
        <f ca="1">INDIRECT("ТрЗ!B" &amp;  10 + COLUMN(A1))</f>
        <v>#REF!</v>
      </c>
      <c r="C2" s="1876"/>
      <c r="D2" s="1877"/>
      <c r="E2" s="1875" t="e">
        <f ca="1">INDIRECT("ТрЗ!B" &amp;  10 + COLUMN(B1))</f>
        <v>#REF!</v>
      </c>
      <c r="F2" s="1876"/>
      <c r="G2" s="1877"/>
      <c r="H2" s="1875" t="e">
        <f ca="1">INDIRECT("ТрЗ!B" &amp;  10 + COLUMN(C1))</f>
        <v>#REF!</v>
      </c>
      <c r="I2" s="1876"/>
      <c r="J2" s="1877"/>
      <c r="K2" s="1872" t="e">
        <f ca="1">INDIRECT("ТрЗ!B" &amp;  10 + COLUMN(D1))</f>
        <v>#REF!</v>
      </c>
      <c r="L2" s="1873"/>
      <c r="M2" s="1874"/>
      <c r="N2" s="1872" t="e">
        <f ca="1">INDIRECT("ТрЗ!B" &amp;  10 + COLUMN(E1))</f>
        <v>#REF!</v>
      </c>
      <c r="O2" s="1873"/>
      <c r="P2" s="1874"/>
      <c r="Q2" s="1872" t="e">
        <f ca="1">INDIRECT("ТрЗ!B" &amp;  10 + COLUMN(F1))</f>
        <v>#REF!</v>
      </c>
      <c r="R2" s="1873"/>
      <c r="S2" s="1874"/>
      <c r="T2" s="1872" t="e">
        <f ca="1">INDIRECT("ТрЗ!B" &amp;  10 + COLUMN(G1))</f>
        <v>#REF!</v>
      </c>
      <c r="U2" s="1873"/>
      <c r="V2" s="1874"/>
      <c r="W2" s="1872" t="e">
        <f ca="1">INDIRECT("ТрЗ!B" &amp;  10 + COLUMN(H1))</f>
        <v>#REF!</v>
      </c>
      <c r="X2" s="1873"/>
      <c r="Y2" s="1874"/>
      <c r="Z2" s="1872" t="e">
        <f ca="1">INDIRECT("ТрЗ!B" &amp;  10 + COLUMN(I1))</f>
        <v>#REF!</v>
      </c>
      <c r="AA2" s="1873"/>
      <c r="AB2" s="1874"/>
      <c r="AC2" s="1872" t="e">
        <f ca="1">INDIRECT("ТрЗ!B" &amp;  10 + COLUMN(J1))</f>
        <v>#REF!</v>
      </c>
      <c r="AD2" s="1873"/>
      <c r="AE2" s="1874"/>
      <c r="AF2" s="1872" t="e">
        <f ca="1">INDIRECT("ТрЗ!B" &amp;  10 + COLUMN(K1))</f>
        <v>#REF!</v>
      </c>
      <c r="AG2" s="1873"/>
      <c r="AH2" s="1874"/>
      <c r="AI2" s="1872" t="e">
        <f ca="1">INDIRECT("ТрЗ!B" &amp;  10 + COLUMN(L1))</f>
        <v>#REF!</v>
      </c>
      <c r="AJ2" s="1873"/>
      <c r="AK2" s="1874"/>
      <c r="AL2" s="1872" t="e">
        <f ca="1">INDIRECT("ТрЗ!B" &amp;  10 + COLUMN(M1))</f>
        <v>#REF!</v>
      </c>
      <c r="AM2" s="1873"/>
      <c r="AN2" s="1874"/>
      <c r="AO2" s="1872" t="e">
        <f ca="1">INDIRECT("ТрЗ!B" &amp;  10 + COLUMN(N1))</f>
        <v>#REF!</v>
      </c>
      <c r="AP2" s="1873"/>
      <c r="AQ2" s="1874"/>
      <c r="AR2" s="1872" t="e">
        <f ca="1">INDIRECT("ТрЗ!B" &amp;  10 + COLUMN(O1))</f>
        <v>#REF!</v>
      </c>
      <c r="AS2" s="1873"/>
      <c r="AT2" s="1874"/>
      <c r="AU2" s="1872" t="e">
        <f ca="1">INDIRECT("ТрЗ!B" &amp;  10 + COLUMN(P1))</f>
        <v>#REF!</v>
      </c>
      <c r="AV2" s="1873"/>
      <c r="AW2" s="1874"/>
      <c r="AX2" s="1872" t="e">
        <f ca="1">INDIRECT("ТрЗ!B" &amp;  10 + COLUMN(Q1))</f>
        <v>#REF!</v>
      </c>
      <c r="AY2" s="1873"/>
      <c r="AZ2" s="1874"/>
      <c r="BA2" s="1872" t="e">
        <f ca="1">INDIRECT("ТрЗ!B" &amp;  10 + COLUMN(R1))</f>
        <v>#REF!</v>
      </c>
      <c r="BB2" s="1873"/>
      <c r="BC2" s="1874"/>
      <c r="BD2" s="1872" t="e">
        <f ca="1">INDIRECT("ТрЗ!B" &amp;  10 + COLUMN(S1))</f>
        <v>#REF!</v>
      </c>
      <c r="BE2" s="1873"/>
      <c r="BF2" s="1874"/>
      <c r="BG2" s="1872" t="e">
        <f ca="1">INDIRECT("ТрЗ!B" &amp;  10 + COLUMN(T1))</f>
        <v>#REF!</v>
      </c>
      <c r="BH2" s="1873"/>
      <c r="BI2" s="1874"/>
      <c r="BJ2" s="1875" t="e">
        <f ca="1">INDIRECT("ТрЗ!B" &amp;  10 + COLUMN(U1))</f>
        <v>#REF!</v>
      </c>
      <c r="BK2" s="1876"/>
      <c r="BL2" s="1877"/>
      <c r="BM2" s="1875" t="e">
        <f ca="1">INDIRECT("ТрЗ!B" &amp;  10 + COLUMN(V1))</f>
        <v>#REF!</v>
      </c>
      <c r="BN2" s="1876"/>
      <c r="BO2" s="1877"/>
      <c r="BP2" s="1875" t="e">
        <f ca="1">INDIRECT("ТрЗ!B" &amp;  10 + COLUMN(W1))</f>
        <v>#REF!</v>
      </c>
      <c r="BQ2" s="1876"/>
      <c r="BR2" s="1877"/>
      <c r="BS2" s="1875" t="e">
        <f ca="1">INDIRECT("ТрЗ!B" &amp;  10 + COLUMN(X1))</f>
        <v>#REF!</v>
      </c>
      <c r="BT2" s="1876"/>
      <c r="BU2" s="1877"/>
      <c r="BV2" s="1875" t="e">
        <f ca="1">INDIRECT("ТрЗ!B" &amp;  10 + COLUMN(Y1))</f>
        <v>#REF!</v>
      </c>
      <c r="BW2" s="1876"/>
      <c r="BX2" s="1877"/>
      <c r="BY2" s="1875" t="e">
        <f ca="1">INDIRECT("ТрЗ!B" &amp;  10 + COLUMN(Z1))</f>
        <v>#REF!</v>
      </c>
      <c r="BZ2" s="1876"/>
      <c r="CA2" s="1877"/>
      <c r="CB2" s="1875" t="e">
        <f ca="1">INDIRECT("ТрЗ!B" &amp;  10 + COLUMN(AA1))</f>
        <v>#REF!</v>
      </c>
      <c r="CC2" s="1876"/>
      <c r="CD2" s="1877"/>
      <c r="CE2" s="1875" t="e">
        <f ca="1">INDIRECT("ТрЗ!B" &amp;  10 + COLUMN(AB1))</f>
        <v>#REF!</v>
      </c>
      <c r="CF2" s="1876"/>
      <c r="CG2" s="1877"/>
      <c r="CH2" s="1875" t="e">
        <f ca="1">INDIRECT("ТрЗ!B" &amp;  10 + COLUMN(AC1))</f>
        <v>#REF!</v>
      </c>
      <c r="CI2" s="1876"/>
      <c r="CJ2" s="1877"/>
      <c r="CK2" s="1875" t="e">
        <f ca="1">INDIRECT("ТрЗ!B" &amp;  10 + COLUMN(AD1))</f>
        <v>#REF!</v>
      </c>
      <c r="CL2" s="1876"/>
      <c r="CM2" s="1877"/>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1555</v>
      </c>
      <c r="DH2" s="381" t="str">
        <f ca="1">CONCATENATE("Выбор ",INDIRECT("'Служебный АСУТП'!" &amp; ADDRESS(ROW('Служебный АСУТП'!O1), COLUMN('Служебный АСУТП'!$O1))))</f>
        <v>Выбор MFA</v>
      </c>
      <c r="DI2" s="381" t="s">
        <v>564</v>
      </c>
      <c r="DJ2" s="381" t="str">
        <f ca="1">CONCATENATE("Выбор ",INDIRECT("'Служебный АСУТП'!" &amp; ADDRESS(ROW('Служебный АСУТП'!P1), COLUMN('Служебный АСУТП'!$P1))))</f>
        <v>Выбор Диод</v>
      </c>
      <c r="DK2" s="381" t="s">
        <v>565</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619</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609</v>
      </c>
      <c r="ER2" s="381" t="str">
        <f ca="1">CONCATENATE("Выбор ",INDIRECT("'Служебный АСУТП'!" &amp; ADDRESS(ROW('Служебный АСУТП'!AG1), COLUMN('Служебный АСУТП'!$AG1))))</f>
        <v>Выбор ВМ СПО</v>
      </c>
      <c r="ES2" s="381" t="s">
        <v>610</v>
      </c>
      <c r="ET2" s="381" t="str">
        <f ca="1">CONCATENATE("Выбор ",INDIRECT("'Служебный АСУТП'!" &amp; ADDRESS(ROW('Служебный АСУТП'!AH1), COLUMN('Служебный АСУТП'!$AH1))))</f>
        <v>Выбор ВМ АСО</v>
      </c>
      <c r="EU2" s="381" t="s">
        <v>611</v>
      </c>
      <c r="EV2" s="1878" t="s">
        <v>511</v>
      </c>
      <c r="EW2" s="1878"/>
      <c r="EX2" s="1878"/>
      <c r="EY2" s="1878"/>
      <c r="EZ2" s="1879"/>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80"/>
      <c r="EW4" s="1881"/>
      <c r="EX4" s="1881"/>
      <c r="EY4" s="1881"/>
      <c r="EZ4" s="1882"/>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t="e">
        <f>IF(CN10=1,IF($B$1=1,'Документы АСУТП'!CW16,IF($B$1=2,'Документы АСУТП'!CW17,IF($B$1=3,'Документы АСУТП'!CW18,'Документы АСУТП'!CW16))),0)</f>
        <v>#REF!</v>
      </c>
      <c r="CP10" s="312">
        <f>ТрЗ_ОП!$R$17</f>
        <v>1</v>
      </c>
      <c r="CQ10" s="27" t="e">
        <f>IF(CP10=1,IF($B$1=1,'Документы АСУТП'!CX16,IF($B$1=2,'Документы АСУТП'!CX17,IF($B$1=3,'Документы АСУТП'!CX18,'Документы АСУТП'!CX16))),0)</f>
        <v>#VALUE!</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t="e">
        <f>IF(DZ10=1,IF($B$1=1,'Документы АСУТП'!DP16,IF($B$1=2,'Документы АСУТП'!DP17,IF($B$1=3,'Документы АСУТП'!DP18,'Документы АСУТП'!DP16))),0)</f>
        <v>#VALUE!</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t="e">
        <f>IF(CN12=1,IF($B$1=1,'Документы АСУТП'!CW22,IF($B$1=2,'Документы АСУТП'!CW23,IF($B$1=3,'Документы АСУТП'!CW24,'Документы АСУТП'!CW22))),0)</f>
        <v>#REF!</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t="e">
        <f>IF(CN13=1,IF($B$1=1,'Документы АСУТП'!CW25,IF($B$1=2,'Документы АСУТП'!CW26,IF($B$1=3,'Документы АСУТП'!CW27,'Документы АСУТП'!CW25))),0)</f>
        <v>#REF!</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t="e">
        <f>IF(CN14=1,IF($B$1=1,'Документы АСУТП'!CW28,IF($B$1=2,'Документы АСУТП'!CW29,IF($B$1=3,'Документы АСУТП'!CW30,'Документы АСУТП'!CW28))),0)</f>
        <v>#REF!</v>
      </c>
      <c r="CP14" s="312">
        <f>ТрЗ_ОП!$R$21</f>
        <v>1</v>
      </c>
      <c r="CQ14" s="27" t="e">
        <f>IF(CP14=1,IF($B$1=1,'Документы АСУТП'!CX28,IF($B$1=2,'Документы АСУТП'!CX29,IF($B$1=3,'Документы АСУТП'!CX30,'Документы АСУТП'!CX28))),0)</f>
        <v>#REF!</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t="e">
        <f>IF(CN15=1,IF($B$1=1,'Документы АСУТП'!CW31,IF($B$1=2,'Документы АСУТП'!CW32,IF($B$1=3,'Документы АСУТП'!CW33,'Документы АСУТП'!CW31))),0)</f>
        <v>#REF!</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t="e">
        <f>IF(CN16=1,IF($B$1=1,'Документы АСУТП'!CW34,IF($B$1=2,'Документы АСУТП'!CW35,IF($B$1=3,'Документы АСУТП'!CW36,'Документы АСУТП'!CW34))),0)</f>
        <v>#REF!</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t="e">
        <f>IF(CN20=1,IF($B$1=1,'Документы АСУТП'!CW42,IF($B$1=2,'Документы АСУТП'!CW43,IF($B$1=3,'Документы АСУТП'!CW44,'Документы АСУТП'!CW42))),0)</f>
        <v>#REF!</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t="e">
        <f>IF(DZ20=1,IF($B$1=1,'Документы АСУТП'!DP42,IF($B$1=2,'Документы АСУТП'!DP43,IF($B$1=3,'Документы АСУТП'!DP44,'Документы АСУТП'!DP42))),0)</f>
        <v>#VALUE!</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t="e">
        <f>IF(CN21=1,IF($B$1=1,'Документы АСУТП'!CW45,IF($B$1=2,'Документы АСУТП'!CW46,IF($B$1=3,'Документы АСУТП'!CW47,'Документы АСУТП'!CW45))),0)</f>
        <v>#REF!</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t="e">
        <f>IF(CN26=1,IF($B$1=1,'Документы АСУТП'!CW60,IF($B$1=2,'Документы АСУТП'!CW61,IF($B$1=3,'Документы АСУТП'!CW62,'Документы АСУТП'!CW60))),0)</f>
        <v>#REF!</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t="e">
        <f>IF(CN27=1,IF($B$1=1,'Документы АСУТП'!CW63,IF($B$1=2,'Документы АСУТП'!CW64,IF($B$1=3,'Документы АСУТП'!CW65,'Документы АСУТП'!CW63))),0)</f>
        <v>#REF!</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t="e">
        <f>IF(CN28=1,IF($B$1=1,'Документы АСУТП'!CW66,IF($B$1=2,'Документы АСУТП'!CW67,IF($B$1=3,'Документы АСУТП'!CW68,'Документы АСУТП'!CW66))),0)</f>
        <v>#REF!</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t="e">
        <f>IF(CN29=1,IF($B$1=1,'Документы АСУТП'!CW69,IF($B$1=2,'Документы АСУТП'!CW70,IF($B$1=3,'Документы АСУТП'!CW71,'Документы АСУТП'!CW69))),0)</f>
        <v>#REF!</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t="e">
        <f>IF(CN30=1,IF($B$1=1,'Документы АСУТП'!CW72,IF($B$1=2,'Документы АСУТП'!CW73,IF($B$1=3,'Документы АСУТП'!CW74,'Документы АСУТП'!CW72))),0)</f>
        <v>#REF!</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t="e">
        <f>IF(CN37=1,IF($B$1=1,'Документы АСУТП'!CW91,IF($B$1=2,'Документы АСУТП'!CW92,IF($B$1=3,'Документы АСУТП'!CW93,'Документы АСУТП'!CW91))),0)</f>
        <v>#REF!</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t="e">
        <f>IF(CN38=1,IF($B$1=1,'Документы АСУТП'!CW94,IF($B$1=2,'Документы АСУТП'!CW95,IF($B$1=3,'Документы АСУТП'!CW96,'Документы АСУТП'!CW94))),0)</f>
        <v>#REF!</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18A094BB-EA3E-4938-9069-21F549B37E23}" scale="85" state="hidden" topLeftCell="A16">
      <selection activeCell="D2" sqref="D2"/>
      <pageMargins left="0.7" right="0.7" top="0.75" bottom="0.75" header="0.3" footer="0.3"/>
      <pageSetup paperSize="9" orientation="portrait" r:id="rId1"/>
    </customSheetView>
    <customSheetView guid="{A1A876F1-3EAA-4E5F-BD51-8B131AB8854B}" scale="85" state="hidden" topLeftCell="A16">
      <selection activeCell="D2" sqref="D2"/>
      <pageMargins left="0.7" right="0.7" top="0.75" bottom="0.75" header="0.3" footer="0.3"/>
      <pageSetup paperSize="9" orientation="portrait" r:id="rId2"/>
    </customSheetView>
    <customSheetView guid="{F5CB9414-DBF4-48FF-9213-FFE745451535}" scale="85" state="hidden" topLeftCell="A16">
      <selection activeCell="D2" sqref="D2"/>
      <pageMargins left="0.7" right="0.7" top="0.75" bottom="0.75" header="0.3" footer="0.3"/>
      <pageSetup paperSize="9" orientation="portrait" r:id="rId3"/>
    </customSheetView>
    <customSheetView guid="{B91A3F61-3B23-46E3-9B55-19B17EB6638A}" scale="85" state="hidden" topLeftCell="A16">
      <selection activeCell="D2" sqref="D2"/>
      <pageMargins left="0.7" right="0.7" top="0.75" bottom="0.75" header="0.3" footer="0.3"/>
      <pageSetup paperSize="9" orientation="portrait" r:id="rId4"/>
    </customSheetView>
  </customSheetViews>
  <mergeCells count="3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02" priority="1054">
      <formula>I2</formula>
    </cfRule>
  </conditionalFormatting>
  <conditionalFormatting sqref="B58:B61">
    <cfRule type="expression" dxfId="601" priority="1040">
      <formula>B58</formula>
    </cfRule>
  </conditionalFormatting>
  <conditionalFormatting sqref="B4:D4">
    <cfRule type="expression" dxfId="600" priority="1039">
      <formula>B4</formula>
    </cfRule>
  </conditionalFormatting>
  <conditionalFormatting sqref="B45:D54 B2 E2 H2 K2 Q2 W2 Z2 AC2 AF2 AI2 AL2 N2 T2 AO2 AR2 AU2 AX2 BA2 BD2 BG2 BJ2 BM2 BP2 BS2 BV2 A42:H42">
    <cfRule type="expression" dxfId="599" priority="1042">
      <formula>A2</formula>
    </cfRule>
  </conditionalFormatting>
  <conditionalFormatting sqref="C58:C61">
    <cfRule type="expression" dxfId="598" priority="1041">
      <formula>C58</formula>
    </cfRule>
  </conditionalFormatting>
  <conditionalFormatting sqref="E58:E61">
    <cfRule type="expression" dxfId="597" priority="1036">
      <formula>E58</formula>
    </cfRule>
  </conditionalFormatting>
  <conditionalFormatting sqref="E4:G4">
    <cfRule type="expression" dxfId="596" priority="1035">
      <formula>E4</formula>
    </cfRule>
  </conditionalFormatting>
  <conditionalFormatting sqref="E45:G54 E42:G42">
    <cfRule type="expression" dxfId="595" priority="1038">
      <formula>E42</formula>
    </cfRule>
  </conditionalFormatting>
  <conditionalFormatting sqref="F58:F61">
    <cfRule type="expression" dxfId="594" priority="1037">
      <formula>F58</formula>
    </cfRule>
  </conditionalFormatting>
  <conditionalFormatting sqref="H58:H61">
    <cfRule type="expression" dxfId="593" priority="1032">
      <formula>H58</formula>
    </cfRule>
  </conditionalFormatting>
  <conditionalFormatting sqref="H4:J4">
    <cfRule type="expression" dxfId="592" priority="1031">
      <formula>H4</formula>
    </cfRule>
  </conditionalFormatting>
  <conditionalFormatting sqref="H45:J54 H42">
    <cfRule type="expression" dxfId="591" priority="1034">
      <formula>H42</formula>
    </cfRule>
  </conditionalFormatting>
  <conditionalFormatting sqref="I58:I61">
    <cfRule type="expression" dxfId="590" priority="1033">
      <formula>I58</formula>
    </cfRule>
  </conditionalFormatting>
  <conditionalFormatting sqref="K58:K61">
    <cfRule type="expression" dxfId="589" priority="1028">
      <formula>K58</formula>
    </cfRule>
  </conditionalFormatting>
  <conditionalFormatting sqref="K4:M4">
    <cfRule type="expression" dxfId="588" priority="1027">
      <formula>K4</formula>
    </cfRule>
  </conditionalFormatting>
  <conditionalFormatting sqref="K45:M54">
    <cfRule type="expression" dxfId="587" priority="1030">
      <formula>K45</formula>
    </cfRule>
  </conditionalFormatting>
  <conditionalFormatting sqref="L58:L61">
    <cfRule type="expression" dxfId="586" priority="1029">
      <formula>L58</formula>
    </cfRule>
  </conditionalFormatting>
  <conditionalFormatting sqref="N58:N61">
    <cfRule type="expression" dxfId="585" priority="1024">
      <formula>N58</formula>
    </cfRule>
  </conditionalFormatting>
  <conditionalFormatting sqref="N4:P4">
    <cfRule type="expression" dxfId="584" priority="1023">
      <formula>N4</formula>
    </cfRule>
  </conditionalFormatting>
  <conditionalFormatting sqref="N45:P54">
    <cfRule type="expression" dxfId="583" priority="1026">
      <formula>N45</formula>
    </cfRule>
  </conditionalFormatting>
  <conditionalFormatting sqref="O58:O61">
    <cfRule type="expression" dxfId="582" priority="1025">
      <formula>O58</formula>
    </cfRule>
  </conditionalFormatting>
  <conditionalFormatting sqref="Q58:Q61">
    <cfRule type="expression" dxfId="581" priority="1020">
      <formula>Q58</formula>
    </cfRule>
  </conditionalFormatting>
  <conditionalFormatting sqref="Q4:S4">
    <cfRule type="expression" dxfId="580" priority="1019">
      <formula>Q4</formula>
    </cfRule>
  </conditionalFormatting>
  <conditionalFormatting sqref="Q45:S52">
    <cfRule type="expression" dxfId="579" priority="1022">
      <formula>Q45</formula>
    </cfRule>
  </conditionalFormatting>
  <conditionalFormatting sqref="R58:R61 U58:U61">
    <cfRule type="expression" dxfId="578" priority="1021">
      <formula>R58</formula>
    </cfRule>
  </conditionalFormatting>
  <conditionalFormatting sqref="T45:BU52">
    <cfRule type="expression" dxfId="577" priority="1013">
      <formula>T45</formula>
    </cfRule>
  </conditionalFormatting>
  <conditionalFormatting sqref="T4:BX4">
    <cfRule type="expression" dxfId="576" priority="1012">
      <formula>T4</formula>
    </cfRule>
  </conditionalFormatting>
  <conditionalFormatting sqref="BV53:CJ54">
    <cfRule type="expression" dxfId="575" priority="1011">
      <formula>BV53</formula>
    </cfRule>
  </conditionalFormatting>
  <conditionalFormatting sqref="BV45:CJ52">
    <cfRule type="expression" dxfId="574" priority="1010">
      <formula>BV45</formula>
    </cfRule>
  </conditionalFormatting>
  <conditionalFormatting sqref="T53:BU54">
    <cfRule type="expression" dxfId="573" priority="1014">
      <formula>T53</formula>
    </cfRule>
  </conditionalFormatting>
  <conditionalFormatting sqref="CN8">
    <cfRule type="expression" dxfId="572" priority="1000">
      <formula>CN8</formula>
    </cfRule>
  </conditionalFormatting>
  <conditionalFormatting sqref="CN4">
    <cfRule type="expression" dxfId="571" priority="1008">
      <formula>CN4</formula>
    </cfRule>
  </conditionalFormatting>
  <conditionalFormatting sqref="CN7">
    <cfRule type="expression" dxfId="570" priority="1006">
      <formula>CN7</formula>
    </cfRule>
  </conditionalFormatting>
  <conditionalFormatting sqref="CN36:CN41">
    <cfRule type="expression" dxfId="569" priority="1005">
      <formula>CN36</formula>
    </cfRule>
  </conditionalFormatting>
  <conditionalFormatting sqref="CN20:CN34">
    <cfRule type="expression" dxfId="568" priority="1003">
      <formula>CN20</formula>
    </cfRule>
  </conditionalFormatting>
  <conditionalFormatting sqref="CN18">
    <cfRule type="expression" dxfId="567" priority="1002">
      <formula>CN18</formula>
    </cfRule>
  </conditionalFormatting>
  <conditionalFormatting sqref="CN10:CN16">
    <cfRule type="expression" dxfId="566" priority="1001">
      <formula>CN10</formula>
    </cfRule>
  </conditionalFormatting>
  <conditionalFormatting sqref="DC3">
    <cfRule type="expression" dxfId="565" priority="725">
      <formula>DC3</formula>
    </cfRule>
  </conditionalFormatting>
  <conditionalFormatting sqref="CN5">
    <cfRule type="expression" dxfId="564" priority="797">
      <formula>CN5</formula>
    </cfRule>
  </conditionalFormatting>
  <conditionalFormatting sqref="CN6">
    <cfRule type="expression" dxfId="563" priority="796">
      <formula>CN6</formula>
    </cfRule>
  </conditionalFormatting>
  <conditionalFormatting sqref="DR3">
    <cfRule type="expression" dxfId="562" priority="659">
      <formula>DR3</formula>
    </cfRule>
  </conditionalFormatting>
  <conditionalFormatting sqref="DT3">
    <cfRule type="expression" dxfId="561" priority="650">
      <formula>DT3</formula>
    </cfRule>
  </conditionalFormatting>
  <conditionalFormatting sqref="B7:D7 B9:D9 B17:D17 B19:D19 B35:D35">
    <cfRule type="expression" dxfId="560" priority="848">
      <formula>B7</formula>
    </cfRule>
  </conditionalFormatting>
  <conditionalFormatting sqref="E7:G7 E9:G9 E17:G17 E19:G19 E35:G35">
    <cfRule type="expression" dxfId="559" priority="847">
      <formula>E7</formula>
    </cfRule>
  </conditionalFormatting>
  <conditionalFormatting sqref="CV10:CV16">
    <cfRule type="expression" dxfId="558" priority="559">
      <formula>CV10</formula>
    </cfRule>
  </conditionalFormatting>
  <conditionalFormatting sqref="CQ3">
    <cfRule type="expression" dxfId="557" priority="687">
      <formula>CQ3</formula>
    </cfRule>
  </conditionalFormatting>
  <conditionalFormatting sqref="DW3">
    <cfRule type="expression" dxfId="556" priority="707">
      <formula>DW3</formula>
    </cfRule>
  </conditionalFormatting>
  <conditionalFormatting sqref="DV7 DV3 DV17 DV19">
    <cfRule type="expression" dxfId="555" priority="641">
      <formula>DV3</formula>
    </cfRule>
  </conditionalFormatting>
  <conditionalFormatting sqref="BP7:BR7 BP9:BR9 BP17:BR17 BP19:BR19 BP35:BR35">
    <cfRule type="expression" dxfId="554" priority="826">
      <formula>BP7</formula>
    </cfRule>
  </conditionalFormatting>
  <conditionalFormatting sqref="BS7:BU7 BS9:BU9 BS17:BU17 BS19:BU19 BS35:BU35">
    <cfRule type="expression" dxfId="553" priority="825">
      <formula>BS7</formula>
    </cfRule>
  </conditionalFormatting>
  <conditionalFormatting sqref="BV7:BX7 BV9:BX9 BV17:BX17 BV19:BX19 BV35:BX35">
    <cfRule type="expression" dxfId="552" priority="824">
      <formula>BV7</formula>
    </cfRule>
  </conditionalFormatting>
  <conditionalFormatting sqref="DV5">
    <cfRule type="expression" dxfId="551" priority="637">
      <formula>DV5</formula>
    </cfRule>
  </conditionalFormatting>
  <conditionalFormatting sqref="DV6">
    <cfRule type="expression" dxfId="550" priority="636">
      <formula>DV6</formula>
    </cfRule>
  </conditionalFormatting>
  <conditionalFormatting sqref="DV18">
    <cfRule type="expression" dxfId="549" priority="635">
      <formula>DV18</formula>
    </cfRule>
  </conditionalFormatting>
  <conditionalFormatting sqref="CV8">
    <cfRule type="expression" dxfId="548" priority="558">
      <formula>CV8</formula>
    </cfRule>
  </conditionalFormatting>
  <conditionalFormatting sqref="H7:J7 H9:J9 H17:J17 H19:J19 H35:J35">
    <cfRule type="expression" dxfId="547" priority="846">
      <formula>H7</formula>
    </cfRule>
  </conditionalFormatting>
  <conditionalFormatting sqref="K7:M7 K9:M9 K17:M17 K19:M19 K35:M35">
    <cfRule type="expression" dxfId="546" priority="845">
      <formula>K7</formula>
    </cfRule>
  </conditionalFormatting>
  <conditionalFormatting sqref="N7:P7 N9:P9 N17:P17 N19:P19 N35:P35">
    <cfRule type="expression" dxfId="545" priority="844">
      <formula>N7</formula>
    </cfRule>
  </conditionalFormatting>
  <conditionalFormatting sqref="Q7:S7 Q9:S9 Q17:S17 Q19:S19 Q35:S35">
    <cfRule type="expression" dxfId="544" priority="843">
      <formula>Q7</formula>
    </cfRule>
  </conditionalFormatting>
  <conditionalFormatting sqref="T7:V7 T9:V9 T17:V17 T19:V19 T35:V35">
    <cfRule type="expression" dxfId="543" priority="842">
      <formula>T7</formula>
    </cfRule>
  </conditionalFormatting>
  <conditionalFormatting sqref="W7:Y7 W9:Y9 W17:Y17 W19:Y19 W35:Y35">
    <cfRule type="expression" dxfId="542" priority="841">
      <formula>W7</formula>
    </cfRule>
  </conditionalFormatting>
  <conditionalFormatting sqref="Z7:AB7 Z9:AB9 Z17:AB17 Z19:AB19 Z35:AB35">
    <cfRule type="expression" dxfId="541" priority="840">
      <formula>Z7</formula>
    </cfRule>
  </conditionalFormatting>
  <conditionalFormatting sqref="AC7:AE7 AC9:AE9 AC17:AE17 AC19:AE19 AC35:AE35">
    <cfRule type="expression" dxfId="540" priority="839">
      <formula>AC7</formula>
    </cfRule>
  </conditionalFormatting>
  <conditionalFormatting sqref="AF7:AH7 AF9:AH9 AF17:AH17 AF19:AH19 AF35:AH35">
    <cfRule type="expression" dxfId="539" priority="838">
      <formula>AF7</formula>
    </cfRule>
  </conditionalFormatting>
  <conditionalFormatting sqref="AI7:AK7 AI9:AK9 AI17:AK17 AI19:AK19 AI35:AK35">
    <cfRule type="expression" dxfId="538" priority="837">
      <formula>AI7</formula>
    </cfRule>
  </conditionalFormatting>
  <conditionalFormatting sqref="AL7:AN7 AL9:AN9 AL17:AN17 AL19:AN19 AL35:AN35">
    <cfRule type="expression" dxfId="537" priority="836">
      <formula>AL7</formula>
    </cfRule>
  </conditionalFormatting>
  <conditionalFormatting sqref="AO7:AQ7 AO9:AQ9 AO17:AQ17 AO19:AQ19 AO35:AQ35">
    <cfRule type="expression" dxfId="536" priority="835">
      <formula>AO7</formula>
    </cfRule>
  </conditionalFormatting>
  <conditionalFormatting sqref="AR7:AT7 AR9:AT9 AR17:AT17 AR19:AT19 AR35:AT35">
    <cfRule type="expression" dxfId="535" priority="834">
      <formula>AR7</formula>
    </cfRule>
  </conditionalFormatting>
  <conditionalFormatting sqref="AU7:AW7 AU9:AW9 AU17:AW17 AU19:AW19 AU35:AW35">
    <cfRule type="expression" dxfId="534" priority="833">
      <formula>AU7</formula>
    </cfRule>
  </conditionalFormatting>
  <conditionalFormatting sqref="AX7:AZ7 AX9:AZ9 AX17:AZ17 AX19:AZ19 AX35:AZ35">
    <cfRule type="expression" dxfId="533" priority="832">
      <formula>AX7</formula>
    </cfRule>
  </conditionalFormatting>
  <conditionalFormatting sqref="BA7:BC7 BA9:BC9 BA17:BC17 BA19:BC19 BA35:BC35">
    <cfRule type="expression" dxfId="532" priority="831">
      <formula>BA7</formula>
    </cfRule>
  </conditionalFormatting>
  <conditionalFormatting sqref="BD7:BF7 BD9:BF9 BD17:BF17 BD19:BF19 BD35:BF35">
    <cfRule type="expression" dxfId="531" priority="830">
      <formula>BD7</formula>
    </cfRule>
  </conditionalFormatting>
  <conditionalFormatting sqref="BG7:BI7 BG9:BI9 BG17:BI17 BG19:BI19 BG35:BI35">
    <cfRule type="expression" dxfId="530" priority="829">
      <formula>BG7</formula>
    </cfRule>
  </conditionalFormatting>
  <conditionalFormatting sqref="BJ7:BL7 BJ9:BL9 BJ17:BL17 BJ19:BL19 BJ35:BL35">
    <cfRule type="expression" dxfId="529" priority="828">
      <formula>BJ7</formula>
    </cfRule>
  </conditionalFormatting>
  <conditionalFormatting sqref="BM7:BO7 BM9:BO9 BM17:BO17 BM19:BO19 BM35:BO35">
    <cfRule type="expression" dxfId="528" priority="827">
      <formula>BM7</formula>
    </cfRule>
  </conditionalFormatting>
  <conditionalFormatting sqref="EW5:EX6 EV4:EV6 EV18:EX18 EV8:EX8 EV10:EX16 EV36:EX41 EV20:EX34">
    <cfRule type="expression" dxfId="527" priority="822">
      <formula>AND(#REF!,NOT(#REF!))</formula>
    </cfRule>
  </conditionalFormatting>
  <conditionalFormatting sqref="EY5:EY41 EV17:EX17 EV7:EX7 EV9:EX9 EV35:EX35 EV19:EX19">
    <cfRule type="expression" dxfId="526" priority="812">
      <formula>AND(#REF!,NOT(#REF!))</formula>
    </cfRule>
  </conditionalFormatting>
  <conditionalFormatting sqref="DB20:DB28">
    <cfRule type="expression" dxfId="525" priority="531">
      <formula>DB20</formula>
    </cfRule>
  </conditionalFormatting>
  <conditionalFormatting sqref="DB18">
    <cfRule type="expression" dxfId="524" priority="530">
      <formula>DB18</formula>
    </cfRule>
  </conditionalFormatting>
  <conditionalFormatting sqref="CT5">
    <cfRule type="expression" dxfId="523" priority="567">
      <formula>CT5</formula>
    </cfRule>
  </conditionalFormatting>
  <conditionalFormatting sqref="CT6">
    <cfRule type="expression" dxfId="522" priority="566">
      <formula>CT6</formula>
    </cfRule>
  </conditionalFormatting>
  <conditionalFormatting sqref="CT17 CT9 CT19">
    <cfRule type="expression" dxfId="521" priority="575">
      <formula>CT9</formula>
    </cfRule>
  </conditionalFormatting>
  <conditionalFormatting sqref="CT7">
    <cfRule type="expression" dxfId="520" priority="574">
      <formula>CT7</formula>
    </cfRule>
  </conditionalFormatting>
  <conditionalFormatting sqref="CP20:CP28">
    <cfRule type="expression" dxfId="519" priority="591">
      <formula>CP20</formula>
    </cfRule>
  </conditionalFormatting>
  <conditionalFormatting sqref="CP18">
    <cfRule type="expression" dxfId="518" priority="590">
      <formula>CP18</formula>
    </cfRule>
  </conditionalFormatting>
  <conditionalFormatting sqref="DZ27:DZ28">
    <cfRule type="expression" dxfId="517" priority="615">
      <formula>DZ27</formula>
    </cfRule>
  </conditionalFormatting>
  <conditionalFormatting sqref="EB3:EB4">
    <cfRule type="expression" dxfId="516" priority="614">
      <formula>EB3</formula>
    </cfRule>
  </conditionalFormatting>
  <conditionalFormatting sqref="DZ7 DZ3:DZ4 DZ17 DZ19">
    <cfRule type="expression" dxfId="515" priority="623">
      <formula>DZ3</formula>
    </cfRule>
  </conditionalFormatting>
  <conditionalFormatting sqref="DZ9">
    <cfRule type="expression" dxfId="514" priority="622">
      <formula>DZ9</formula>
    </cfRule>
  </conditionalFormatting>
  <conditionalFormatting sqref="DX9">
    <cfRule type="expression" dxfId="513" priority="631">
      <formula>DX9</formula>
    </cfRule>
  </conditionalFormatting>
  <conditionalFormatting sqref="DY3">
    <cfRule type="expression" dxfId="512" priority="705">
      <formula>DY3</formula>
    </cfRule>
  </conditionalFormatting>
  <conditionalFormatting sqref="DP7">
    <cfRule type="expression" dxfId="511" priority="474">
      <formula>DP7</formula>
    </cfRule>
  </conditionalFormatting>
  <conditionalFormatting sqref="EL8">
    <cfRule type="expression" dxfId="510" priority="318">
      <formula>EL8</formula>
    </cfRule>
  </conditionalFormatting>
  <conditionalFormatting sqref="DN20:DN28">
    <cfRule type="expression" dxfId="509" priority="481">
      <formula>DN20</formula>
    </cfRule>
  </conditionalFormatting>
  <conditionalFormatting sqref="DN18">
    <cfRule type="expression" dxfId="508" priority="480">
      <formula>DN18</formula>
    </cfRule>
  </conditionalFormatting>
  <conditionalFormatting sqref="DL8">
    <cfRule type="expression" dxfId="507" priority="488">
      <formula>DL8</formula>
    </cfRule>
  </conditionalFormatting>
  <conditionalFormatting sqref="DL5">
    <cfRule type="expression" dxfId="506" priority="487">
      <formula>DL5</formula>
    </cfRule>
  </conditionalFormatting>
  <conditionalFormatting sqref="CU3">
    <cfRule type="expression" dxfId="505" priority="683">
      <formula>CU3</formula>
    </cfRule>
  </conditionalFormatting>
  <conditionalFormatting sqref="EM3:EU3">
    <cfRule type="expression" dxfId="504" priority="691">
      <formula>EM3</formula>
    </cfRule>
  </conditionalFormatting>
  <conditionalFormatting sqref="EG3">
    <cfRule type="expression" dxfId="503" priority="697">
      <formula>EG3</formula>
    </cfRule>
  </conditionalFormatting>
  <conditionalFormatting sqref="DV27:DV28">
    <cfRule type="expression" dxfId="502" priority="633">
      <formula>DV27</formula>
    </cfRule>
  </conditionalFormatting>
  <conditionalFormatting sqref="DV20:DV26">
    <cfRule type="expression" dxfId="501" priority="634">
      <formula>DV20</formula>
    </cfRule>
  </conditionalFormatting>
  <conditionalFormatting sqref="ED5">
    <cfRule type="expression" dxfId="500" priority="419">
      <formula>ED5</formula>
    </cfRule>
  </conditionalFormatting>
  <conditionalFormatting sqref="CW3">
    <cfRule type="expression" dxfId="499" priority="731">
      <formula>CW3</formula>
    </cfRule>
  </conditionalFormatting>
  <conditionalFormatting sqref="CY3">
    <cfRule type="expression" dxfId="498" priority="729">
      <formula>CY3</formula>
    </cfRule>
  </conditionalFormatting>
  <conditionalFormatting sqref="DA3">
    <cfRule type="expression" dxfId="497" priority="727">
      <formula>DA3</formula>
    </cfRule>
  </conditionalFormatting>
  <conditionalFormatting sqref="DE3">
    <cfRule type="expression" dxfId="496" priority="723">
      <formula>DE3</formula>
    </cfRule>
  </conditionalFormatting>
  <conditionalFormatting sqref="DX7 DX3:DX4 DX17 DX19">
    <cfRule type="expression" dxfId="495" priority="632">
      <formula>DX3</formula>
    </cfRule>
  </conditionalFormatting>
  <conditionalFormatting sqref="DI3">
    <cfRule type="expression" dxfId="494" priority="721">
      <formula>DI3</formula>
    </cfRule>
  </conditionalFormatting>
  <conditionalFormatting sqref="DK3">
    <cfRule type="expression" dxfId="493" priority="719">
      <formula>DK3</formula>
    </cfRule>
  </conditionalFormatting>
  <conditionalFormatting sqref="DM3">
    <cfRule type="expression" dxfId="492" priority="717">
      <formula>DM3</formula>
    </cfRule>
  </conditionalFormatting>
  <conditionalFormatting sqref="DO3">
    <cfRule type="expression" dxfId="491" priority="715">
      <formula>DO3</formula>
    </cfRule>
  </conditionalFormatting>
  <conditionalFormatting sqref="DQ3">
    <cfRule type="expression" dxfId="490" priority="713">
      <formula>DQ3</formula>
    </cfRule>
  </conditionalFormatting>
  <conditionalFormatting sqref="DS3">
    <cfRule type="expression" dxfId="489" priority="711">
      <formula>DS3</formula>
    </cfRule>
  </conditionalFormatting>
  <conditionalFormatting sqref="DU3">
    <cfRule type="expression" dxfId="488" priority="709">
      <formula>DU3</formula>
    </cfRule>
  </conditionalFormatting>
  <conditionalFormatting sqref="EA3">
    <cfRule type="expression" dxfId="487" priority="703">
      <formula>EA3</formula>
    </cfRule>
  </conditionalFormatting>
  <conditionalFormatting sqref="EC3">
    <cfRule type="expression" dxfId="486" priority="701">
      <formula>EC3</formula>
    </cfRule>
  </conditionalFormatting>
  <conditionalFormatting sqref="EE3">
    <cfRule type="expression" dxfId="485" priority="699">
      <formula>EE3</formula>
    </cfRule>
  </conditionalFormatting>
  <conditionalFormatting sqref="EI3">
    <cfRule type="expression" dxfId="484" priority="695">
      <formula>EI3</formula>
    </cfRule>
  </conditionalFormatting>
  <conditionalFormatting sqref="EK3">
    <cfRule type="expression" dxfId="483" priority="693">
      <formula>EK3</formula>
    </cfRule>
  </conditionalFormatting>
  <conditionalFormatting sqref="CT20:CT28">
    <cfRule type="expression" dxfId="482" priority="571">
      <formula>CT20</formula>
    </cfRule>
  </conditionalFormatting>
  <conditionalFormatting sqref="CS3">
    <cfRule type="expression" dxfId="481" priority="685">
      <formula>CS3</formula>
    </cfRule>
  </conditionalFormatting>
  <conditionalFormatting sqref="DR10:DR16">
    <cfRule type="expression" dxfId="480" priority="448">
      <formula>DR10</formula>
    </cfRule>
  </conditionalFormatting>
  <conditionalFormatting sqref="DR4">
    <cfRule type="expression" dxfId="479" priority="455">
      <formula>DR4</formula>
    </cfRule>
  </conditionalFormatting>
  <conditionalFormatting sqref="DP6">
    <cfRule type="expression" dxfId="478" priority="466">
      <formula>DP6</formula>
    </cfRule>
  </conditionalFormatting>
  <conditionalFormatting sqref="DP17 DP9 DP19">
    <cfRule type="expression" dxfId="477" priority="475">
      <formula>DP9</formula>
    </cfRule>
  </conditionalFormatting>
  <conditionalFormatting sqref="DN7">
    <cfRule type="expression" dxfId="476" priority="484">
      <formula>DN7</formula>
    </cfRule>
  </conditionalFormatting>
  <conditionalFormatting sqref="ED9">
    <cfRule type="expression" dxfId="475" priority="332">
      <formula>ED9</formula>
    </cfRule>
  </conditionalFormatting>
  <conditionalFormatting sqref="DZ10:DZ16">
    <cfRule type="expression" dxfId="474" priority="338">
      <formula>DZ10</formula>
    </cfRule>
  </conditionalFormatting>
  <conditionalFormatting sqref="DH20:DH28">
    <cfRule type="expression" dxfId="473" priority="511">
      <formula>DH20</formula>
    </cfRule>
  </conditionalFormatting>
  <conditionalFormatting sqref="DD18">
    <cfRule type="expression" dxfId="472" priority="520">
      <formula>DD18</formula>
    </cfRule>
  </conditionalFormatting>
  <conditionalFormatting sqref="DB10:DB16">
    <cfRule type="expression" dxfId="471" priority="529">
      <formula>DB10</formula>
    </cfRule>
  </conditionalFormatting>
  <conditionalFormatting sqref="CZ8">
    <cfRule type="expression" dxfId="470" priority="538">
      <formula>CZ8</formula>
    </cfRule>
  </conditionalFormatting>
  <conditionalFormatting sqref="DH5">
    <cfRule type="expression" dxfId="469" priority="507">
      <formula>DH5</formula>
    </cfRule>
  </conditionalFormatting>
  <conditionalFormatting sqref="DH6">
    <cfRule type="expression" dxfId="468" priority="506">
      <formula>DH6</formula>
    </cfRule>
  </conditionalFormatting>
  <conditionalFormatting sqref="DH17 DH9 DH19">
    <cfRule type="expression" dxfId="467" priority="515">
      <formula>DH9</formula>
    </cfRule>
  </conditionalFormatting>
  <conditionalFormatting sqref="DH7">
    <cfRule type="expression" dxfId="466" priority="514">
      <formula>DH7</formula>
    </cfRule>
  </conditionalFormatting>
  <conditionalFormatting sqref="DB8">
    <cfRule type="expression" dxfId="465" priority="528">
      <formula>DB8</formula>
    </cfRule>
  </conditionalFormatting>
  <conditionalFormatting sqref="CZ6">
    <cfRule type="expression" dxfId="464" priority="536">
      <formula>CZ6</formula>
    </cfRule>
  </conditionalFormatting>
  <conditionalFormatting sqref="DB17 DB9 DB19">
    <cfRule type="expression" dxfId="463" priority="535">
      <formula>DB9</formula>
    </cfRule>
  </conditionalFormatting>
  <conditionalFormatting sqref="DB7">
    <cfRule type="expression" dxfId="462" priority="534">
      <formula>DB7</formula>
    </cfRule>
  </conditionalFormatting>
  <conditionalFormatting sqref="DB5">
    <cfRule type="expression" dxfId="461" priority="527">
      <formula>DB5</formula>
    </cfRule>
  </conditionalFormatting>
  <conditionalFormatting sqref="CX10:CX16">
    <cfRule type="expression" dxfId="460" priority="549">
      <formula>CX10</formula>
    </cfRule>
  </conditionalFormatting>
  <conditionalFormatting sqref="CX8">
    <cfRule type="expression" dxfId="459" priority="548">
      <formula>CX8</formula>
    </cfRule>
  </conditionalFormatting>
  <conditionalFormatting sqref="CX5">
    <cfRule type="expression" dxfId="458" priority="547">
      <formula>CX5</formula>
    </cfRule>
  </conditionalFormatting>
  <conditionalFormatting sqref="CX6">
    <cfRule type="expression" dxfId="457" priority="546">
      <formula>CX6</formula>
    </cfRule>
  </conditionalFormatting>
  <conditionalFormatting sqref="CZ17 CZ9 CZ19">
    <cfRule type="expression" dxfId="456" priority="545">
      <formula>CZ9</formula>
    </cfRule>
  </conditionalFormatting>
  <conditionalFormatting sqref="CZ7">
    <cfRule type="expression" dxfId="455" priority="544">
      <formula>CZ7</formula>
    </cfRule>
  </conditionalFormatting>
  <conditionalFormatting sqref="CZ20:CZ28">
    <cfRule type="expression" dxfId="454" priority="541">
      <formula>CZ20</formula>
    </cfRule>
  </conditionalFormatting>
  <conditionalFormatting sqref="CZ18">
    <cfRule type="expression" dxfId="453" priority="540">
      <formula>CZ18</formula>
    </cfRule>
  </conditionalFormatting>
  <conditionalFormatting sqref="DV9">
    <cfRule type="expression" dxfId="452" priority="640">
      <formula>DV9</formula>
    </cfRule>
  </conditionalFormatting>
  <conditionalFormatting sqref="DX27:DX28">
    <cfRule type="expression" dxfId="451" priority="624">
      <formula>DX27</formula>
    </cfRule>
  </conditionalFormatting>
  <conditionalFormatting sqref="DX20:DX26">
    <cfRule type="expression" dxfId="450" priority="625">
      <formula>DX20</formula>
    </cfRule>
  </conditionalFormatting>
  <conditionalFormatting sqref="DX5">
    <cfRule type="expression" dxfId="449" priority="628">
      <formula>DX5</formula>
    </cfRule>
  </conditionalFormatting>
  <conditionalFormatting sqref="DX6">
    <cfRule type="expression" dxfId="448" priority="627">
      <formula>DX6</formula>
    </cfRule>
  </conditionalFormatting>
  <conditionalFormatting sqref="DX18">
    <cfRule type="expression" dxfId="447" priority="626">
      <formula>DX18</formula>
    </cfRule>
  </conditionalFormatting>
  <conditionalFormatting sqref="CP17 CP19">
    <cfRule type="expression" dxfId="446" priority="595">
      <formula>CP17</formula>
    </cfRule>
  </conditionalFormatting>
  <conditionalFormatting sqref="DZ20:DZ26">
    <cfRule type="expression" dxfId="445" priority="616">
      <formula>DZ20</formula>
    </cfRule>
  </conditionalFormatting>
  <conditionalFormatting sqref="DZ5">
    <cfRule type="expression" dxfId="444" priority="619">
      <formula>DZ5</formula>
    </cfRule>
  </conditionalFormatting>
  <conditionalFormatting sqref="DZ6">
    <cfRule type="expression" dxfId="443" priority="618">
      <formula>DZ6</formula>
    </cfRule>
  </conditionalFormatting>
  <conditionalFormatting sqref="DZ18">
    <cfRule type="expression" dxfId="442" priority="617">
      <formula>DZ18</formula>
    </cfRule>
  </conditionalFormatting>
  <conditionalFormatting sqref="DD5">
    <cfRule type="expression" dxfId="441" priority="517">
      <formula>DD5</formula>
    </cfRule>
  </conditionalFormatting>
  <conditionalFormatting sqref="DD8">
    <cfRule type="expression" dxfId="440" priority="518">
      <formula>DD8</formula>
    </cfRule>
  </conditionalFormatting>
  <conditionalFormatting sqref="DD7">
    <cfRule type="expression" dxfId="439" priority="524">
      <formula>DD7</formula>
    </cfRule>
  </conditionalFormatting>
  <conditionalFormatting sqref="DD20:DD28">
    <cfRule type="expression" dxfId="438" priority="521">
      <formula>DD20</formula>
    </cfRule>
  </conditionalFormatting>
  <conditionalFormatting sqref="DD10:DD16">
    <cfRule type="expression" dxfId="437" priority="519">
      <formula>DD10</formula>
    </cfRule>
  </conditionalFormatting>
  <conditionalFormatting sqref="EB8">
    <cfRule type="expression" dxfId="436" priority="333">
      <formula>EB8</formula>
    </cfRule>
  </conditionalFormatting>
  <conditionalFormatting sqref="ED10:ED16">
    <cfRule type="expression" dxfId="435" priority="331">
      <formula>ED10</formula>
    </cfRule>
  </conditionalFormatting>
  <conditionalFormatting sqref="ED8">
    <cfRule type="expression" dxfId="434" priority="330">
      <formula>ED8</formula>
    </cfRule>
  </conditionalFormatting>
  <conditionalFormatting sqref="EF9">
    <cfRule type="expression" dxfId="433" priority="329">
      <formula>EF9</formula>
    </cfRule>
  </conditionalFormatting>
  <conditionalFormatting sqref="EF10:EF16">
    <cfRule type="expression" dxfId="432" priority="328">
      <formula>EF10</formula>
    </cfRule>
  </conditionalFormatting>
  <conditionalFormatting sqref="DV8">
    <cfRule type="expression" dxfId="431" priority="341">
      <formula>DV8</formula>
    </cfRule>
  </conditionalFormatting>
  <conditionalFormatting sqref="DV10:DV16">
    <cfRule type="expression" dxfId="430" priority="340">
      <formula>DV10</formula>
    </cfRule>
  </conditionalFormatting>
  <conditionalFormatting sqref="DX10:DX16">
    <cfRule type="expression" dxfId="429" priority="339">
      <formula>DX10</formula>
    </cfRule>
  </conditionalFormatting>
  <conditionalFormatting sqref="CP8">
    <cfRule type="expression" dxfId="428" priority="588">
      <formula>CP8</formula>
    </cfRule>
  </conditionalFormatting>
  <conditionalFormatting sqref="CP7">
    <cfRule type="expression" dxfId="427" priority="594">
      <formula>CP7</formula>
    </cfRule>
  </conditionalFormatting>
  <conditionalFormatting sqref="EH5">
    <cfRule type="expression" dxfId="426" priority="401">
      <formula>EH5</formula>
    </cfRule>
  </conditionalFormatting>
  <conditionalFormatting sqref="CP10:CP16">
    <cfRule type="expression" dxfId="425" priority="589">
      <formula>CP10</formula>
    </cfRule>
  </conditionalFormatting>
  <conditionalFormatting sqref="CP5">
    <cfRule type="expression" dxfId="424" priority="587">
      <formula>CP5</formula>
    </cfRule>
  </conditionalFormatting>
  <conditionalFormatting sqref="CP6">
    <cfRule type="expression" dxfId="423" priority="586">
      <formula>CP6</formula>
    </cfRule>
  </conditionalFormatting>
  <conditionalFormatting sqref="CR17 CR9 CR19">
    <cfRule type="expression" dxfId="422" priority="585">
      <formula>CR9</formula>
    </cfRule>
  </conditionalFormatting>
  <conditionalFormatting sqref="CR8">
    <cfRule type="expression" dxfId="421" priority="578">
      <formula>CR8</formula>
    </cfRule>
  </conditionalFormatting>
  <conditionalFormatting sqref="CR7">
    <cfRule type="expression" dxfId="420" priority="584">
      <formula>CR7</formula>
    </cfRule>
  </conditionalFormatting>
  <conditionalFormatting sqref="CR20:CR28">
    <cfRule type="expression" dxfId="419" priority="581">
      <formula>CR20</formula>
    </cfRule>
  </conditionalFormatting>
  <conditionalFormatting sqref="CR18">
    <cfRule type="expression" dxfId="418" priority="580">
      <formula>CR18</formula>
    </cfRule>
  </conditionalFormatting>
  <conditionalFormatting sqref="CR10:CR16">
    <cfRule type="expression" dxfId="417" priority="579">
      <formula>CR10</formula>
    </cfRule>
  </conditionalFormatting>
  <conditionalFormatting sqref="CR5">
    <cfRule type="expression" dxfId="416" priority="577">
      <formula>CR5</formula>
    </cfRule>
  </conditionalFormatting>
  <conditionalFormatting sqref="CR6">
    <cfRule type="expression" dxfId="415" priority="576">
      <formula>CR6</formula>
    </cfRule>
  </conditionalFormatting>
  <conditionalFormatting sqref="EJ27:EJ28">
    <cfRule type="expression" dxfId="414" priority="388">
      <formula>EJ27</formula>
    </cfRule>
  </conditionalFormatting>
  <conditionalFormatting sqref="CT8">
    <cfRule type="expression" dxfId="413" priority="568">
      <formula>CT8</formula>
    </cfRule>
  </conditionalFormatting>
  <conditionalFormatting sqref="EL7 EL17 EL19">
    <cfRule type="expression" dxfId="412" priority="387">
      <formula>EL7</formula>
    </cfRule>
  </conditionalFormatting>
  <conditionalFormatting sqref="CT18">
    <cfRule type="expression" dxfId="411" priority="570">
      <formula>CT18</formula>
    </cfRule>
  </conditionalFormatting>
  <conditionalFormatting sqref="CT10:CT16">
    <cfRule type="expression" dxfId="410" priority="569">
      <formula>CT10</formula>
    </cfRule>
  </conditionalFormatting>
  <conditionalFormatting sqref="CV17 CV9 CV19">
    <cfRule type="expression" dxfId="409" priority="565">
      <formula>CV9</formula>
    </cfRule>
  </conditionalFormatting>
  <conditionalFormatting sqref="CV7">
    <cfRule type="expression" dxfId="408" priority="564">
      <formula>CV7</formula>
    </cfRule>
  </conditionalFormatting>
  <conditionalFormatting sqref="CV6">
    <cfRule type="expression" dxfId="407" priority="556">
      <formula>CV6</formula>
    </cfRule>
  </conditionalFormatting>
  <conditionalFormatting sqref="EL18">
    <cfRule type="expression" dxfId="406" priority="381">
      <formula>EL18</formula>
    </cfRule>
  </conditionalFormatting>
  <conditionalFormatting sqref="EL20:EL26">
    <cfRule type="expression" dxfId="405" priority="380">
      <formula>EL20</formula>
    </cfRule>
  </conditionalFormatting>
  <conditionalFormatting sqref="CV20:CV28">
    <cfRule type="expression" dxfId="404" priority="561">
      <formula>CV20</formula>
    </cfRule>
  </conditionalFormatting>
  <conditionalFormatting sqref="CV18">
    <cfRule type="expression" dxfId="403" priority="560">
      <formula>CV18</formula>
    </cfRule>
  </conditionalFormatting>
  <conditionalFormatting sqref="CV5">
    <cfRule type="expression" dxfId="402" priority="557">
      <formula>CV5</formula>
    </cfRule>
  </conditionalFormatting>
  <conditionalFormatting sqref="CX17 CX9 CX19">
    <cfRule type="expression" dxfId="401" priority="555">
      <formula>CX9</formula>
    </cfRule>
  </conditionalFormatting>
  <conditionalFormatting sqref="CX7">
    <cfRule type="expression" dxfId="400" priority="554">
      <formula>CX7</formula>
    </cfRule>
  </conditionalFormatting>
  <conditionalFormatting sqref="CX20:CX28">
    <cfRule type="expression" dxfId="399" priority="551">
      <formula>CX20</formula>
    </cfRule>
  </conditionalFormatting>
  <conditionalFormatting sqref="CX18">
    <cfRule type="expression" dxfId="398" priority="550">
      <formula>CX18</formula>
    </cfRule>
  </conditionalFormatting>
  <conditionalFormatting sqref="CZ10:CZ16">
    <cfRule type="expression" dxfId="397" priority="539">
      <formula>CZ10</formula>
    </cfRule>
  </conditionalFormatting>
  <conditionalFormatting sqref="CZ5">
    <cfRule type="expression" dxfId="396" priority="537">
      <formula>CZ5</formula>
    </cfRule>
  </conditionalFormatting>
  <conditionalFormatting sqref="DB6">
    <cfRule type="expression" dxfId="395" priority="526">
      <formula>DB6</formula>
    </cfRule>
  </conditionalFormatting>
  <conditionalFormatting sqref="DD17 DD9 DD19">
    <cfRule type="expression" dxfId="394" priority="525">
      <formula>DD9</formula>
    </cfRule>
  </conditionalFormatting>
  <conditionalFormatting sqref="DD6">
    <cfRule type="expression" dxfId="393" priority="516">
      <formula>DD6</formula>
    </cfRule>
  </conditionalFormatting>
  <conditionalFormatting sqref="DH8">
    <cfRule type="expression" dxfId="392" priority="508">
      <formula>DH8</formula>
    </cfRule>
  </conditionalFormatting>
  <conditionalFormatting sqref="DH10:DH16">
    <cfRule type="expression" dxfId="391" priority="509">
      <formula>DH10</formula>
    </cfRule>
  </conditionalFormatting>
  <conditionalFormatting sqref="DH18">
    <cfRule type="expression" dxfId="390" priority="510">
      <formula>DH18</formula>
    </cfRule>
  </conditionalFormatting>
  <conditionalFormatting sqref="DJ17 DJ9 DJ19">
    <cfRule type="expression" dxfId="389" priority="505">
      <formula>DJ9</formula>
    </cfRule>
  </conditionalFormatting>
  <conditionalFormatting sqref="DJ7">
    <cfRule type="expression" dxfId="388" priority="504">
      <formula>DJ7</formula>
    </cfRule>
  </conditionalFormatting>
  <conditionalFormatting sqref="DJ8">
    <cfRule type="expression" dxfId="387" priority="498">
      <formula>DJ8</formula>
    </cfRule>
  </conditionalFormatting>
  <conditionalFormatting sqref="DJ18">
    <cfRule type="expression" dxfId="386" priority="500">
      <formula>DJ18</formula>
    </cfRule>
  </conditionalFormatting>
  <conditionalFormatting sqref="DJ20:DJ28">
    <cfRule type="expression" dxfId="385" priority="501">
      <formula>DJ20</formula>
    </cfRule>
  </conditionalFormatting>
  <conditionalFormatting sqref="DJ10:DJ16">
    <cfRule type="expression" dxfId="384" priority="499">
      <formula>DJ10</formula>
    </cfRule>
  </conditionalFormatting>
  <conditionalFormatting sqref="DJ5">
    <cfRule type="expression" dxfId="383" priority="497">
      <formula>DJ5</formula>
    </cfRule>
  </conditionalFormatting>
  <conditionalFormatting sqref="DJ6">
    <cfRule type="expression" dxfId="382" priority="496">
      <formula>DJ6</formula>
    </cfRule>
  </conditionalFormatting>
  <conditionalFormatting sqref="DL17 DL9 DL19">
    <cfRule type="expression" dxfId="381" priority="495">
      <formula>DL9</formula>
    </cfRule>
  </conditionalFormatting>
  <conditionalFormatting sqref="DL6">
    <cfRule type="expression" dxfId="380" priority="486">
      <formula>DL6</formula>
    </cfRule>
  </conditionalFormatting>
  <conditionalFormatting sqref="DL7">
    <cfRule type="expression" dxfId="379" priority="494">
      <formula>DL7</formula>
    </cfRule>
  </conditionalFormatting>
  <conditionalFormatting sqref="DL20:DL28">
    <cfRule type="expression" dxfId="378" priority="491">
      <formula>DL20</formula>
    </cfRule>
  </conditionalFormatting>
  <conditionalFormatting sqref="DL18">
    <cfRule type="expression" dxfId="377" priority="490">
      <formula>DL18</formula>
    </cfRule>
  </conditionalFormatting>
  <conditionalFormatting sqref="DL10:DL16">
    <cfRule type="expression" dxfId="376" priority="489">
      <formula>DL10</formula>
    </cfRule>
  </conditionalFormatting>
  <conditionalFormatting sqref="DN17 DN9 DN19">
    <cfRule type="expression" dxfId="375" priority="485">
      <formula>DN9</formula>
    </cfRule>
  </conditionalFormatting>
  <conditionalFormatting sqref="DN8">
    <cfRule type="expression" dxfId="374" priority="478">
      <formula>DN8</formula>
    </cfRule>
  </conditionalFormatting>
  <conditionalFormatting sqref="EH8">
    <cfRule type="expression" dxfId="373" priority="324">
      <formula>EH8</formula>
    </cfRule>
  </conditionalFormatting>
  <conditionalFormatting sqref="EH10:EH16">
    <cfRule type="expression" dxfId="372" priority="325">
      <formula>EH10</formula>
    </cfRule>
  </conditionalFormatting>
  <conditionalFormatting sqref="DN10:DN16">
    <cfRule type="expression" dxfId="371" priority="479">
      <formula>DN10</formula>
    </cfRule>
  </conditionalFormatting>
  <conditionalFormatting sqref="DN5">
    <cfRule type="expression" dxfId="370" priority="477">
      <formula>DN5</formula>
    </cfRule>
  </conditionalFormatting>
  <conditionalFormatting sqref="DN6">
    <cfRule type="expression" dxfId="369" priority="476">
      <formula>DN6</formula>
    </cfRule>
  </conditionalFormatting>
  <conditionalFormatting sqref="DP8">
    <cfRule type="expression" dxfId="368" priority="468">
      <formula>DP8</formula>
    </cfRule>
  </conditionalFormatting>
  <conditionalFormatting sqref="DP20:DP28">
    <cfRule type="expression" dxfId="367" priority="471">
      <formula>DP20</formula>
    </cfRule>
  </conditionalFormatting>
  <conditionalFormatting sqref="DP18">
    <cfRule type="expression" dxfId="366" priority="470">
      <formula>DP18</formula>
    </cfRule>
  </conditionalFormatting>
  <conditionalFormatting sqref="DP10:DP16">
    <cfRule type="expression" dxfId="365" priority="469">
      <formula>DP10</formula>
    </cfRule>
  </conditionalFormatting>
  <conditionalFormatting sqref="DP5">
    <cfRule type="expression" dxfId="364" priority="467">
      <formula>DP5</formula>
    </cfRule>
  </conditionalFormatting>
  <conditionalFormatting sqref="DX8">
    <cfRule type="expression" dxfId="363" priority="337">
      <formula>DX8</formula>
    </cfRule>
  </conditionalFormatting>
  <conditionalFormatting sqref="DZ8">
    <cfRule type="expression" dxfId="362" priority="336">
      <formula>DZ8</formula>
    </cfRule>
  </conditionalFormatting>
  <conditionalFormatting sqref="EB9">
    <cfRule type="expression" dxfId="361" priority="335">
      <formula>EB9</formula>
    </cfRule>
  </conditionalFormatting>
  <conditionalFormatting sqref="DR17 DR9 DR19">
    <cfRule type="expression" dxfId="360" priority="454">
      <formula>DR9</formula>
    </cfRule>
  </conditionalFormatting>
  <conditionalFormatting sqref="DR8">
    <cfRule type="expression" dxfId="359" priority="447">
      <formula>DR8</formula>
    </cfRule>
  </conditionalFormatting>
  <conditionalFormatting sqref="DR7">
    <cfRule type="expression" dxfId="358" priority="453">
      <formula>DR7</formula>
    </cfRule>
  </conditionalFormatting>
  <conditionalFormatting sqref="CX36:CX41">
    <cfRule type="expression" dxfId="357" priority="300">
      <formula>CX36</formula>
    </cfRule>
  </conditionalFormatting>
  <conditionalFormatting sqref="CX29:CX34">
    <cfRule type="expression" dxfId="356" priority="299">
      <formula>CX29</formula>
    </cfRule>
  </conditionalFormatting>
  <conditionalFormatting sqref="DR20:DR28">
    <cfRule type="expression" dxfId="355" priority="450">
      <formula>DR20</formula>
    </cfRule>
  </conditionalFormatting>
  <conditionalFormatting sqref="DR18">
    <cfRule type="expression" dxfId="354" priority="449">
      <formula>DR18</formula>
    </cfRule>
  </conditionalFormatting>
  <conditionalFormatting sqref="DR5">
    <cfRule type="expression" dxfId="353" priority="446">
      <formula>DR5</formula>
    </cfRule>
  </conditionalFormatting>
  <conditionalFormatting sqref="DR6">
    <cfRule type="expression" dxfId="352" priority="445">
      <formula>DR6</formula>
    </cfRule>
  </conditionalFormatting>
  <conditionalFormatting sqref="DT4">
    <cfRule type="expression" dxfId="351" priority="444">
      <formula>DT4</formula>
    </cfRule>
  </conditionalFormatting>
  <conditionalFormatting sqref="DT17 DT9 DT19">
    <cfRule type="expression" dxfId="350" priority="443">
      <formula>DT9</formula>
    </cfRule>
  </conditionalFormatting>
  <conditionalFormatting sqref="DT8">
    <cfRule type="expression" dxfId="349" priority="436">
      <formula>DT8</formula>
    </cfRule>
  </conditionalFormatting>
  <conditionalFormatting sqref="DT7">
    <cfRule type="expression" dxfId="348" priority="442">
      <formula>DT7</formula>
    </cfRule>
  </conditionalFormatting>
  <conditionalFormatting sqref="DD35">
    <cfRule type="expression" dxfId="347" priority="292">
      <formula>DD35</formula>
    </cfRule>
  </conditionalFormatting>
  <conditionalFormatting sqref="DD36:DD41">
    <cfRule type="expression" dxfId="346" priority="291">
      <formula>DD36</formula>
    </cfRule>
  </conditionalFormatting>
  <conditionalFormatting sqref="DT20:DT28">
    <cfRule type="expression" dxfId="345" priority="439">
      <formula>DT20</formula>
    </cfRule>
  </conditionalFormatting>
  <conditionalFormatting sqref="DT18">
    <cfRule type="expression" dxfId="344" priority="438">
      <formula>DT18</formula>
    </cfRule>
  </conditionalFormatting>
  <conditionalFormatting sqref="DT10:DT16">
    <cfRule type="expression" dxfId="343" priority="437">
      <formula>DT10</formula>
    </cfRule>
  </conditionalFormatting>
  <conditionalFormatting sqref="DT5">
    <cfRule type="expression" dxfId="342" priority="435">
      <formula>DT5</formula>
    </cfRule>
  </conditionalFormatting>
  <conditionalFormatting sqref="DT6">
    <cfRule type="expression" dxfId="341" priority="434">
      <formula>DT6</formula>
    </cfRule>
  </conditionalFormatting>
  <conditionalFormatting sqref="DV4">
    <cfRule type="expression" dxfId="340" priority="433">
      <formula>DV4</formula>
    </cfRule>
  </conditionalFormatting>
  <conditionalFormatting sqref="EB27:EB28">
    <cfRule type="expression" dxfId="339" priority="424">
      <formula>EB27</formula>
    </cfRule>
  </conditionalFormatting>
  <conditionalFormatting sqref="EF20:EF26">
    <cfRule type="expression" dxfId="338" priority="407">
      <formula>EF20</formula>
    </cfRule>
  </conditionalFormatting>
  <conditionalFormatting sqref="EB20:EB26">
    <cfRule type="expression" dxfId="337" priority="425">
      <formula>EB20</formula>
    </cfRule>
  </conditionalFormatting>
  <conditionalFormatting sqref="EB7 EB17 EB19">
    <cfRule type="expression" dxfId="336" priority="432">
      <formula>EB7</formula>
    </cfRule>
  </conditionalFormatting>
  <conditionalFormatting sqref="EF6">
    <cfRule type="expression" dxfId="335" priority="409">
      <formula>EF6</formula>
    </cfRule>
  </conditionalFormatting>
  <conditionalFormatting sqref="EF18">
    <cfRule type="expression" dxfId="334" priority="408">
      <formula>EF18</formula>
    </cfRule>
  </conditionalFormatting>
  <conditionalFormatting sqref="EB5">
    <cfRule type="expression" dxfId="333" priority="428">
      <formula>EB5</formula>
    </cfRule>
  </conditionalFormatting>
  <conditionalFormatting sqref="EB6">
    <cfRule type="expression" dxfId="332" priority="427">
      <formula>EB6</formula>
    </cfRule>
  </conditionalFormatting>
  <conditionalFormatting sqref="EB18">
    <cfRule type="expression" dxfId="331" priority="426">
      <formula>EB18</formula>
    </cfRule>
  </conditionalFormatting>
  <conditionalFormatting sqref="ED27:ED28">
    <cfRule type="expression" dxfId="330" priority="415">
      <formula>ED27</formula>
    </cfRule>
  </conditionalFormatting>
  <conditionalFormatting sqref="ED20:ED26">
    <cfRule type="expression" dxfId="329" priority="416">
      <formula>ED20</formula>
    </cfRule>
  </conditionalFormatting>
  <conditionalFormatting sqref="ED7 ED17 ED19">
    <cfRule type="expression" dxfId="328" priority="423">
      <formula>ED7</formula>
    </cfRule>
  </conditionalFormatting>
  <conditionalFormatting sqref="ED18">
    <cfRule type="expression" dxfId="327" priority="417">
      <formula>ED18</formula>
    </cfRule>
  </conditionalFormatting>
  <conditionalFormatting sqref="ED6">
    <cfRule type="expression" dxfId="326" priority="418">
      <formula>ED6</formula>
    </cfRule>
  </conditionalFormatting>
  <conditionalFormatting sqref="EF27:EF28">
    <cfRule type="expression" dxfId="325" priority="406">
      <formula>EF27</formula>
    </cfRule>
  </conditionalFormatting>
  <conditionalFormatting sqref="EF7 EF17 EF19">
    <cfRule type="expression" dxfId="324" priority="414">
      <formula>EF7</formula>
    </cfRule>
  </conditionalFormatting>
  <conditionalFormatting sqref="EH27:EH28">
    <cfRule type="expression" dxfId="323" priority="397">
      <formula>EH27</formula>
    </cfRule>
  </conditionalFormatting>
  <conditionalFormatting sqref="EJ7 EJ17 EJ19">
    <cfRule type="expression" dxfId="322" priority="396">
      <formula>EJ7</formula>
    </cfRule>
  </conditionalFormatting>
  <conditionalFormatting sqref="EF5">
    <cfRule type="expression" dxfId="321" priority="410">
      <formula>EF5</formula>
    </cfRule>
  </conditionalFormatting>
  <conditionalFormatting sqref="EJ20:EJ26">
    <cfRule type="expression" dxfId="320" priority="389">
      <formula>EJ20</formula>
    </cfRule>
  </conditionalFormatting>
  <conditionalFormatting sqref="EH20:EH26">
    <cfRule type="expression" dxfId="319" priority="398">
      <formula>EH20</formula>
    </cfRule>
  </conditionalFormatting>
  <conditionalFormatting sqref="EH7 EH17 EH19">
    <cfRule type="expression" dxfId="318" priority="405">
      <formula>EH7</formula>
    </cfRule>
  </conditionalFormatting>
  <conditionalFormatting sqref="EJ6">
    <cfRule type="expression" dxfId="317" priority="391">
      <formula>EJ6</formula>
    </cfRule>
  </conditionalFormatting>
  <conditionalFormatting sqref="EJ18">
    <cfRule type="expression" dxfId="316" priority="390">
      <formula>EJ18</formula>
    </cfRule>
  </conditionalFormatting>
  <conditionalFormatting sqref="EH6">
    <cfRule type="expression" dxfId="315" priority="400">
      <formula>EH6</formula>
    </cfRule>
  </conditionalFormatting>
  <conditionalFormatting sqref="EH18">
    <cfRule type="expression" dxfId="314" priority="399">
      <formula>EH18</formula>
    </cfRule>
  </conditionalFormatting>
  <conditionalFormatting sqref="EL5">
    <cfRule type="expression" dxfId="313" priority="383">
      <formula>EL5</formula>
    </cfRule>
  </conditionalFormatting>
  <conditionalFormatting sqref="EJ5">
    <cfRule type="expression" dxfId="312" priority="392">
      <formula>EJ5</formula>
    </cfRule>
  </conditionalFormatting>
  <conditionalFormatting sqref="EL27:EL28">
    <cfRule type="expression" dxfId="311" priority="379">
      <formula>EL27</formula>
    </cfRule>
  </conditionalFormatting>
  <conditionalFormatting sqref="EL6">
    <cfRule type="expression" dxfId="310" priority="382">
      <formula>EL6</formula>
    </cfRule>
  </conditionalFormatting>
  <conditionalFormatting sqref="EJ9">
    <cfRule type="expression" dxfId="309" priority="323">
      <formula>EJ9</formula>
    </cfRule>
  </conditionalFormatting>
  <conditionalFormatting sqref="EJ10:EJ16">
    <cfRule type="expression" dxfId="308" priority="322">
      <formula>EJ10</formula>
    </cfRule>
  </conditionalFormatting>
  <conditionalFormatting sqref="EJ8">
    <cfRule type="expression" dxfId="307" priority="321">
      <formula>EJ8</formula>
    </cfRule>
  </conditionalFormatting>
  <conditionalFormatting sqref="EL9">
    <cfRule type="expression" dxfId="306" priority="320">
      <formula>EL9</formula>
    </cfRule>
  </conditionalFormatting>
  <conditionalFormatting sqref="EL10:EL16">
    <cfRule type="expression" dxfId="305" priority="319">
      <formula>EL10</formula>
    </cfRule>
  </conditionalFormatting>
  <conditionalFormatting sqref="EB10:EB16">
    <cfRule type="expression" dxfId="304" priority="334">
      <formula>EB10</formula>
    </cfRule>
  </conditionalFormatting>
  <conditionalFormatting sqref="EF8">
    <cfRule type="expression" dxfId="303" priority="327">
      <formula>EF8</formula>
    </cfRule>
  </conditionalFormatting>
  <conditionalFormatting sqref="EH9">
    <cfRule type="expression" dxfId="302" priority="326">
      <formula>EH9</formula>
    </cfRule>
  </conditionalFormatting>
  <conditionalFormatting sqref="CP35">
    <cfRule type="expression" dxfId="301" priority="313">
      <formula>CP35</formula>
    </cfRule>
  </conditionalFormatting>
  <conditionalFormatting sqref="CP36:CP41">
    <cfRule type="expression" dxfId="300" priority="312">
      <formula>CP36</formula>
    </cfRule>
  </conditionalFormatting>
  <conditionalFormatting sqref="CP29:CP34">
    <cfRule type="expression" dxfId="299" priority="311">
      <formula>CP29</formula>
    </cfRule>
  </conditionalFormatting>
  <conditionalFormatting sqref="CR35">
    <cfRule type="expression" dxfId="298" priority="310">
      <formula>CR35</formula>
    </cfRule>
  </conditionalFormatting>
  <conditionalFormatting sqref="CR36:CR41">
    <cfRule type="expression" dxfId="297" priority="309">
      <formula>CR36</formula>
    </cfRule>
  </conditionalFormatting>
  <conditionalFormatting sqref="CR29:CR34">
    <cfRule type="expression" dxfId="296" priority="308">
      <formula>CR29</formula>
    </cfRule>
  </conditionalFormatting>
  <conditionalFormatting sqref="CT35">
    <cfRule type="expression" dxfId="295" priority="307">
      <formula>CT35</formula>
    </cfRule>
  </conditionalFormatting>
  <conditionalFormatting sqref="CT36:CT41">
    <cfRule type="expression" dxfId="294" priority="306">
      <formula>CT36</formula>
    </cfRule>
  </conditionalFormatting>
  <conditionalFormatting sqref="CT29:CT34">
    <cfRule type="expression" dxfId="293" priority="305">
      <formula>CT29</formula>
    </cfRule>
  </conditionalFormatting>
  <conditionalFormatting sqref="CV35">
    <cfRule type="expression" dxfId="292" priority="304">
      <formula>CV35</formula>
    </cfRule>
  </conditionalFormatting>
  <conditionalFormatting sqref="CV36:CV41">
    <cfRule type="expression" dxfId="291" priority="303">
      <formula>CV36</formula>
    </cfRule>
  </conditionalFormatting>
  <conditionalFormatting sqref="CV29:CV34">
    <cfRule type="expression" dxfId="290" priority="302">
      <formula>CV29</formula>
    </cfRule>
  </conditionalFormatting>
  <conditionalFormatting sqref="CX35">
    <cfRule type="expression" dxfId="289" priority="301">
      <formula>CX35</formula>
    </cfRule>
  </conditionalFormatting>
  <conditionalFormatting sqref="CZ35">
    <cfRule type="expression" dxfId="288" priority="298">
      <formula>CZ35</formula>
    </cfRule>
  </conditionalFormatting>
  <conditionalFormatting sqref="CZ36:CZ41">
    <cfRule type="expression" dxfId="287" priority="297">
      <formula>CZ36</formula>
    </cfRule>
  </conditionalFormatting>
  <conditionalFormatting sqref="CZ29:CZ34">
    <cfRule type="expression" dxfId="286" priority="296">
      <formula>CZ29</formula>
    </cfRule>
  </conditionalFormatting>
  <conditionalFormatting sqref="DB35">
    <cfRule type="expression" dxfId="285" priority="295">
      <formula>DB35</formula>
    </cfRule>
  </conditionalFormatting>
  <conditionalFormatting sqref="DB36:DB41">
    <cfRule type="expression" dxfId="284" priority="294">
      <formula>DB36</formula>
    </cfRule>
  </conditionalFormatting>
  <conditionalFormatting sqref="DB29:DB34">
    <cfRule type="expression" dxfId="283" priority="293">
      <formula>DB29</formula>
    </cfRule>
  </conditionalFormatting>
  <conditionalFormatting sqref="DD29:DD34">
    <cfRule type="expression" dxfId="282" priority="290">
      <formula>DD29</formula>
    </cfRule>
  </conditionalFormatting>
  <conditionalFormatting sqref="DH35">
    <cfRule type="expression" dxfId="281" priority="289">
      <formula>DH35</formula>
    </cfRule>
  </conditionalFormatting>
  <conditionalFormatting sqref="DH36:DH41">
    <cfRule type="expression" dxfId="280" priority="288">
      <formula>DH36</formula>
    </cfRule>
  </conditionalFormatting>
  <conditionalFormatting sqref="DH29:DH34">
    <cfRule type="expression" dxfId="279" priority="287">
      <formula>DH29</formula>
    </cfRule>
  </conditionalFormatting>
  <conditionalFormatting sqref="DJ35">
    <cfRule type="expression" dxfId="278" priority="286">
      <formula>DJ35</formula>
    </cfRule>
  </conditionalFormatting>
  <conditionalFormatting sqref="DJ36:DJ41">
    <cfRule type="expression" dxfId="277" priority="285">
      <formula>DJ36</formula>
    </cfRule>
  </conditionalFormatting>
  <conditionalFormatting sqref="DJ29:DJ34">
    <cfRule type="expression" dxfId="276" priority="284">
      <formula>DJ29</formula>
    </cfRule>
  </conditionalFormatting>
  <conditionalFormatting sqref="DL35">
    <cfRule type="expression" dxfId="275" priority="283">
      <formula>DL35</formula>
    </cfRule>
  </conditionalFormatting>
  <conditionalFormatting sqref="DL36:DL41">
    <cfRule type="expression" dxfId="274" priority="282">
      <formula>DL36</formula>
    </cfRule>
  </conditionalFormatting>
  <conditionalFormatting sqref="DL29:DL34">
    <cfRule type="expression" dxfId="273" priority="281">
      <formula>DL29</formula>
    </cfRule>
  </conditionalFormatting>
  <conditionalFormatting sqref="DN35">
    <cfRule type="expression" dxfId="272" priority="280">
      <formula>DN35</formula>
    </cfRule>
  </conditionalFormatting>
  <conditionalFormatting sqref="DN36:DN41">
    <cfRule type="expression" dxfId="271" priority="279">
      <formula>DN36</formula>
    </cfRule>
  </conditionalFormatting>
  <conditionalFormatting sqref="DN29:DN34">
    <cfRule type="expression" dxfId="270" priority="278">
      <formula>DN29</formula>
    </cfRule>
  </conditionalFormatting>
  <conditionalFormatting sqref="DP35">
    <cfRule type="expression" dxfId="269" priority="277">
      <formula>DP35</formula>
    </cfRule>
  </conditionalFormatting>
  <conditionalFormatting sqref="DP36:DP41">
    <cfRule type="expression" dxfId="268" priority="276">
      <formula>DP36</formula>
    </cfRule>
  </conditionalFormatting>
  <conditionalFormatting sqref="DP29:DP34">
    <cfRule type="expression" dxfId="267" priority="275">
      <formula>DP29</formula>
    </cfRule>
  </conditionalFormatting>
  <conditionalFormatting sqref="DR35">
    <cfRule type="expression" dxfId="266" priority="274">
      <formula>DR35</formula>
    </cfRule>
  </conditionalFormatting>
  <conditionalFormatting sqref="DR36:DR41">
    <cfRule type="expression" dxfId="265" priority="273">
      <formula>DR36</formula>
    </cfRule>
  </conditionalFormatting>
  <conditionalFormatting sqref="DR29:DR34">
    <cfRule type="expression" dxfId="264" priority="272">
      <formula>DR29</formula>
    </cfRule>
  </conditionalFormatting>
  <conditionalFormatting sqref="DT35">
    <cfRule type="expression" dxfId="263" priority="271">
      <formula>DT35</formula>
    </cfRule>
  </conditionalFormatting>
  <conditionalFormatting sqref="DT36:DT41">
    <cfRule type="expression" dxfId="262" priority="270">
      <formula>DT36</formula>
    </cfRule>
  </conditionalFormatting>
  <conditionalFormatting sqref="DT29:DT34">
    <cfRule type="expression" dxfId="261" priority="269">
      <formula>DT29</formula>
    </cfRule>
  </conditionalFormatting>
  <conditionalFormatting sqref="DV35">
    <cfRule type="expression" dxfId="260" priority="268">
      <formula>DV35</formula>
    </cfRule>
  </conditionalFormatting>
  <conditionalFormatting sqref="DV36:DV41">
    <cfRule type="expression" dxfId="259" priority="267">
      <formula>DV36</formula>
    </cfRule>
  </conditionalFormatting>
  <conditionalFormatting sqref="DV29:DV34">
    <cfRule type="expression" dxfId="258" priority="266">
      <formula>DV29</formula>
    </cfRule>
  </conditionalFormatting>
  <conditionalFormatting sqref="DX35">
    <cfRule type="expression" dxfId="257" priority="265">
      <formula>DX35</formula>
    </cfRule>
  </conditionalFormatting>
  <conditionalFormatting sqref="DX36:DX41">
    <cfRule type="expression" dxfId="256" priority="264">
      <formula>DX36</formula>
    </cfRule>
  </conditionalFormatting>
  <conditionalFormatting sqref="DX29:DX34">
    <cfRule type="expression" dxfId="255" priority="263">
      <formula>DX29</formula>
    </cfRule>
  </conditionalFormatting>
  <conditionalFormatting sqref="DZ35">
    <cfRule type="expression" dxfId="254" priority="262">
      <formula>DZ35</formula>
    </cfRule>
  </conditionalFormatting>
  <conditionalFormatting sqref="DZ36:DZ41">
    <cfRule type="expression" dxfId="253" priority="261">
      <formula>DZ36</formula>
    </cfRule>
  </conditionalFormatting>
  <conditionalFormatting sqref="DZ29:DZ34">
    <cfRule type="expression" dxfId="252" priority="260">
      <formula>DZ29</formula>
    </cfRule>
  </conditionalFormatting>
  <conditionalFormatting sqref="EB35">
    <cfRule type="expression" dxfId="251" priority="259">
      <formula>EB35</formula>
    </cfRule>
  </conditionalFormatting>
  <conditionalFormatting sqref="EB36:EB41">
    <cfRule type="expression" dxfId="250" priority="258">
      <formula>EB36</formula>
    </cfRule>
  </conditionalFormatting>
  <conditionalFormatting sqref="EB29:EB34">
    <cfRule type="expression" dxfId="249" priority="257">
      <formula>EB29</formula>
    </cfRule>
  </conditionalFormatting>
  <conditionalFormatting sqref="ED35">
    <cfRule type="expression" dxfId="248" priority="256">
      <formula>ED35</formula>
    </cfRule>
  </conditionalFormatting>
  <conditionalFormatting sqref="ED36:ED41">
    <cfRule type="expression" dxfId="247" priority="255">
      <formula>ED36</formula>
    </cfRule>
  </conditionalFormatting>
  <conditionalFormatting sqref="ED29:ED34">
    <cfRule type="expression" dxfId="246" priority="254">
      <formula>ED29</formula>
    </cfRule>
  </conditionalFormatting>
  <conditionalFormatting sqref="EF35">
    <cfRule type="expression" dxfId="245" priority="253">
      <formula>EF35</formula>
    </cfRule>
  </conditionalFormatting>
  <conditionalFormatting sqref="EF36:EF41">
    <cfRule type="expression" dxfId="244" priority="252">
      <formula>EF36</formula>
    </cfRule>
  </conditionalFormatting>
  <conditionalFormatting sqref="EF29:EF34">
    <cfRule type="expression" dxfId="243" priority="251">
      <formula>EF29</formula>
    </cfRule>
  </conditionalFormatting>
  <conditionalFormatting sqref="EH35">
    <cfRule type="expression" dxfId="242" priority="250">
      <formula>EH35</formula>
    </cfRule>
  </conditionalFormatting>
  <conditionalFormatting sqref="EH36:EH41">
    <cfRule type="expression" dxfId="241" priority="249">
      <formula>EH36</formula>
    </cfRule>
  </conditionalFormatting>
  <conditionalFormatting sqref="EH29:EH34">
    <cfRule type="expression" dxfId="240" priority="248">
      <formula>EH29</formula>
    </cfRule>
  </conditionalFormatting>
  <conditionalFormatting sqref="EJ35">
    <cfRule type="expression" dxfId="239" priority="247">
      <formula>EJ35</formula>
    </cfRule>
  </conditionalFormatting>
  <conditionalFormatting sqref="EJ36:EJ41">
    <cfRule type="expression" dxfId="238" priority="246">
      <formula>EJ36</formula>
    </cfRule>
  </conditionalFormatting>
  <conditionalFormatting sqref="EJ29:EJ34">
    <cfRule type="expression" dxfId="237" priority="245">
      <formula>EJ29</formula>
    </cfRule>
  </conditionalFormatting>
  <conditionalFormatting sqref="EL35">
    <cfRule type="expression" dxfId="236" priority="244">
      <formula>EL35</formula>
    </cfRule>
  </conditionalFormatting>
  <conditionalFormatting sqref="EL36:EL41">
    <cfRule type="expression" dxfId="235" priority="243">
      <formula>EL36</formula>
    </cfRule>
  </conditionalFormatting>
  <conditionalFormatting sqref="EL29:EL34">
    <cfRule type="expression" dxfId="234" priority="242">
      <formula>EL29</formula>
    </cfRule>
  </conditionalFormatting>
  <conditionalFormatting sqref="CO7">
    <cfRule type="expression" dxfId="233" priority="241">
      <formula>CO7</formula>
    </cfRule>
  </conditionalFormatting>
  <conditionalFormatting sqref="CO17">
    <cfRule type="expression" dxfId="232" priority="240">
      <formula>CO17</formula>
    </cfRule>
  </conditionalFormatting>
  <conditionalFormatting sqref="CO19">
    <cfRule type="expression" dxfId="231" priority="239">
      <formula>CO19</formula>
    </cfRule>
  </conditionalFormatting>
  <conditionalFormatting sqref="CO35">
    <cfRule type="expression" dxfId="230" priority="238">
      <formula>CO35</formula>
    </cfRule>
  </conditionalFormatting>
  <conditionalFormatting sqref="CU7">
    <cfRule type="expression" dxfId="229" priority="229">
      <formula>CU7</formula>
    </cfRule>
  </conditionalFormatting>
  <conditionalFormatting sqref="CU17">
    <cfRule type="expression" dxfId="228" priority="228">
      <formula>CU17</formula>
    </cfRule>
  </conditionalFormatting>
  <conditionalFormatting sqref="CU19">
    <cfRule type="expression" dxfId="227" priority="227">
      <formula>CU19</formula>
    </cfRule>
  </conditionalFormatting>
  <conditionalFormatting sqref="CW7">
    <cfRule type="expression" dxfId="226" priority="226">
      <formula>CW7</formula>
    </cfRule>
  </conditionalFormatting>
  <conditionalFormatting sqref="CY7">
    <cfRule type="expression" dxfId="225" priority="225">
      <formula>CY7</formula>
    </cfRule>
  </conditionalFormatting>
  <conditionalFormatting sqref="CY9">
    <cfRule type="expression" dxfId="224" priority="224">
      <formula>CY9</formula>
    </cfRule>
  </conditionalFormatting>
  <conditionalFormatting sqref="CW9">
    <cfRule type="expression" dxfId="223" priority="223">
      <formula>CW9</formula>
    </cfRule>
  </conditionalFormatting>
  <conditionalFormatting sqref="CU9">
    <cfRule type="expression" dxfId="222" priority="222">
      <formula>CU9</formula>
    </cfRule>
  </conditionalFormatting>
  <conditionalFormatting sqref="CW17">
    <cfRule type="expression" dxfId="221" priority="219">
      <formula>CW17</formula>
    </cfRule>
  </conditionalFormatting>
  <conditionalFormatting sqref="CY17">
    <cfRule type="expression" dxfId="220" priority="218">
      <formula>CY17</formula>
    </cfRule>
  </conditionalFormatting>
  <conditionalFormatting sqref="CW19">
    <cfRule type="expression" dxfId="219" priority="217">
      <formula>CW19</formula>
    </cfRule>
  </conditionalFormatting>
  <conditionalFormatting sqref="CY19">
    <cfRule type="expression" dxfId="218" priority="216">
      <formula>CY19</formula>
    </cfRule>
  </conditionalFormatting>
  <conditionalFormatting sqref="CU35">
    <cfRule type="expression" dxfId="217" priority="215">
      <formula>CU35</formula>
    </cfRule>
  </conditionalFormatting>
  <conditionalFormatting sqref="CY35">
    <cfRule type="expression" dxfId="216" priority="214">
      <formula>CY35</formula>
    </cfRule>
  </conditionalFormatting>
  <conditionalFormatting sqref="CW35">
    <cfRule type="expression" dxfId="215" priority="213">
      <formula>CW35</formula>
    </cfRule>
  </conditionalFormatting>
  <conditionalFormatting sqref="DA7">
    <cfRule type="expression" dxfId="214" priority="212">
      <formula>DA7</formula>
    </cfRule>
  </conditionalFormatting>
  <conditionalFormatting sqref="DA9">
    <cfRule type="expression" dxfId="213" priority="211">
      <formula>DA9</formula>
    </cfRule>
  </conditionalFormatting>
  <conditionalFormatting sqref="DC7">
    <cfRule type="expression" dxfId="212" priority="210">
      <formula>DC7</formula>
    </cfRule>
  </conditionalFormatting>
  <conditionalFormatting sqref="DC9">
    <cfRule type="expression" dxfId="211" priority="209">
      <formula>DC9</formula>
    </cfRule>
  </conditionalFormatting>
  <conditionalFormatting sqref="DE7">
    <cfRule type="expression" dxfId="210" priority="208">
      <formula>DE7</formula>
    </cfRule>
  </conditionalFormatting>
  <conditionalFormatting sqref="DE9">
    <cfRule type="expression" dxfId="209" priority="207">
      <formula>DE9</formula>
    </cfRule>
  </conditionalFormatting>
  <conditionalFormatting sqref="DA17">
    <cfRule type="expression" dxfId="208" priority="206">
      <formula>DA17</formula>
    </cfRule>
  </conditionalFormatting>
  <conditionalFormatting sqref="DC17">
    <cfRule type="expression" dxfId="207" priority="205">
      <formula>DC17</formula>
    </cfRule>
  </conditionalFormatting>
  <conditionalFormatting sqref="DE17">
    <cfRule type="expression" dxfId="206" priority="204">
      <formula>DE17</formula>
    </cfRule>
  </conditionalFormatting>
  <conditionalFormatting sqref="DE19">
    <cfRule type="expression" dxfId="205" priority="203">
      <formula>DE19</formula>
    </cfRule>
  </conditionalFormatting>
  <conditionalFormatting sqref="DC19">
    <cfRule type="expression" dxfId="204" priority="202">
      <formula>DC19</formula>
    </cfRule>
  </conditionalFormatting>
  <conditionalFormatting sqref="DA19">
    <cfRule type="expression" dxfId="203" priority="201">
      <formula>DA19</formula>
    </cfRule>
  </conditionalFormatting>
  <conditionalFormatting sqref="DA35">
    <cfRule type="expression" dxfId="202" priority="200">
      <formula>DA35</formula>
    </cfRule>
  </conditionalFormatting>
  <conditionalFormatting sqref="DC35">
    <cfRule type="expression" dxfId="201" priority="199">
      <formula>DC35</formula>
    </cfRule>
  </conditionalFormatting>
  <conditionalFormatting sqref="DE35">
    <cfRule type="expression" dxfId="200" priority="198">
      <formula>DE35</formula>
    </cfRule>
  </conditionalFormatting>
  <conditionalFormatting sqref="DI7">
    <cfRule type="expression" dxfId="199" priority="197">
      <formula>DI7</formula>
    </cfRule>
  </conditionalFormatting>
  <conditionalFormatting sqref="DK7">
    <cfRule type="expression" dxfId="198" priority="196">
      <formula>DK7</formula>
    </cfRule>
  </conditionalFormatting>
  <conditionalFormatting sqref="DM7">
    <cfRule type="expression" dxfId="197" priority="195">
      <formula>DM7</formula>
    </cfRule>
  </conditionalFormatting>
  <conditionalFormatting sqref="DI9">
    <cfRule type="expression" dxfId="196" priority="194">
      <formula>DI9</formula>
    </cfRule>
  </conditionalFormatting>
  <conditionalFormatting sqref="DK9">
    <cfRule type="expression" dxfId="195" priority="193">
      <formula>DK9</formula>
    </cfRule>
  </conditionalFormatting>
  <conditionalFormatting sqref="DM9">
    <cfRule type="expression" dxfId="194" priority="192">
      <formula>DM9</formula>
    </cfRule>
  </conditionalFormatting>
  <conditionalFormatting sqref="DI17">
    <cfRule type="expression" dxfId="193" priority="191">
      <formula>DI17</formula>
    </cfRule>
  </conditionalFormatting>
  <conditionalFormatting sqref="DI19">
    <cfRule type="expression" dxfId="192" priority="190">
      <formula>DI19</formula>
    </cfRule>
  </conditionalFormatting>
  <conditionalFormatting sqref="DK17">
    <cfRule type="expression" dxfId="191" priority="189">
      <formula>DK17</formula>
    </cfRule>
  </conditionalFormatting>
  <conditionalFormatting sqref="DK19">
    <cfRule type="expression" dxfId="190" priority="188">
      <formula>DK19</formula>
    </cfRule>
  </conditionalFormatting>
  <conditionalFormatting sqref="DM17">
    <cfRule type="expression" dxfId="189" priority="187">
      <formula>DM17</formula>
    </cfRule>
  </conditionalFormatting>
  <conditionalFormatting sqref="DM19">
    <cfRule type="expression" dxfId="188" priority="186">
      <formula>DM19</formula>
    </cfRule>
  </conditionalFormatting>
  <conditionalFormatting sqref="DI35">
    <cfRule type="expression" dxfId="187" priority="185">
      <formula>DI35</formula>
    </cfRule>
  </conditionalFormatting>
  <conditionalFormatting sqref="DK35">
    <cfRule type="expression" dxfId="186" priority="184">
      <formula>DK35</formula>
    </cfRule>
  </conditionalFormatting>
  <conditionalFormatting sqref="DM35">
    <cfRule type="expression" dxfId="185" priority="183">
      <formula>DM35</formula>
    </cfRule>
  </conditionalFormatting>
  <conditionalFormatting sqref="DO7">
    <cfRule type="expression" dxfId="184" priority="182">
      <formula>DO7</formula>
    </cfRule>
  </conditionalFormatting>
  <conditionalFormatting sqref="DQ7">
    <cfRule type="expression" dxfId="183" priority="181">
      <formula>DQ7</formula>
    </cfRule>
  </conditionalFormatting>
  <conditionalFormatting sqref="DS7">
    <cfRule type="expression" dxfId="182" priority="180">
      <formula>DS7</formula>
    </cfRule>
  </conditionalFormatting>
  <conditionalFormatting sqref="DS9">
    <cfRule type="expression" dxfId="181" priority="179">
      <formula>DS9</formula>
    </cfRule>
  </conditionalFormatting>
  <conditionalFormatting sqref="DQ9">
    <cfRule type="expression" dxfId="180" priority="178">
      <formula>DQ9</formula>
    </cfRule>
  </conditionalFormatting>
  <conditionalFormatting sqref="DO9">
    <cfRule type="expression" dxfId="179" priority="177">
      <formula>DO9</formula>
    </cfRule>
  </conditionalFormatting>
  <conditionalFormatting sqref="DO17">
    <cfRule type="expression" dxfId="178" priority="176">
      <formula>DO17</formula>
    </cfRule>
  </conditionalFormatting>
  <conditionalFormatting sqref="DO19">
    <cfRule type="expression" dxfId="177" priority="175">
      <formula>DO19</formula>
    </cfRule>
  </conditionalFormatting>
  <conditionalFormatting sqref="DQ17">
    <cfRule type="expression" dxfId="176" priority="174">
      <formula>DQ17</formula>
    </cfRule>
  </conditionalFormatting>
  <conditionalFormatting sqref="DQ19">
    <cfRule type="expression" dxfId="175" priority="173">
      <formula>DQ19</formula>
    </cfRule>
  </conditionalFormatting>
  <conditionalFormatting sqref="DS17">
    <cfRule type="expression" dxfId="174" priority="172">
      <formula>DS17</formula>
    </cfRule>
  </conditionalFormatting>
  <conditionalFormatting sqref="DS19">
    <cfRule type="expression" dxfId="173" priority="171">
      <formula>DS19</formula>
    </cfRule>
  </conditionalFormatting>
  <conditionalFormatting sqref="DO35">
    <cfRule type="expression" dxfId="172" priority="170">
      <formula>DO35</formula>
    </cfRule>
  </conditionalFormatting>
  <conditionalFormatting sqref="DQ35">
    <cfRule type="expression" dxfId="171" priority="169">
      <formula>DQ35</formula>
    </cfRule>
  </conditionalFormatting>
  <conditionalFormatting sqref="DS35">
    <cfRule type="expression" dxfId="170" priority="168">
      <formula>DS35</formula>
    </cfRule>
  </conditionalFormatting>
  <conditionalFormatting sqref="DU7">
    <cfRule type="expression" dxfId="169" priority="167">
      <formula>DU7</formula>
    </cfRule>
  </conditionalFormatting>
  <conditionalFormatting sqref="DY7">
    <cfRule type="expression" dxfId="168" priority="166">
      <formula>DY7</formula>
    </cfRule>
  </conditionalFormatting>
  <conditionalFormatting sqref="DY9">
    <cfRule type="expression" dxfId="167" priority="165">
      <formula>DY9</formula>
    </cfRule>
  </conditionalFormatting>
  <conditionalFormatting sqref="DW9">
    <cfRule type="expression" dxfId="166" priority="164">
      <formula>DW9</formula>
    </cfRule>
  </conditionalFormatting>
  <conditionalFormatting sqref="DU9">
    <cfRule type="expression" dxfId="165" priority="163">
      <formula>DU9</formula>
    </cfRule>
  </conditionalFormatting>
  <conditionalFormatting sqref="DU17">
    <cfRule type="expression" dxfId="164" priority="162">
      <formula>DU17</formula>
    </cfRule>
  </conditionalFormatting>
  <conditionalFormatting sqref="DU19">
    <cfRule type="expression" dxfId="163" priority="161">
      <formula>DU19</formula>
    </cfRule>
  </conditionalFormatting>
  <conditionalFormatting sqref="DW17">
    <cfRule type="expression" dxfId="162" priority="160">
      <formula>DW17</formula>
    </cfRule>
  </conditionalFormatting>
  <conditionalFormatting sqref="DW19">
    <cfRule type="expression" dxfId="161" priority="159">
      <formula>DW19</formula>
    </cfRule>
  </conditionalFormatting>
  <conditionalFormatting sqref="DY17">
    <cfRule type="expression" dxfId="160" priority="158">
      <formula>DY17</formula>
    </cfRule>
  </conditionalFormatting>
  <conditionalFormatting sqref="DY19">
    <cfRule type="expression" dxfId="159" priority="157">
      <formula>DY19</formula>
    </cfRule>
  </conditionalFormatting>
  <conditionalFormatting sqref="DY35">
    <cfRule type="expression" dxfId="158" priority="156">
      <formula>DY35</formula>
    </cfRule>
  </conditionalFormatting>
  <conditionalFormatting sqref="DW35">
    <cfRule type="expression" dxfId="157" priority="155">
      <formula>DW35</formula>
    </cfRule>
  </conditionalFormatting>
  <conditionalFormatting sqref="DU35">
    <cfRule type="expression" dxfId="156" priority="154">
      <formula>DU35</formula>
    </cfRule>
  </conditionalFormatting>
  <conditionalFormatting sqref="DW7">
    <cfRule type="expression" dxfId="155" priority="153">
      <formula>DW7</formula>
    </cfRule>
  </conditionalFormatting>
  <conditionalFormatting sqref="EA7">
    <cfRule type="expression" dxfId="154" priority="152">
      <formula>EA7</formula>
    </cfRule>
  </conditionalFormatting>
  <conditionalFormatting sqref="EA9">
    <cfRule type="expression" dxfId="153" priority="151">
      <formula>EA9</formula>
    </cfRule>
  </conditionalFormatting>
  <conditionalFormatting sqref="EA17">
    <cfRule type="expression" dxfId="152" priority="150">
      <formula>EA17</formula>
    </cfRule>
  </conditionalFormatting>
  <conditionalFormatting sqref="EA19">
    <cfRule type="expression" dxfId="151" priority="149">
      <formula>EA19</formula>
    </cfRule>
  </conditionalFormatting>
  <conditionalFormatting sqref="EA35">
    <cfRule type="expression" dxfId="150" priority="148">
      <formula>EA35</formula>
    </cfRule>
  </conditionalFormatting>
  <conditionalFormatting sqref="EC35">
    <cfRule type="expression" dxfId="149" priority="147">
      <formula>EC35</formula>
    </cfRule>
  </conditionalFormatting>
  <conditionalFormatting sqref="EE35">
    <cfRule type="expression" dxfId="148" priority="146">
      <formula>EE35</formula>
    </cfRule>
  </conditionalFormatting>
  <conditionalFormatting sqref="EC19">
    <cfRule type="expression" dxfId="147" priority="145">
      <formula>EC19</formula>
    </cfRule>
  </conditionalFormatting>
  <conditionalFormatting sqref="EC17">
    <cfRule type="expression" dxfId="146" priority="144">
      <formula>EC17</formula>
    </cfRule>
  </conditionalFormatting>
  <conditionalFormatting sqref="EE17">
    <cfRule type="expression" dxfId="145" priority="143">
      <formula>EE17</formula>
    </cfRule>
  </conditionalFormatting>
  <conditionalFormatting sqref="EE19">
    <cfRule type="expression" dxfId="144" priority="142">
      <formula>EE19</formula>
    </cfRule>
  </conditionalFormatting>
  <conditionalFormatting sqref="EC9">
    <cfRule type="expression" dxfId="143" priority="141">
      <formula>EC9</formula>
    </cfRule>
  </conditionalFormatting>
  <conditionalFormatting sqref="EE9">
    <cfRule type="expression" dxfId="142" priority="140">
      <formula>EE9</formula>
    </cfRule>
  </conditionalFormatting>
  <conditionalFormatting sqref="EC7">
    <cfRule type="expression" dxfId="141" priority="139">
      <formula>EC7</formula>
    </cfRule>
  </conditionalFormatting>
  <conditionalFormatting sqref="EE7">
    <cfRule type="expression" dxfId="140" priority="138">
      <formula>EE7</formula>
    </cfRule>
  </conditionalFormatting>
  <conditionalFormatting sqref="EG7">
    <cfRule type="expression" dxfId="139" priority="137">
      <formula>EG7</formula>
    </cfRule>
  </conditionalFormatting>
  <conditionalFormatting sqref="EI7">
    <cfRule type="expression" dxfId="138" priority="136">
      <formula>EI7</formula>
    </cfRule>
  </conditionalFormatting>
  <conditionalFormatting sqref="EK7">
    <cfRule type="expression" dxfId="137" priority="135">
      <formula>EK7</formula>
    </cfRule>
  </conditionalFormatting>
  <conditionalFormatting sqref="EG17">
    <cfRule type="expression" dxfId="136" priority="134">
      <formula>EG17</formula>
    </cfRule>
  </conditionalFormatting>
  <conditionalFormatting sqref="EG9">
    <cfRule type="expression" dxfId="135" priority="133">
      <formula>EG9</formula>
    </cfRule>
  </conditionalFormatting>
  <conditionalFormatting sqref="EI9">
    <cfRule type="expression" dxfId="134" priority="132">
      <formula>EI9</formula>
    </cfRule>
  </conditionalFormatting>
  <conditionalFormatting sqref="EI17">
    <cfRule type="expression" dxfId="133" priority="131">
      <formula>EI17</formula>
    </cfRule>
  </conditionalFormatting>
  <conditionalFormatting sqref="EI19">
    <cfRule type="expression" dxfId="132" priority="130">
      <formula>EI19</formula>
    </cfRule>
  </conditionalFormatting>
  <conditionalFormatting sqref="EG19">
    <cfRule type="expression" dxfId="131" priority="129">
      <formula>EG19</formula>
    </cfRule>
  </conditionalFormatting>
  <conditionalFormatting sqref="EK9">
    <cfRule type="expression" dxfId="130" priority="128">
      <formula>EK9</formula>
    </cfRule>
  </conditionalFormatting>
  <conditionalFormatting sqref="EK17">
    <cfRule type="expression" dxfId="129" priority="127">
      <formula>EK17</formula>
    </cfRule>
  </conditionalFormatting>
  <conditionalFormatting sqref="EK19">
    <cfRule type="expression" dxfId="128" priority="126">
      <formula>EK19</formula>
    </cfRule>
  </conditionalFormatting>
  <conditionalFormatting sqref="EG35">
    <cfRule type="expression" dxfId="127" priority="125">
      <formula>EG35</formula>
    </cfRule>
  </conditionalFormatting>
  <conditionalFormatting sqref="EI35">
    <cfRule type="expression" dxfId="126" priority="124">
      <formula>EI35</formula>
    </cfRule>
  </conditionalFormatting>
  <conditionalFormatting sqref="EK35">
    <cfRule type="expression" dxfId="125" priority="123">
      <formula>EK35</formula>
    </cfRule>
  </conditionalFormatting>
  <conditionalFormatting sqref="BY2">
    <cfRule type="expression" dxfId="124" priority="122">
      <formula>BY2</formula>
    </cfRule>
  </conditionalFormatting>
  <conditionalFormatting sqref="BY4:CJ4">
    <cfRule type="expression" dxfId="123" priority="121">
      <formula>BY4</formula>
    </cfRule>
  </conditionalFormatting>
  <conditionalFormatting sqref="BY7:CA7 BY9:CA9 BY17:CA17 BY19:CA19 BY35:CA35">
    <cfRule type="expression" dxfId="122" priority="120">
      <formula>BY7</formula>
    </cfRule>
  </conditionalFormatting>
  <conditionalFormatting sqref="EN4">
    <cfRule type="expression" dxfId="121" priority="119">
      <formula>EN4</formula>
    </cfRule>
  </conditionalFormatting>
  <conditionalFormatting sqref="EN8">
    <cfRule type="expression" dxfId="120" priority="110">
      <formula>EN8</formula>
    </cfRule>
  </conditionalFormatting>
  <conditionalFormatting sqref="EN7 EN17 EN19">
    <cfRule type="expression" dxfId="119" priority="118">
      <formula>EN7</formula>
    </cfRule>
  </conditionalFormatting>
  <conditionalFormatting sqref="EN18">
    <cfRule type="expression" dxfId="118" priority="115">
      <formula>EN18</formula>
    </cfRule>
  </conditionalFormatting>
  <conditionalFormatting sqref="EN20:EN26">
    <cfRule type="expression" dxfId="117" priority="114">
      <formula>EN20</formula>
    </cfRule>
  </conditionalFormatting>
  <conditionalFormatting sqref="EN5">
    <cfRule type="expression" dxfId="116" priority="117">
      <formula>EN5</formula>
    </cfRule>
  </conditionalFormatting>
  <conditionalFormatting sqref="EN27:EN28">
    <cfRule type="expression" dxfId="115" priority="113">
      <formula>EN27</formula>
    </cfRule>
  </conditionalFormatting>
  <conditionalFormatting sqref="EN6">
    <cfRule type="expression" dxfId="114" priority="116">
      <formula>EN6</formula>
    </cfRule>
  </conditionalFormatting>
  <conditionalFormatting sqref="EN9">
    <cfRule type="expression" dxfId="113" priority="112">
      <formula>EN9</formula>
    </cfRule>
  </conditionalFormatting>
  <conditionalFormatting sqref="EN10:EN16">
    <cfRule type="expression" dxfId="112" priority="111">
      <formula>EN10</formula>
    </cfRule>
  </conditionalFormatting>
  <conditionalFormatting sqref="EN35">
    <cfRule type="expression" dxfId="111" priority="109">
      <formula>EN35</formula>
    </cfRule>
  </conditionalFormatting>
  <conditionalFormatting sqref="EN36:EN41">
    <cfRule type="expression" dxfId="110" priority="108">
      <formula>EN36</formula>
    </cfRule>
  </conditionalFormatting>
  <conditionalFormatting sqref="EN29:EN34">
    <cfRule type="expression" dxfId="109" priority="107">
      <formula>EN29</formula>
    </cfRule>
  </conditionalFormatting>
  <conditionalFormatting sqref="EM7">
    <cfRule type="expression" dxfId="108" priority="106">
      <formula>EM7</formula>
    </cfRule>
  </conditionalFormatting>
  <conditionalFormatting sqref="EM9">
    <cfRule type="expression" dxfId="107" priority="105">
      <formula>EM9</formula>
    </cfRule>
  </conditionalFormatting>
  <conditionalFormatting sqref="EM17">
    <cfRule type="expression" dxfId="106" priority="104">
      <formula>EM17</formula>
    </cfRule>
  </conditionalFormatting>
  <conditionalFormatting sqref="EM19">
    <cfRule type="expression" dxfId="105" priority="103">
      <formula>EM19</formula>
    </cfRule>
  </conditionalFormatting>
  <conditionalFormatting sqref="EM35">
    <cfRule type="expression" dxfId="104" priority="102">
      <formula>EM35</formula>
    </cfRule>
  </conditionalFormatting>
  <conditionalFormatting sqref="EO35">
    <cfRule type="expression" dxfId="103" priority="101">
      <formula>EO35</formula>
    </cfRule>
  </conditionalFormatting>
  <conditionalFormatting sqref="EO19">
    <cfRule type="expression" dxfId="102" priority="100">
      <formula>EO19</formula>
    </cfRule>
  </conditionalFormatting>
  <conditionalFormatting sqref="EO17">
    <cfRule type="expression" dxfId="101" priority="99">
      <formula>EO17</formula>
    </cfRule>
  </conditionalFormatting>
  <conditionalFormatting sqref="EO9">
    <cfRule type="expression" dxfId="100" priority="98">
      <formula>EO9</formula>
    </cfRule>
  </conditionalFormatting>
  <conditionalFormatting sqref="EO7">
    <cfRule type="expression" dxfId="99" priority="97">
      <formula>EO7</formula>
    </cfRule>
  </conditionalFormatting>
  <conditionalFormatting sqref="EP4">
    <cfRule type="expression" dxfId="98" priority="91">
      <formula>EP4</formula>
    </cfRule>
  </conditionalFormatting>
  <conditionalFormatting sqref="ER4">
    <cfRule type="expression" dxfId="97" priority="90">
      <formula>ER4</formula>
    </cfRule>
  </conditionalFormatting>
  <conditionalFormatting sqref="ET4">
    <cfRule type="expression" dxfId="96" priority="89">
      <formula>ET4</formula>
    </cfRule>
  </conditionalFormatting>
  <conditionalFormatting sqref="EP27:EP28">
    <cfRule type="expression" dxfId="95" priority="83">
      <formula>EP27</formula>
    </cfRule>
  </conditionalFormatting>
  <conditionalFormatting sqref="EP7 EP17 EP19">
    <cfRule type="expression" dxfId="94" priority="88">
      <formula>EP7</formula>
    </cfRule>
  </conditionalFormatting>
  <conditionalFormatting sqref="EP20:EP26">
    <cfRule type="expression" dxfId="93" priority="84">
      <formula>EP20</formula>
    </cfRule>
  </conditionalFormatting>
  <conditionalFormatting sqref="EP6">
    <cfRule type="expression" dxfId="92" priority="86">
      <formula>EP6</formula>
    </cfRule>
  </conditionalFormatting>
  <conditionalFormatting sqref="EP18">
    <cfRule type="expression" dxfId="91" priority="85">
      <formula>EP18</formula>
    </cfRule>
  </conditionalFormatting>
  <conditionalFormatting sqref="EP5">
    <cfRule type="expression" dxfId="90" priority="87">
      <formula>EP5</formula>
    </cfRule>
  </conditionalFormatting>
  <conditionalFormatting sqref="EP9">
    <cfRule type="expression" dxfId="89" priority="82">
      <formula>EP9</formula>
    </cfRule>
  </conditionalFormatting>
  <conditionalFormatting sqref="EP10:EP16">
    <cfRule type="expression" dxfId="88" priority="81">
      <formula>EP10</formula>
    </cfRule>
  </conditionalFormatting>
  <conditionalFormatting sqref="EP8">
    <cfRule type="expression" dxfId="87" priority="80">
      <formula>EP8</formula>
    </cfRule>
  </conditionalFormatting>
  <conditionalFormatting sqref="EP35">
    <cfRule type="expression" dxfId="86" priority="79">
      <formula>EP35</formula>
    </cfRule>
  </conditionalFormatting>
  <conditionalFormatting sqref="EP36:EP41">
    <cfRule type="expression" dxfId="85" priority="78">
      <formula>EP36</formula>
    </cfRule>
  </conditionalFormatting>
  <conditionalFormatting sqref="EP29:EP34">
    <cfRule type="expression" dxfId="84" priority="77">
      <formula>EP29</formula>
    </cfRule>
  </conditionalFormatting>
  <conditionalFormatting sqref="ER27:ER28">
    <cfRule type="expression" dxfId="83" priority="71">
      <formula>ER27</formula>
    </cfRule>
  </conditionalFormatting>
  <conditionalFormatting sqref="ER7 ER17 ER19">
    <cfRule type="expression" dxfId="82" priority="76">
      <formula>ER7</formula>
    </cfRule>
  </conditionalFormatting>
  <conditionalFormatting sqref="ER20:ER26">
    <cfRule type="expression" dxfId="81" priority="72">
      <formula>ER20</formula>
    </cfRule>
  </conditionalFormatting>
  <conditionalFormatting sqref="ER6">
    <cfRule type="expression" dxfId="80" priority="74">
      <formula>ER6</formula>
    </cfRule>
  </conditionalFormatting>
  <conditionalFormatting sqref="ER18">
    <cfRule type="expression" dxfId="79" priority="73">
      <formula>ER18</formula>
    </cfRule>
  </conditionalFormatting>
  <conditionalFormatting sqref="ER5">
    <cfRule type="expression" dxfId="78" priority="75">
      <formula>ER5</formula>
    </cfRule>
  </conditionalFormatting>
  <conditionalFormatting sqref="ER9:EU9">
    <cfRule type="expression" dxfId="77" priority="70">
      <formula>ER9</formula>
    </cfRule>
  </conditionalFormatting>
  <conditionalFormatting sqref="ER10:ER16">
    <cfRule type="expression" dxfId="76" priority="69">
      <formula>ER10</formula>
    </cfRule>
  </conditionalFormatting>
  <conditionalFormatting sqref="ER8">
    <cfRule type="expression" dxfId="75" priority="68">
      <formula>ER8</formula>
    </cfRule>
  </conditionalFormatting>
  <conditionalFormatting sqref="ER35">
    <cfRule type="expression" dxfId="74" priority="67">
      <formula>ER35</formula>
    </cfRule>
  </conditionalFormatting>
  <conditionalFormatting sqref="ER36:ER41">
    <cfRule type="expression" dxfId="73" priority="66">
      <formula>ER36</formula>
    </cfRule>
  </conditionalFormatting>
  <conditionalFormatting sqref="ER29:ER34">
    <cfRule type="expression" dxfId="72" priority="65">
      <formula>ER29</formula>
    </cfRule>
  </conditionalFormatting>
  <conditionalFormatting sqref="ET27:ET28">
    <cfRule type="expression" dxfId="71" priority="59">
      <formula>ET27</formula>
    </cfRule>
  </conditionalFormatting>
  <conditionalFormatting sqref="ET7 ET17 ET19">
    <cfRule type="expression" dxfId="70" priority="64">
      <formula>ET7</formula>
    </cfRule>
  </conditionalFormatting>
  <conditionalFormatting sqref="ET20:ET26">
    <cfRule type="expression" dxfId="69" priority="60">
      <formula>ET20</formula>
    </cfRule>
  </conditionalFormatting>
  <conditionalFormatting sqref="ET6">
    <cfRule type="expression" dxfId="68" priority="62">
      <formula>ET6</formula>
    </cfRule>
  </conditionalFormatting>
  <conditionalFormatting sqref="ET18">
    <cfRule type="expression" dxfId="67" priority="61">
      <formula>ET18</formula>
    </cfRule>
  </conditionalFormatting>
  <conditionalFormatting sqref="ET5">
    <cfRule type="expression" dxfId="66" priority="63">
      <formula>ET5</formula>
    </cfRule>
  </conditionalFormatting>
  <conditionalFormatting sqref="ET10:ET16">
    <cfRule type="expression" dxfId="65" priority="57">
      <formula>ET10</formula>
    </cfRule>
  </conditionalFormatting>
  <conditionalFormatting sqref="ET8">
    <cfRule type="expression" dxfId="64" priority="56">
      <formula>ET8</formula>
    </cfRule>
  </conditionalFormatting>
  <conditionalFormatting sqref="ET35">
    <cfRule type="expression" dxfId="63" priority="55">
      <formula>ET35</formula>
    </cfRule>
  </conditionalFormatting>
  <conditionalFormatting sqref="ET36:ET41">
    <cfRule type="expression" dxfId="62" priority="54">
      <formula>ET36</formula>
    </cfRule>
  </conditionalFormatting>
  <conditionalFormatting sqref="ET29:ET34">
    <cfRule type="expression" dxfId="61" priority="53">
      <formula>ET29</formula>
    </cfRule>
  </conditionalFormatting>
  <conditionalFormatting sqref="EQ35">
    <cfRule type="expression" dxfId="60" priority="52">
      <formula>EQ35</formula>
    </cfRule>
  </conditionalFormatting>
  <conditionalFormatting sqref="EQ19">
    <cfRule type="expression" dxfId="59" priority="51">
      <formula>EQ19</formula>
    </cfRule>
  </conditionalFormatting>
  <conditionalFormatting sqref="EQ17">
    <cfRule type="expression" dxfId="58" priority="50">
      <formula>EQ17</formula>
    </cfRule>
  </conditionalFormatting>
  <conditionalFormatting sqref="EQ9">
    <cfRule type="expression" dxfId="57" priority="49">
      <formula>EQ9</formula>
    </cfRule>
  </conditionalFormatting>
  <conditionalFormatting sqref="EQ7">
    <cfRule type="expression" dxfId="56" priority="48">
      <formula>EQ7</formula>
    </cfRule>
  </conditionalFormatting>
  <conditionalFormatting sqref="ES7">
    <cfRule type="expression" dxfId="55" priority="47">
      <formula>ES7</formula>
    </cfRule>
  </conditionalFormatting>
  <conditionalFormatting sqref="EU7">
    <cfRule type="expression" dxfId="54" priority="46">
      <formula>EU7</formula>
    </cfRule>
  </conditionalFormatting>
  <conditionalFormatting sqref="ES17">
    <cfRule type="expression" dxfId="53" priority="45">
      <formula>ES17</formula>
    </cfRule>
  </conditionalFormatting>
  <conditionalFormatting sqref="EU17">
    <cfRule type="expression" dxfId="52" priority="44">
      <formula>EU17</formula>
    </cfRule>
  </conditionalFormatting>
  <conditionalFormatting sqref="ES19">
    <cfRule type="expression" dxfId="51" priority="43">
      <formula>ES19</formula>
    </cfRule>
  </conditionalFormatting>
  <conditionalFormatting sqref="EU19">
    <cfRule type="expression" dxfId="50" priority="42">
      <formula>EU19</formula>
    </cfRule>
  </conditionalFormatting>
  <conditionalFormatting sqref="ES35">
    <cfRule type="expression" dxfId="49" priority="41">
      <formula>ES35</formula>
    </cfRule>
  </conditionalFormatting>
  <conditionalFormatting sqref="EU35">
    <cfRule type="expression" dxfId="48" priority="40">
      <formula>EU35</formula>
    </cfRule>
  </conditionalFormatting>
  <conditionalFormatting sqref="CB2">
    <cfRule type="expression" dxfId="47" priority="39">
      <formula>CB2</formula>
    </cfRule>
  </conditionalFormatting>
  <conditionalFormatting sqref="CE2">
    <cfRule type="expression" dxfId="46" priority="38">
      <formula>CE2</formula>
    </cfRule>
  </conditionalFormatting>
  <conditionalFormatting sqref="CH2 CK2">
    <cfRule type="expression" dxfId="45" priority="37">
      <formula>CH2</formula>
    </cfRule>
  </conditionalFormatting>
  <conditionalFormatting sqref="CB7:CD7 CB9:CD9 CB17:CD17 CB19:CD19 CB35:CD35">
    <cfRule type="expression" dxfId="44" priority="36">
      <formula>CB7</formula>
    </cfRule>
  </conditionalFormatting>
  <conditionalFormatting sqref="CE7:CG7 CE9:CG9 CE17:CG17 CE19:CG19 CE35:CG35">
    <cfRule type="expression" dxfId="43" priority="35">
      <formula>CE7</formula>
    </cfRule>
  </conditionalFormatting>
  <conditionalFormatting sqref="CH7:CJ7 CH9:CJ9 CH17:CJ17 CH19:CJ19 CH35:CJ35">
    <cfRule type="expression" dxfId="42" priority="34">
      <formula>CH7</formula>
    </cfRule>
  </conditionalFormatting>
  <conditionalFormatting sqref="CQ7">
    <cfRule type="expression" dxfId="41" priority="33">
      <formula>CQ7</formula>
    </cfRule>
  </conditionalFormatting>
  <conditionalFormatting sqref="CQ17">
    <cfRule type="expression" dxfId="40" priority="32">
      <formula>CQ17</formula>
    </cfRule>
  </conditionalFormatting>
  <conditionalFormatting sqref="CQ19">
    <cfRule type="expression" dxfId="39" priority="31">
      <formula>CQ19</formula>
    </cfRule>
  </conditionalFormatting>
  <conditionalFormatting sqref="CQ35">
    <cfRule type="expression" dxfId="38" priority="30">
      <formula>CQ35</formula>
    </cfRule>
  </conditionalFormatting>
  <conditionalFormatting sqref="CS9">
    <cfRule type="expression" dxfId="37" priority="29">
      <formula>CS9</formula>
    </cfRule>
  </conditionalFormatting>
  <conditionalFormatting sqref="CS7">
    <cfRule type="expression" dxfId="36" priority="28">
      <formula>CS7</formula>
    </cfRule>
  </conditionalFormatting>
  <conditionalFormatting sqref="CS17">
    <cfRule type="expression" dxfId="35" priority="27">
      <formula>CS17</formula>
    </cfRule>
  </conditionalFormatting>
  <conditionalFormatting sqref="CS19">
    <cfRule type="expression" dxfId="34" priority="26">
      <formula>CS19</formula>
    </cfRule>
  </conditionalFormatting>
  <conditionalFormatting sqref="CS35">
    <cfRule type="expression" dxfId="33" priority="25">
      <formula>CS35</formula>
    </cfRule>
  </conditionalFormatting>
  <conditionalFormatting sqref="CK42:CM43">
    <cfRule type="expression" dxfId="32" priority="24">
      <formula>CK42</formula>
    </cfRule>
  </conditionalFormatting>
  <conditionalFormatting sqref="CK53:CM54">
    <cfRule type="expression" dxfId="31" priority="23">
      <formula>CK53</formula>
    </cfRule>
  </conditionalFormatting>
  <conditionalFormatting sqref="CK45:CM52">
    <cfRule type="expression" dxfId="30" priority="22">
      <formula>CK45</formula>
    </cfRule>
  </conditionalFormatting>
  <conditionalFormatting sqref="CK4:CM4">
    <cfRule type="expression" dxfId="29" priority="21">
      <formula>CK4</formula>
    </cfRule>
  </conditionalFormatting>
  <conditionalFormatting sqref="CK7:CM7 CK9:CM9 CK17:CM17 CK19:CM19 CK35:CM35">
    <cfRule type="expression" dxfId="28" priority="19">
      <formula>CK7</formula>
    </cfRule>
  </conditionalFormatting>
  <conditionalFormatting sqref="DF3:DF4 DF45:DG54 DF2:DG2 DF42:DG43">
    <cfRule type="expression" dxfId="27" priority="18">
      <formula>DF2</formula>
    </cfRule>
  </conditionalFormatting>
  <conditionalFormatting sqref="DG3">
    <cfRule type="expression" dxfId="26" priority="17">
      <formula>DG3</formula>
    </cfRule>
  </conditionalFormatting>
  <conditionalFormatting sqref="DF18">
    <cfRule type="expression" dxfId="25" priority="13">
      <formula>DF18</formula>
    </cfRule>
  </conditionalFormatting>
  <conditionalFormatting sqref="DF5">
    <cfRule type="expression" dxfId="24" priority="10">
      <formula>DF5</formula>
    </cfRule>
  </conditionalFormatting>
  <conditionalFormatting sqref="DF8">
    <cfRule type="expression" dxfId="23" priority="11">
      <formula>DF8</formula>
    </cfRule>
  </conditionalFormatting>
  <conditionalFormatting sqref="DF7">
    <cfRule type="expression" dxfId="22" priority="15">
      <formula>DF7</formula>
    </cfRule>
  </conditionalFormatting>
  <conditionalFormatting sqref="DF20:DF28">
    <cfRule type="expression" dxfId="21" priority="14">
      <formula>DF20</formula>
    </cfRule>
  </conditionalFormatting>
  <conditionalFormatting sqref="DF10:DF16">
    <cfRule type="expression" dxfId="20" priority="12">
      <formula>DF10</formula>
    </cfRule>
  </conditionalFormatting>
  <conditionalFormatting sqref="DF17 DF9 DF19">
    <cfRule type="expression" dxfId="19" priority="16">
      <formula>DF9</formula>
    </cfRule>
  </conditionalFormatting>
  <conditionalFormatting sqref="DF6">
    <cfRule type="expression" dxfId="18" priority="9">
      <formula>DF6</formula>
    </cfRule>
  </conditionalFormatting>
  <conditionalFormatting sqref="DF35">
    <cfRule type="expression" dxfId="17" priority="8">
      <formula>DF35</formula>
    </cfRule>
  </conditionalFormatting>
  <conditionalFormatting sqref="DF36:DF41">
    <cfRule type="expression" dxfId="16" priority="7">
      <formula>DF36</formula>
    </cfRule>
  </conditionalFormatting>
  <conditionalFormatting sqref="DF29:DF34">
    <cfRule type="expression" dxfId="15" priority="6">
      <formula>DF29</formula>
    </cfRule>
  </conditionalFormatting>
  <conditionalFormatting sqref="DG7">
    <cfRule type="expression" dxfId="14" priority="5">
      <formula>DG7</formula>
    </cfRule>
  </conditionalFormatting>
  <conditionalFormatting sqref="DG9">
    <cfRule type="expression" dxfId="13" priority="4">
      <formula>DG9</formula>
    </cfRule>
  </conditionalFormatting>
  <conditionalFormatting sqref="DG17">
    <cfRule type="expression" dxfId="12" priority="3">
      <formula>DG17</formula>
    </cfRule>
  </conditionalFormatting>
  <conditionalFormatting sqref="DG19">
    <cfRule type="expression" dxfId="11" priority="2">
      <formula>DG19</formula>
    </cfRule>
  </conditionalFormatting>
  <conditionalFormatting sqref="DG35">
    <cfRule type="expression" dxfId="10"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1: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1221</v>
      </c>
      <c r="C2" s="1263" t="s">
        <v>1222</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645</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618</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646</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602</v>
      </c>
    </row>
    <row r="31" spans="2:4" x14ac:dyDescent="0.25">
      <c r="B31" s="1266">
        <v>28</v>
      </c>
      <c r="C31" s="1267" t="s">
        <v>603</v>
      </c>
    </row>
    <row r="32" spans="2:4" ht="15.75" thickBot="1" x14ac:dyDescent="0.3">
      <c r="B32" s="1268">
        <v>29</v>
      </c>
      <c r="C32" s="1269" t="s">
        <v>604</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696</v>
      </c>
      <c r="B1" s="912" t="s">
        <v>453</v>
      </c>
      <c r="C1" s="913" t="s">
        <v>454</v>
      </c>
      <c r="D1" s="914" t="s">
        <v>455</v>
      </c>
      <c r="E1" s="915" t="s">
        <v>456</v>
      </c>
    </row>
    <row r="2" spans="1:5" x14ac:dyDescent="0.25">
      <c r="A2" s="1885" t="s">
        <v>457</v>
      </c>
      <c r="B2" s="891" t="s">
        <v>44</v>
      </c>
      <c r="C2" s="892" t="s">
        <v>44</v>
      </c>
      <c r="D2" s="304" t="s">
        <v>44</v>
      </c>
      <c r="E2" s="305" t="s">
        <v>44</v>
      </c>
    </row>
    <row r="3" spans="1:5" x14ac:dyDescent="0.25">
      <c r="A3" s="1886"/>
      <c r="B3" s="891" t="s">
        <v>604</v>
      </c>
      <c r="C3" s="892" t="s">
        <v>604</v>
      </c>
      <c r="D3" s="304" t="s">
        <v>604</v>
      </c>
      <c r="E3" s="305" t="s">
        <v>604</v>
      </c>
    </row>
    <row r="4" spans="1:5" x14ac:dyDescent="0.25">
      <c r="A4" s="1886"/>
      <c r="B4" s="814"/>
      <c r="C4" s="892" t="s">
        <v>47</v>
      </c>
      <c r="D4" s="304" t="s">
        <v>403</v>
      </c>
      <c r="E4" s="305" t="s">
        <v>403</v>
      </c>
    </row>
    <row r="5" spans="1:5" x14ac:dyDescent="0.25">
      <c r="A5" s="1886"/>
      <c r="B5" s="814"/>
      <c r="C5" s="892" t="s">
        <v>45</v>
      </c>
      <c r="D5" s="304" t="s">
        <v>45</v>
      </c>
      <c r="E5" s="305" t="s">
        <v>45</v>
      </c>
    </row>
    <row r="6" spans="1:5" x14ac:dyDescent="0.25">
      <c r="A6" s="1886"/>
      <c r="B6" s="814"/>
      <c r="C6" s="129"/>
      <c r="D6" s="874" t="s">
        <v>458</v>
      </c>
      <c r="E6" s="875" t="s">
        <v>458</v>
      </c>
    </row>
    <row r="7" spans="1:5" x14ac:dyDescent="0.25">
      <c r="A7" s="1886"/>
      <c r="B7" s="814"/>
      <c r="C7" s="129"/>
      <c r="D7" s="814"/>
      <c r="E7" s="305" t="s">
        <v>404</v>
      </c>
    </row>
    <row r="8" spans="1:5" x14ac:dyDescent="0.25">
      <c r="A8" s="1887"/>
      <c r="B8" s="814"/>
      <c r="C8" s="129"/>
      <c r="D8" s="814"/>
      <c r="E8" s="875" t="s">
        <v>459</v>
      </c>
    </row>
    <row r="9" spans="1:5" x14ac:dyDescent="0.25">
      <c r="A9" s="1883"/>
      <c r="B9" s="1883"/>
      <c r="C9" s="1883"/>
      <c r="D9" s="1883"/>
      <c r="E9" s="1883"/>
    </row>
    <row r="10" spans="1:5" x14ac:dyDescent="0.25">
      <c r="A10" s="1885" t="s">
        <v>460</v>
      </c>
      <c r="B10" s="891" t="s">
        <v>42</v>
      </c>
      <c r="C10" s="892" t="s">
        <v>42</v>
      </c>
      <c r="D10" s="304" t="s">
        <v>42</v>
      </c>
      <c r="E10" s="305" t="s">
        <v>42</v>
      </c>
    </row>
    <row r="11" spans="1:5" x14ac:dyDescent="0.25">
      <c r="A11" s="1886"/>
      <c r="B11" s="814"/>
      <c r="C11" s="892" t="s">
        <v>46</v>
      </c>
      <c r="D11" s="304" t="s">
        <v>639</v>
      </c>
      <c r="E11" s="305" t="s">
        <v>639</v>
      </c>
    </row>
    <row r="12" spans="1:5" x14ac:dyDescent="0.25">
      <c r="A12" s="1886"/>
      <c r="B12" s="814"/>
      <c r="C12" s="892" t="s">
        <v>98</v>
      </c>
      <c r="D12" s="304" t="s">
        <v>98</v>
      </c>
      <c r="E12" s="305" t="s">
        <v>98</v>
      </c>
    </row>
    <row r="13" spans="1:5" x14ac:dyDescent="0.25">
      <c r="A13" s="1886"/>
      <c r="B13" s="814"/>
      <c r="C13" s="129"/>
      <c r="D13" s="304" t="s">
        <v>408</v>
      </c>
      <c r="E13" s="305" t="s">
        <v>408</v>
      </c>
    </row>
    <row r="14" spans="1:5" x14ac:dyDescent="0.25">
      <c r="A14" s="1886"/>
      <c r="B14" s="814"/>
      <c r="C14" s="129"/>
      <c r="D14" s="304" t="s">
        <v>407</v>
      </c>
      <c r="E14" s="305" t="s">
        <v>407</v>
      </c>
    </row>
    <row r="15" spans="1:5" x14ac:dyDescent="0.25">
      <c r="A15" s="1886"/>
      <c r="B15" s="814"/>
      <c r="C15" s="129"/>
      <c r="D15" s="814"/>
      <c r="E15" s="305" t="s">
        <v>405</v>
      </c>
    </row>
    <row r="16" spans="1:5" x14ac:dyDescent="0.25">
      <c r="A16" s="1887"/>
      <c r="B16" s="814"/>
      <c r="C16" s="129"/>
      <c r="D16" s="814"/>
      <c r="E16" s="876" t="s">
        <v>461</v>
      </c>
    </row>
    <row r="17" spans="1:5" x14ac:dyDescent="0.25">
      <c r="A17" s="1883"/>
      <c r="B17" s="1883"/>
      <c r="C17" s="1883"/>
      <c r="D17" s="1883"/>
      <c r="E17" s="1883"/>
    </row>
    <row r="18" spans="1:5" x14ac:dyDescent="0.25">
      <c r="A18" s="1885" t="s">
        <v>462</v>
      </c>
      <c r="B18" s="877" t="s">
        <v>463</v>
      </c>
      <c r="C18" s="878" t="s">
        <v>463</v>
      </c>
      <c r="D18" s="874" t="s">
        <v>463</v>
      </c>
      <c r="E18" s="875" t="s">
        <v>463</v>
      </c>
    </row>
    <row r="19" spans="1:5" x14ac:dyDescent="0.25">
      <c r="A19" s="1886"/>
      <c r="B19" s="891" t="s">
        <v>603</v>
      </c>
      <c r="C19" s="892" t="s">
        <v>603</v>
      </c>
      <c r="D19" s="304" t="s">
        <v>603</v>
      </c>
      <c r="E19" s="305" t="s">
        <v>603</v>
      </c>
    </row>
    <row r="20" spans="1:5" x14ac:dyDescent="0.25">
      <c r="A20" s="1886"/>
      <c r="B20" s="814"/>
      <c r="C20" s="892" t="s">
        <v>640</v>
      </c>
      <c r="D20" s="304" t="s">
        <v>640</v>
      </c>
      <c r="E20" s="305" t="s">
        <v>640</v>
      </c>
    </row>
    <row r="21" spans="1:5" x14ac:dyDescent="0.25">
      <c r="A21" s="1886"/>
      <c r="B21" s="814"/>
      <c r="C21" s="814"/>
      <c r="D21" s="874" t="s">
        <v>464</v>
      </c>
      <c r="E21" s="875" t="s">
        <v>464</v>
      </c>
    </row>
    <row r="22" spans="1:5" x14ac:dyDescent="0.25">
      <c r="A22" s="1886"/>
      <c r="B22" s="814"/>
      <c r="C22" s="814"/>
      <c r="D22" s="304" t="s">
        <v>535</v>
      </c>
      <c r="E22" s="305" t="s">
        <v>535</v>
      </c>
    </row>
    <row r="23" spans="1:5" x14ac:dyDescent="0.25">
      <c r="A23" s="1887"/>
      <c r="B23" s="814"/>
      <c r="C23" s="814"/>
      <c r="D23" s="814"/>
      <c r="E23" s="305" t="s">
        <v>406</v>
      </c>
    </row>
    <row r="24" spans="1:5" x14ac:dyDescent="0.25">
      <c r="A24" s="1883"/>
      <c r="B24" s="1883"/>
      <c r="C24" s="1883"/>
      <c r="D24" s="1883"/>
      <c r="E24" s="1883"/>
    </row>
    <row r="25" spans="1:5" x14ac:dyDescent="0.25">
      <c r="A25" s="1884" t="s">
        <v>465</v>
      </c>
      <c r="B25" s="891" t="s">
        <v>99</v>
      </c>
      <c r="C25" s="892" t="s">
        <v>99</v>
      </c>
      <c r="D25" s="304" t="s">
        <v>99</v>
      </c>
      <c r="E25" s="305" t="s">
        <v>99</v>
      </c>
    </row>
    <row r="26" spans="1:5" x14ac:dyDescent="0.25">
      <c r="A26" s="1884"/>
      <c r="B26" s="814"/>
      <c r="C26" s="878" t="s">
        <v>466</v>
      </c>
      <c r="D26" s="874" t="s">
        <v>466</v>
      </c>
      <c r="E26" s="875" t="s">
        <v>466</v>
      </c>
    </row>
    <row r="27" spans="1:5" x14ac:dyDescent="0.25">
      <c r="A27" s="1884"/>
      <c r="B27" s="814"/>
      <c r="C27" s="814"/>
      <c r="D27" s="304" t="s">
        <v>641</v>
      </c>
      <c r="E27" s="305" t="s">
        <v>641</v>
      </c>
    </row>
    <row r="28" spans="1:5" x14ac:dyDescent="0.25">
      <c r="A28" s="1884"/>
      <c r="B28" s="814"/>
      <c r="C28" s="814"/>
      <c r="D28" s="814"/>
      <c r="E28" s="875" t="s">
        <v>679</v>
      </c>
    </row>
    <row r="29" spans="1:5" x14ac:dyDescent="0.25">
      <c r="A29" s="1884"/>
      <c r="B29" s="814"/>
      <c r="C29" s="814"/>
      <c r="D29" s="814"/>
      <c r="E29" s="875" t="s">
        <v>467</v>
      </c>
    </row>
    <row r="30" spans="1:5" x14ac:dyDescent="0.25">
      <c r="A30" s="1883"/>
      <c r="B30" s="1883"/>
      <c r="C30" s="1883"/>
      <c r="D30" s="1883"/>
      <c r="E30" s="1883"/>
    </row>
    <row r="31" spans="1:5" x14ac:dyDescent="0.25">
      <c r="A31" s="1884" t="s">
        <v>468</v>
      </c>
      <c r="B31" s="814"/>
      <c r="C31" s="892" t="s">
        <v>100</v>
      </c>
      <c r="D31" s="304" t="s">
        <v>100</v>
      </c>
      <c r="E31" s="305" t="s">
        <v>100</v>
      </c>
    </row>
    <row r="32" spans="1:5" x14ac:dyDescent="0.25">
      <c r="A32" s="1884"/>
      <c r="B32" s="814"/>
      <c r="C32" s="129"/>
      <c r="D32" s="874" t="s">
        <v>469</v>
      </c>
      <c r="E32" s="875" t="s">
        <v>469</v>
      </c>
    </row>
    <row r="33" spans="1:5" x14ac:dyDescent="0.25">
      <c r="A33" s="1884"/>
      <c r="B33" s="814"/>
      <c r="C33" s="129"/>
      <c r="D33" s="874" t="s">
        <v>470</v>
      </c>
      <c r="E33" s="875" t="s">
        <v>470</v>
      </c>
    </row>
    <row r="34" spans="1:5" x14ac:dyDescent="0.25">
      <c r="A34" s="1884"/>
      <c r="B34" s="814"/>
      <c r="C34" s="129"/>
      <c r="D34" s="129"/>
      <c r="E34" s="875" t="s">
        <v>471</v>
      </c>
    </row>
    <row r="35" spans="1:5" x14ac:dyDescent="0.25">
      <c r="A35" s="1884"/>
      <c r="B35" s="814"/>
      <c r="C35" s="129"/>
      <c r="D35" s="129"/>
      <c r="E35" s="875" t="s">
        <v>472</v>
      </c>
    </row>
    <row r="36" spans="1:5" x14ac:dyDescent="0.25">
      <c r="A36" s="1884"/>
      <c r="B36" s="814"/>
      <c r="C36" s="129"/>
      <c r="D36" s="129"/>
      <c r="E36" s="875" t="s">
        <v>473</v>
      </c>
    </row>
    <row r="37" spans="1:5" x14ac:dyDescent="0.25">
      <c r="A37" s="1883"/>
      <c r="B37" s="1883"/>
      <c r="C37" s="1883"/>
      <c r="D37" s="1883"/>
      <c r="E37" s="1883"/>
    </row>
    <row r="38" spans="1:5" x14ac:dyDescent="0.25">
      <c r="A38" s="1884" t="s">
        <v>474</v>
      </c>
      <c r="B38" s="891" t="s">
        <v>602</v>
      </c>
      <c r="C38" s="892" t="s">
        <v>602</v>
      </c>
      <c r="D38" s="304" t="s">
        <v>602</v>
      </c>
      <c r="E38" s="305" t="s">
        <v>602</v>
      </c>
    </row>
    <row r="39" spans="1:5" x14ac:dyDescent="0.25">
      <c r="A39" s="1884"/>
      <c r="B39" s="814"/>
      <c r="C39" s="892" t="s">
        <v>1570</v>
      </c>
      <c r="D39" s="304" t="s">
        <v>1570</v>
      </c>
      <c r="E39" s="305" t="s">
        <v>1570</v>
      </c>
    </row>
    <row r="40" spans="1:5" x14ac:dyDescent="0.25">
      <c r="A40" s="1884"/>
      <c r="B40" s="814"/>
      <c r="C40" s="129"/>
      <c r="D40" s="304" t="s">
        <v>110</v>
      </c>
      <c r="E40" s="305" t="s">
        <v>110</v>
      </c>
    </row>
    <row r="41" spans="1:5" x14ac:dyDescent="0.25">
      <c r="A41" s="890"/>
      <c r="B41" s="814"/>
      <c r="C41" s="129"/>
      <c r="D41" s="129"/>
      <c r="E41" s="875" t="s">
        <v>475</v>
      </c>
    </row>
    <row r="42" spans="1:5" x14ac:dyDescent="0.25">
      <c r="A42" s="1883"/>
      <c r="B42" s="1883"/>
      <c r="C42" s="1883"/>
      <c r="D42" s="1883"/>
      <c r="E42" s="1883"/>
    </row>
    <row r="43" spans="1:5" x14ac:dyDescent="0.25">
      <c r="A43" s="306" t="s">
        <v>476</v>
      </c>
      <c r="B43" s="814"/>
      <c r="C43" s="129"/>
      <c r="D43" s="874" t="s">
        <v>477</v>
      </c>
      <c r="E43" s="875" t="s">
        <v>478</v>
      </c>
    </row>
    <row r="44" spans="1:5" x14ac:dyDescent="0.25">
      <c r="A44" s="1883"/>
      <c r="B44" s="1883"/>
      <c r="C44" s="1883"/>
      <c r="D44" s="1883"/>
      <c r="E44" s="1883"/>
    </row>
    <row r="45" spans="1:5" x14ac:dyDescent="0.25">
      <c r="A45" s="1884" t="s">
        <v>479</v>
      </c>
      <c r="B45" s="814"/>
      <c r="C45" s="892" t="s">
        <v>43</v>
      </c>
      <c r="D45" s="304" t="s">
        <v>43</v>
      </c>
      <c r="E45" s="305" t="s">
        <v>43</v>
      </c>
    </row>
    <row r="46" spans="1:5" x14ac:dyDescent="0.25">
      <c r="A46" s="1884"/>
      <c r="B46" s="814"/>
      <c r="C46" s="129"/>
      <c r="D46" s="304" t="s">
        <v>394</v>
      </c>
      <c r="E46" s="305" t="s">
        <v>394</v>
      </c>
    </row>
    <row r="47" spans="1:5" x14ac:dyDescent="0.25">
      <c r="A47" s="1884"/>
      <c r="B47" s="814"/>
      <c r="C47" s="129"/>
      <c r="D47" s="129"/>
      <c r="E47" s="875" t="s">
        <v>480</v>
      </c>
    </row>
    <row r="48" spans="1:5" x14ac:dyDescent="0.25">
      <c r="A48" s="1884"/>
      <c r="B48" s="814"/>
      <c r="C48" s="129"/>
      <c r="D48" s="129"/>
      <c r="E48" s="875" t="s">
        <v>481</v>
      </c>
    </row>
    <row r="49" spans="1:5" x14ac:dyDescent="0.25">
      <c r="A49" s="1883"/>
      <c r="B49" s="1883"/>
      <c r="C49" s="1883"/>
      <c r="D49" s="1883"/>
      <c r="E49" s="1883"/>
    </row>
    <row r="50" spans="1:5" x14ac:dyDescent="0.25">
      <c r="A50" s="306" t="s">
        <v>482</v>
      </c>
      <c r="B50" s="814"/>
      <c r="C50" s="129"/>
      <c r="D50" s="304" t="s">
        <v>483</v>
      </c>
      <c r="E50" s="305" t="s">
        <v>483</v>
      </c>
    </row>
  </sheetData>
  <mergeCells count="15">
    <mergeCell ref="A24:E24"/>
    <mergeCell ref="A2:A8"/>
    <mergeCell ref="A9:E9"/>
    <mergeCell ref="A10:A16"/>
    <mergeCell ref="A17:E17"/>
    <mergeCell ref="A18:A23"/>
    <mergeCell ref="A44:E44"/>
    <mergeCell ref="A45:A48"/>
    <mergeCell ref="A49:E49"/>
    <mergeCell ref="A25:A29"/>
    <mergeCell ref="A30:E30"/>
    <mergeCell ref="A31:A36"/>
    <mergeCell ref="A37:E37"/>
    <mergeCell ref="A38:A40"/>
    <mergeCell ref="A42:E4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672</v>
      </c>
      <c r="B1" s="872" t="s">
        <v>642</v>
      </c>
      <c r="C1" s="345" t="s">
        <v>643</v>
      </c>
      <c r="D1" s="873" t="s">
        <v>644</v>
      </c>
    </row>
    <row r="2" spans="1:4" x14ac:dyDescent="0.25">
      <c r="A2" s="1888" t="s">
        <v>673</v>
      </c>
      <c r="B2" s="892" t="s">
        <v>603</v>
      </c>
      <c r="C2" s="304" t="s">
        <v>603</v>
      </c>
      <c r="D2" s="305" t="s">
        <v>603</v>
      </c>
    </row>
    <row r="3" spans="1:4" ht="15" customHeight="1" x14ac:dyDescent="0.25">
      <c r="A3" s="1889"/>
      <c r="B3" s="878" t="s">
        <v>463</v>
      </c>
      <c r="C3" s="874" t="s">
        <v>463</v>
      </c>
      <c r="D3" s="875" t="s">
        <v>463</v>
      </c>
    </row>
    <row r="4" spans="1:4" x14ac:dyDescent="0.25">
      <c r="A4" s="1888" t="s">
        <v>674</v>
      </c>
      <c r="B4" s="893" t="s">
        <v>604</v>
      </c>
      <c r="C4" s="894" t="s">
        <v>604</v>
      </c>
      <c r="D4" s="895" t="s">
        <v>604</v>
      </c>
    </row>
    <row r="5" spans="1:4" ht="15" customHeight="1" x14ac:dyDescent="0.25">
      <c r="A5" s="1889"/>
      <c r="B5" s="896"/>
      <c r="C5" s="894" t="s">
        <v>645</v>
      </c>
      <c r="D5" s="305" t="s">
        <v>645</v>
      </c>
    </row>
    <row r="6" spans="1:4" ht="15" customHeight="1" x14ac:dyDescent="0.25">
      <c r="A6" s="1889"/>
      <c r="B6" s="897"/>
      <c r="C6" s="894" t="s">
        <v>406</v>
      </c>
      <c r="D6" s="895" t="s">
        <v>406</v>
      </c>
    </row>
    <row r="7" spans="1:4" x14ac:dyDescent="0.25">
      <c r="A7" s="1890"/>
      <c r="B7" s="897"/>
      <c r="C7" s="896"/>
      <c r="D7" s="898" t="s">
        <v>640</v>
      </c>
    </row>
    <row r="8" spans="1:4" x14ac:dyDescent="0.25">
      <c r="A8" s="129" t="s">
        <v>656</v>
      </c>
      <c r="B8" s="63"/>
      <c r="C8" s="109"/>
      <c r="D8" s="305" t="s">
        <v>98</v>
      </c>
    </row>
    <row r="9" spans="1:4" x14ac:dyDescent="0.25">
      <c r="A9" s="129" t="s">
        <v>657</v>
      </c>
      <c r="B9" s="63"/>
      <c r="C9" s="63"/>
      <c r="D9" s="63"/>
    </row>
    <row r="10" spans="1:4" x14ac:dyDescent="0.25">
      <c r="A10" s="129" t="s">
        <v>675</v>
      </c>
      <c r="B10" s="205" t="s">
        <v>43</v>
      </c>
      <c r="C10" s="304" t="s">
        <v>43</v>
      </c>
      <c r="D10" s="305" t="s">
        <v>43</v>
      </c>
    </row>
    <row r="11" spans="1:4" x14ac:dyDescent="0.25">
      <c r="A11" s="890" t="s">
        <v>659</v>
      </c>
      <c r="B11" s="892" t="s">
        <v>42</v>
      </c>
      <c r="C11" s="304" t="s">
        <v>42</v>
      </c>
      <c r="D11" s="305" t="s">
        <v>42</v>
      </c>
    </row>
    <row r="12" spans="1:4" x14ac:dyDescent="0.25">
      <c r="A12" s="129" t="s">
        <v>676</v>
      </c>
      <c r="B12" s="63"/>
      <c r="C12" s="304" t="s">
        <v>403</v>
      </c>
      <c r="D12" s="305" t="s">
        <v>403</v>
      </c>
    </row>
    <row r="13" spans="1:4" x14ac:dyDescent="0.25">
      <c r="A13" s="129" t="s">
        <v>677</v>
      </c>
      <c r="B13" s="892" t="s">
        <v>46</v>
      </c>
      <c r="C13" s="304" t="s">
        <v>46</v>
      </c>
      <c r="D13" s="305" t="s">
        <v>46</v>
      </c>
    </row>
    <row r="14" spans="1:4" x14ac:dyDescent="0.25">
      <c r="A14" s="1888" t="s">
        <v>678</v>
      </c>
      <c r="B14" s="896"/>
      <c r="C14" s="304" t="s">
        <v>646</v>
      </c>
      <c r="D14" s="305" t="s">
        <v>646</v>
      </c>
    </row>
    <row r="15" spans="1:4" x14ac:dyDescent="0.25">
      <c r="A15" s="1890"/>
      <c r="B15" s="899"/>
      <c r="C15" s="899"/>
      <c r="D15" s="875" t="s">
        <v>679</v>
      </c>
    </row>
    <row r="16" spans="1:4" x14ac:dyDescent="0.25">
      <c r="A16" s="129" t="s">
        <v>680</v>
      </c>
      <c r="B16" s="892" t="s">
        <v>99</v>
      </c>
      <c r="C16" s="304" t="s">
        <v>99</v>
      </c>
      <c r="D16" s="305" t="s">
        <v>99</v>
      </c>
    </row>
    <row r="17" spans="1:4" x14ac:dyDescent="0.25">
      <c r="A17" s="1885" t="s">
        <v>681</v>
      </c>
      <c r="B17" s="892" t="s">
        <v>602</v>
      </c>
      <c r="C17" s="304" t="s">
        <v>602</v>
      </c>
      <c r="D17" s="305" t="s">
        <v>602</v>
      </c>
    </row>
    <row r="18" spans="1:4" x14ac:dyDescent="0.25">
      <c r="A18" s="1887"/>
      <c r="B18" s="892" t="s">
        <v>110</v>
      </c>
      <c r="C18" s="304" t="s">
        <v>110</v>
      </c>
      <c r="D18" s="305" t="s">
        <v>110</v>
      </c>
    </row>
    <row r="19" spans="1:4" x14ac:dyDescent="0.25">
      <c r="A19" s="129" t="s">
        <v>682</v>
      </c>
      <c r="B19" s="889"/>
      <c r="C19" s="889"/>
      <c r="D19" s="889"/>
    </row>
    <row r="20" spans="1:4" x14ac:dyDescent="0.25">
      <c r="A20" s="1888" t="s">
        <v>683</v>
      </c>
      <c r="B20" s="892" t="s">
        <v>44</v>
      </c>
      <c r="C20" s="304" t="s">
        <v>44</v>
      </c>
      <c r="D20" s="305" t="s">
        <v>44</v>
      </c>
    </row>
    <row r="21" spans="1:4" x14ac:dyDescent="0.25">
      <c r="A21" s="1889"/>
      <c r="B21" s="892" t="s">
        <v>45</v>
      </c>
      <c r="C21" s="304" t="s">
        <v>45</v>
      </c>
      <c r="D21" s="305" t="s">
        <v>45</v>
      </c>
    </row>
    <row r="22" spans="1:4" x14ac:dyDescent="0.25">
      <c r="A22" s="1890"/>
      <c r="B22" s="899"/>
      <c r="C22" s="899"/>
      <c r="D22" s="875" t="s">
        <v>461</v>
      </c>
    </row>
    <row r="23" spans="1:4" x14ac:dyDescent="0.25">
      <c r="A23" s="82" t="s">
        <v>684</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685</v>
      </c>
      <c r="B1" s="871" t="s">
        <v>647</v>
      </c>
      <c r="C1" s="872" t="s">
        <v>648</v>
      </c>
      <c r="D1" s="345" t="s">
        <v>649</v>
      </c>
      <c r="E1" s="873" t="s">
        <v>650</v>
      </c>
    </row>
    <row r="2" spans="1:5" x14ac:dyDescent="0.25">
      <c r="A2" s="1888" t="s">
        <v>673</v>
      </c>
      <c r="B2" s="891" t="s">
        <v>603</v>
      </c>
      <c r="C2" s="892" t="s">
        <v>603</v>
      </c>
      <c r="D2" s="304" t="s">
        <v>603</v>
      </c>
      <c r="E2" s="305" t="s">
        <v>603</v>
      </c>
    </row>
    <row r="3" spans="1:5" ht="30" customHeight="1" x14ac:dyDescent="0.25">
      <c r="A3" s="1889"/>
      <c r="B3" s="877" t="s">
        <v>463</v>
      </c>
      <c r="C3" s="878" t="s">
        <v>463</v>
      </c>
      <c r="D3" s="874" t="s">
        <v>463</v>
      </c>
      <c r="E3" s="875" t="s">
        <v>463</v>
      </c>
    </row>
    <row r="4" spans="1:5" ht="15" customHeight="1" x14ac:dyDescent="0.25">
      <c r="A4" s="1888" t="s">
        <v>674</v>
      </c>
      <c r="B4" s="900" t="s">
        <v>604</v>
      </c>
      <c r="C4" s="901" t="s">
        <v>604</v>
      </c>
      <c r="D4" s="894" t="s">
        <v>604</v>
      </c>
      <c r="E4" s="902" t="s">
        <v>604</v>
      </c>
    </row>
    <row r="5" spans="1:5" x14ac:dyDescent="0.25">
      <c r="A5" s="1889"/>
      <c r="B5" s="889"/>
      <c r="C5" s="889"/>
      <c r="D5" s="894" t="s">
        <v>645</v>
      </c>
      <c r="E5" s="305" t="s">
        <v>645</v>
      </c>
    </row>
    <row r="6" spans="1:5" x14ac:dyDescent="0.25">
      <c r="A6" s="1890"/>
      <c r="B6" s="889"/>
      <c r="C6" s="889"/>
      <c r="D6" s="894" t="s">
        <v>406</v>
      </c>
      <c r="E6" s="902" t="s">
        <v>406</v>
      </c>
    </row>
    <row r="7" spans="1:5" x14ac:dyDescent="0.25">
      <c r="A7" s="879" t="s">
        <v>656</v>
      </c>
      <c r="B7" s="889"/>
      <c r="C7" s="889"/>
      <c r="D7" s="304" t="s">
        <v>98</v>
      </c>
      <c r="E7" s="305" t="s">
        <v>98</v>
      </c>
    </row>
    <row r="8" spans="1:5" ht="30" x14ac:dyDescent="0.25">
      <c r="A8" s="879" t="s">
        <v>686</v>
      </c>
      <c r="B8" s="889"/>
      <c r="C8" s="889"/>
      <c r="D8" s="889"/>
      <c r="E8" s="903"/>
    </row>
    <row r="9" spans="1:5" x14ac:dyDescent="0.25">
      <c r="A9" s="129" t="s">
        <v>675</v>
      </c>
      <c r="B9" s="889"/>
      <c r="C9" s="889"/>
      <c r="D9" s="304" t="s">
        <v>43</v>
      </c>
      <c r="E9" s="305" t="s">
        <v>43</v>
      </c>
    </row>
    <row r="10" spans="1:5" x14ac:dyDescent="0.25">
      <c r="A10" s="129" t="s">
        <v>659</v>
      </c>
      <c r="B10" s="891" t="s">
        <v>42</v>
      </c>
      <c r="C10" s="892" t="s">
        <v>42</v>
      </c>
      <c r="D10" s="304" t="s">
        <v>42</v>
      </c>
      <c r="E10" s="305" t="s">
        <v>42</v>
      </c>
    </row>
    <row r="11" spans="1:5" x14ac:dyDescent="0.25">
      <c r="A11" s="904" t="s">
        <v>676</v>
      </c>
      <c r="B11" s="896"/>
      <c r="C11" s="896"/>
      <c r="D11" s="304" t="s">
        <v>403</v>
      </c>
      <c r="E11" s="305" t="s">
        <v>403</v>
      </c>
    </row>
    <row r="12" spans="1:5" ht="30" x14ac:dyDescent="0.25">
      <c r="A12" s="905" t="s">
        <v>687</v>
      </c>
      <c r="B12" s="889"/>
      <c r="C12" s="892" t="s">
        <v>46</v>
      </c>
      <c r="D12" s="304" t="s">
        <v>46</v>
      </c>
      <c r="E12" s="305" t="s">
        <v>46</v>
      </c>
    </row>
    <row r="13" spans="1:5" x14ac:dyDescent="0.25">
      <c r="A13" s="1888" t="s">
        <v>688</v>
      </c>
      <c r="B13" s="889"/>
      <c r="C13" s="889"/>
      <c r="D13" s="304" t="s">
        <v>646</v>
      </c>
      <c r="E13" s="305" t="s">
        <v>646</v>
      </c>
    </row>
    <row r="14" spans="1:5" ht="30" customHeight="1" x14ac:dyDescent="0.25">
      <c r="A14" s="1890"/>
      <c r="B14" s="63"/>
      <c r="C14" s="63"/>
      <c r="D14" s="874" t="s">
        <v>679</v>
      </c>
      <c r="E14" s="875" t="s">
        <v>679</v>
      </c>
    </row>
    <row r="15" spans="1:5" ht="30" x14ac:dyDescent="0.25">
      <c r="A15" s="905" t="s">
        <v>689</v>
      </c>
      <c r="B15" s="63"/>
      <c r="C15" s="63"/>
      <c r="D15" s="304" t="s">
        <v>99</v>
      </c>
      <c r="E15" s="305" t="s">
        <v>99</v>
      </c>
    </row>
    <row r="16" spans="1:5" x14ac:dyDescent="0.25">
      <c r="A16" s="1888" t="s">
        <v>681</v>
      </c>
      <c r="B16" s="63"/>
      <c r="C16" s="63"/>
      <c r="D16" s="304" t="s">
        <v>602</v>
      </c>
      <c r="E16" s="305" t="s">
        <v>602</v>
      </c>
    </row>
    <row r="17" spans="1:5" x14ac:dyDescent="0.25">
      <c r="A17" s="1890"/>
      <c r="B17" s="891" t="s">
        <v>110</v>
      </c>
      <c r="C17" s="892" t="s">
        <v>110</v>
      </c>
      <c r="D17" s="304" t="s">
        <v>110</v>
      </c>
      <c r="E17" s="305" t="s">
        <v>110</v>
      </c>
    </row>
    <row r="18" spans="1:5" x14ac:dyDescent="0.25">
      <c r="A18" s="905" t="s">
        <v>682</v>
      </c>
      <c r="B18" s="889"/>
      <c r="C18" s="889"/>
      <c r="D18" s="889"/>
      <c r="E18" s="903"/>
    </row>
    <row r="19" spans="1:5" ht="30" customHeight="1" x14ac:dyDescent="0.25">
      <c r="A19" s="1888" t="s">
        <v>690</v>
      </c>
      <c r="B19" s="891" t="s">
        <v>44</v>
      </c>
      <c r="C19" s="906" t="s">
        <v>44</v>
      </c>
      <c r="D19" s="907" t="s">
        <v>44</v>
      </c>
      <c r="E19" s="305" t="s">
        <v>44</v>
      </c>
    </row>
    <row r="20" spans="1:5" x14ac:dyDescent="0.25">
      <c r="A20" s="1890"/>
      <c r="B20" s="891" t="s">
        <v>45</v>
      </c>
      <c r="C20" s="906" t="s">
        <v>45</v>
      </c>
      <c r="D20" s="907" t="s">
        <v>45</v>
      </c>
      <c r="E20" s="305" t="s">
        <v>45</v>
      </c>
    </row>
    <row r="21" spans="1:5" ht="30" x14ac:dyDescent="0.25">
      <c r="A21" s="905" t="s">
        <v>691</v>
      </c>
      <c r="B21" s="63"/>
      <c r="C21" s="63"/>
      <c r="D21" s="304" t="s">
        <v>394</v>
      </c>
      <c r="E21" s="305" t="s">
        <v>394</v>
      </c>
    </row>
    <row r="22" spans="1:5" ht="45" x14ac:dyDescent="0.25">
      <c r="A22" s="905" t="s">
        <v>692</v>
      </c>
      <c r="B22" s="63"/>
      <c r="C22" s="63"/>
      <c r="D22" s="63"/>
      <c r="E22" s="63"/>
    </row>
    <row r="23" spans="1:5" x14ac:dyDescent="0.25">
      <c r="A23" s="82" t="s">
        <v>693</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694</v>
      </c>
      <c r="B1" s="872" t="s">
        <v>651</v>
      </c>
      <c r="C1" s="345" t="s">
        <v>652</v>
      </c>
      <c r="D1" s="873" t="s">
        <v>653</v>
      </c>
    </row>
    <row r="2" spans="1:5" x14ac:dyDescent="0.25">
      <c r="A2" s="1885" t="s">
        <v>654</v>
      </c>
      <c r="B2" s="892" t="s">
        <v>603</v>
      </c>
      <c r="C2" s="304" t="s">
        <v>603</v>
      </c>
      <c r="D2" s="305" t="s">
        <v>603</v>
      </c>
    </row>
    <row r="3" spans="1:5" x14ac:dyDescent="0.25">
      <c r="A3" s="1886"/>
      <c r="B3" s="908" t="s">
        <v>463</v>
      </c>
      <c r="C3" s="909" t="s">
        <v>463</v>
      </c>
      <c r="D3" s="910" t="s">
        <v>463</v>
      </c>
    </row>
    <row r="4" spans="1:5" x14ac:dyDescent="0.25">
      <c r="A4" s="1885" t="s">
        <v>655</v>
      </c>
      <c r="B4" s="892" t="s">
        <v>604</v>
      </c>
      <c r="C4" s="304" t="s">
        <v>604</v>
      </c>
      <c r="D4" s="305" t="s">
        <v>604</v>
      </c>
    </row>
    <row r="5" spans="1:5" x14ac:dyDescent="0.25">
      <c r="A5" s="1886"/>
      <c r="B5" s="889"/>
      <c r="C5" s="304" t="s">
        <v>645</v>
      </c>
      <c r="D5" s="305" t="s">
        <v>645</v>
      </c>
    </row>
    <row r="6" spans="1:5" x14ac:dyDescent="0.25">
      <c r="A6" s="1886"/>
      <c r="B6" s="889"/>
      <c r="C6" s="889"/>
      <c r="D6" s="305" t="s">
        <v>406</v>
      </c>
    </row>
    <row r="7" spans="1:5" x14ac:dyDescent="0.25">
      <c r="A7" s="1887"/>
      <c r="B7" s="889"/>
      <c r="C7" s="889"/>
      <c r="D7" s="305" t="s">
        <v>640</v>
      </c>
    </row>
    <row r="8" spans="1:5" x14ac:dyDescent="0.25">
      <c r="A8" s="880" t="s">
        <v>656</v>
      </c>
      <c r="B8" s="889"/>
      <c r="C8" s="889"/>
      <c r="D8" s="305" t="s">
        <v>98</v>
      </c>
    </row>
    <row r="9" spans="1:5" x14ac:dyDescent="0.25">
      <c r="A9" s="880" t="s">
        <v>657</v>
      </c>
      <c r="B9" s="889"/>
      <c r="C9" s="889"/>
      <c r="D9" s="903"/>
    </row>
    <row r="10" spans="1:5" x14ac:dyDescent="0.25">
      <c r="A10" s="880" t="s">
        <v>658</v>
      </c>
      <c r="B10" s="892" t="s">
        <v>46</v>
      </c>
      <c r="C10" s="304" t="s">
        <v>46</v>
      </c>
      <c r="D10" s="305" t="s">
        <v>46</v>
      </c>
    </row>
    <row r="11" spans="1:5" x14ac:dyDescent="0.25">
      <c r="A11" s="1885" t="s">
        <v>659</v>
      </c>
      <c r="B11" s="892" t="s">
        <v>42</v>
      </c>
      <c r="C11" s="304" t="s">
        <v>42</v>
      </c>
      <c r="D11" s="305" t="s">
        <v>42</v>
      </c>
    </row>
    <row r="12" spans="1:5" x14ac:dyDescent="0.25">
      <c r="A12" s="1887"/>
      <c r="B12" s="889"/>
      <c r="C12" s="889"/>
      <c r="D12" s="875" t="s">
        <v>1513</v>
      </c>
      <c r="E12" t="s">
        <v>1514</v>
      </c>
    </row>
    <row r="13" spans="1:5" x14ac:dyDescent="0.25">
      <c r="A13" s="880" t="s">
        <v>660</v>
      </c>
      <c r="B13" s="889"/>
      <c r="C13" s="304" t="s">
        <v>403</v>
      </c>
      <c r="D13" s="305" t="s">
        <v>403</v>
      </c>
    </row>
    <row r="14" spans="1:5" x14ac:dyDescent="0.25">
      <c r="A14" s="880" t="s">
        <v>661</v>
      </c>
      <c r="B14" s="889"/>
      <c r="C14" s="889"/>
      <c r="D14" s="903"/>
    </row>
    <row r="15" spans="1:5" x14ac:dyDescent="0.25">
      <c r="A15" s="880" t="s">
        <v>662</v>
      </c>
      <c r="B15" s="892" t="s">
        <v>99</v>
      </c>
      <c r="C15" s="304" t="s">
        <v>99</v>
      </c>
      <c r="D15" s="305" t="s">
        <v>99</v>
      </c>
    </row>
    <row r="16" spans="1:5" x14ac:dyDescent="0.25">
      <c r="A16" s="880" t="s">
        <v>663</v>
      </c>
      <c r="B16" s="889"/>
      <c r="C16" s="889"/>
      <c r="D16" s="903"/>
    </row>
    <row r="17" spans="1:4" x14ac:dyDescent="0.25">
      <c r="A17" s="1888" t="s">
        <v>664</v>
      </c>
      <c r="B17" s="892" t="s">
        <v>45</v>
      </c>
      <c r="C17" s="304" t="s">
        <v>45</v>
      </c>
      <c r="D17" s="305" t="s">
        <v>45</v>
      </c>
    </row>
    <row r="18" spans="1:4" x14ac:dyDescent="0.25">
      <c r="A18" s="1890"/>
      <c r="B18" s="892" t="s">
        <v>44</v>
      </c>
      <c r="C18" s="304" t="s">
        <v>44</v>
      </c>
      <c r="D18" s="305" t="s">
        <v>44</v>
      </c>
    </row>
    <row r="19" spans="1:4" x14ac:dyDescent="0.25">
      <c r="A19" s="1885" t="s">
        <v>665</v>
      </c>
      <c r="B19" s="889"/>
      <c r="C19" s="304" t="s">
        <v>43</v>
      </c>
      <c r="D19" s="305" t="s">
        <v>43</v>
      </c>
    </row>
    <row r="20" spans="1:4" x14ac:dyDescent="0.25">
      <c r="A20" s="1887"/>
      <c r="B20" s="889"/>
      <c r="C20" s="889"/>
      <c r="D20" s="305" t="s">
        <v>394</v>
      </c>
    </row>
    <row r="21" spans="1:4" x14ac:dyDescent="0.25">
      <c r="A21" s="880" t="s">
        <v>666</v>
      </c>
      <c r="B21" s="889"/>
      <c r="C21" s="889"/>
      <c r="D21" s="305" t="s">
        <v>646</v>
      </c>
    </row>
    <row r="22" spans="1:4" ht="15" customHeight="1" x14ac:dyDescent="0.25">
      <c r="A22" s="905" t="s">
        <v>667</v>
      </c>
      <c r="B22" s="889"/>
      <c r="C22" s="889"/>
      <c r="D22" s="305" t="s">
        <v>407</v>
      </c>
    </row>
    <row r="23" spans="1:4" ht="30" x14ac:dyDescent="0.25">
      <c r="A23" s="905" t="s">
        <v>668</v>
      </c>
      <c r="B23" s="889"/>
      <c r="C23" s="889"/>
      <c r="D23" s="903"/>
    </row>
    <row r="24" spans="1:4" x14ac:dyDescent="0.25">
      <c r="A24" s="880" t="s">
        <v>669</v>
      </c>
      <c r="B24" s="889"/>
      <c r="C24" s="889"/>
      <c r="D24" s="903"/>
    </row>
    <row r="25" spans="1:4" x14ac:dyDescent="0.25">
      <c r="A25" s="880" t="s">
        <v>670</v>
      </c>
      <c r="B25" s="889"/>
      <c r="C25" s="889"/>
      <c r="D25" s="903"/>
    </row>
    <row r="26" spans="1:4" x14ac:dyDescent="0.25">
      <c r="A26" s="82" t="s">
        <v>693</v>
      </c>
    </row>
    <row r="27" spans="1:4" x14ac:dyDescent="0.25">
      <c r="A27" s="82" t="s">
        <v>695</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627</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891" t="s">
        <v>448</v>
      </c>
      <c r="B3" s="1892"/>
      <c r="C3" s="1892"/>
      <c r="D3" s="1892"/>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891" t="s">
        <v>1</v>
      </c>
      <c r="B6" s="1892"/>
      <c r="C6" s="1892"/>
      <c r="D6" s="1893"/>
      <c r="E6" s="349"/>
      <c r="F6" s="357"/>
      <c r="H6" s="865"/>
      <c r="I6" s="866" t="s">
        <v>628</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891" t="s">
        <v>3</v>
      </c>
      <c r="B8" s="1892"/>
      <c r="C8" s="1892"/>
      <c r="D8" s="1893"/>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891" t="s">
        <v>105</v>
      </c>
      <c r="B16" s="1892"/>
      <c r="C16" s="1892"/>
      <c r="D16" s="1893"/>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891" t="s">
        <v>13</v>
      </c>
      <c r="B18" s="1892"/>
      <c r="C18" s="1892"/>
      <c r="D18" s="1893"/>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891" t="s">
        <v>22</v>
      </c>
      <c r="B34" s="1892"/>
      <c r="C34" s="1892"/>
      <c r="D34" s="1893"/>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9" priority="2">
      <formula>F2</formula>
    </cfRule>
  </conditionalFormatting>
  <conditionalFormatting sqref="F3">
    <cfRule type="expression" dxfId="8"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D4"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907" t="s">
        <v>42</v>
      </c>
      <c r="F1" s="1908"/>
      <c r="G1" s="1908"/>
      <c r="H1" s="1908"/>
      <c r="I1" s="1908"/>
      <c r="J1" s="1908"/>
      <c r="K1" s="1908"/>
      <c r="L1" s="1908"/>
      <c r="M1" s="1900" t="s">
        <v>43</v>
      </c>
      <c r="N1" s="1902"/>
      <c r="O1" s="1900" t="s">
        <v>44</v>
      </c>
      <c r="P1" s="1901"/>
      <c r="Q1" s="1901"/>
      <c r="R1" s="1902"/>
      <c r="S1" s="1900" t="s">
        <v>359</v>
      </c>
      <c r="T1" s="1901"/>
      <c r="U1" s="1902"/>
      <c r="V1" s="1900" t="s">
        <v>45</v>
      </c>
      <c r="W1" s="1901"/>
      <c r="X1" s="1901"/>
      <c r="Y1" s="1901"/>
      <c r="Z1" s="1902"/>
      <c r="AA1" s="1900" t="s">
        <v>46</v>
      </c>
      <c r="AB1" s="1901"/>
      <c r="AC1" s="1901"/>
      <c r="AD1" s="1901"/>
      <c r="AE1" s="1902"/>
      <c r="AF1" s="1900" t="s">
        <v>99</v>
      </c>
      <c r="AG1" s="1901"/>
      <c r="AH1" s="1900" t="s">
        <v>375</v>
      </c>
      <c r="AI1" s="1901"/>
      <c r="AJ1" s="1902"/>
      <c r="AK1" s="1900" t="s">
        <v>645</v>
      </c>
      <c r="AL1" s="1902"/>
      <c r="AM1" s="1900" t="s">
        <v>98</v>
      </c>
      <c r="AN1" s="1901"/>
      <c r="AO1" s="1902"/>
      <c r="AP1" s="1900" t="s">
        <v>535</v>
      </c>
      <c r="AQ1" s="1901"/>
      <c r="AR1" s="1901"/>
      <c r="AS1" s="1902"/>
      <c r="AT1" s="1900" t="s">
        <v>290</v>
      </c>
      <c r="AU1" s="1901"/>
      <c r="AV1" s="1901"/>
      <c r="AW1" s="1902"/>
      <c r="AX1" s="1905" t="s">
        <v>393</v>
      </c>
      <c r="AY1" s="1905"/>
      <c r="AZ1" s="1905"/>
      <c r="BA1" s="1900" t="s">
        <v>396</v>
      </c>
      <c r="BB1" s="1901"/>
      <c r="BC1" s="1901"/>
      <c r="BD1" s="1902"/>
      <c r="BE1" s="1907" t="s">
        <v>398</v>
      </c>
      <c r="BF1" s="1908"/>
      <c r="BG1" s="1908"/>
      <c r="BH1" s="1908"/>
      <c r="BI1" s="1908"/>
      <c r="BJ1" s="1900" t="s">
        <v>618</v>
      </c>
      <c r="BK1" s="1901"/>
      <c r="BL1" s="1900" t="s">
        <v>399</v>
      </c>
      <c r="BM1" s="1902"/>
      <c r="BN1" s="1906" t="s">
        <v>400</v>
      </c>
      <c r="BO1" s="1905"/>
      <c r="BP1" s="1900" t="s">
        <v>401</v>
      </c>
      <c r="BQ1" s="1901"/>
      <c r="BR1" s="1902"/>
      <c r="BS1" s="301" t="s">
        <v>402</v>
      </c>
      <c r="BT1" s="1900" t="s">
        <v>403</v>
      </c>
      <c r="BU1" s="1901"/>
      <c r="BV1" s="1901"/>
      <c r="BW1" s="1902"/>
      <c r="BX1" s="301" t="s">
        <v>404</v>
      </c>
      <c r="BY1" s="1905" t="s">
        <v>405</v>
      </c>
      <c r="BZ1" s="1905"/>
      <c r="CA1" s="1905"/>
      <c r="CB1" s="301" t="s">
        <v>406</v>
      </c>
      <c r="CC1" s="1900" t="s">
        <v>407</v>
      </c>
      <c r="CD1" s="1902"/>
      <c r="CE1" s="1900" t="s">
        <v>408</v>
      </c>
      <c r="CF1" s="1902"/>
      <c r="CG1" s="1900" t="s">
        <v>100</v>
      </c>
      <c r="CH1" s="1901"/>
      <c r="CI1" s="1902"/>
      <c r="CJ1" s="1900" t="s">
        <v>602</v>
      </c>
      <c r="CK1" s="1901"/>
      <c r="CL1" s="1901"/>
      <c r="CM1" s="1901"/>
      <c r="CN1" s="1901"/>
      <c r="CO1" s="1902"/>
      <c r="CP1" s="1900" t="s">
        <v>603</v>
      </c>
      <c r="CQ1" s="1901"/>
      <c r="CR1" s="1901"/>
      <c r="CS1" s="1902"/>
      <c r="CT1" s="1900" t="s">
        <v>604</v>
      </c>
      <c r="CU1" s="1902"/>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17" t="s">
        <v>0</v>
      </c>
      <c r="B5" s="1913">
        <f>IF('Тип разраб-ой док-ции'!F4=1,1,0)</f>
        <v>0</v>
      </c>
      <c r="C5" s="325" t="s">
        <v>32</v>
      </c>
      <c r="D5" s="230"/>
      <c r="E5" s="316" t="e">
        <f>'АВЗ АСУТП'!#REF!</f>
        <v>#REF!</v>
      </c>
      <c r="F5" s="316" t="e">
        <f>'АВЗ АСУТП'!#REF!</f>
        <v>#REF!</v>
      </c>
      <c r="G5" s="316" t="e">
        <f>'АВЗ АСУТП'!#REF!</f>
        <v>#REF!</v>
      </c>
      <c r="H5" s="230" t="e">
        <f>'АВЗ АСУТП'!#REF!</f>
        <v>#REF!</v>
      </c>
      <c r="I5" s="316" t="e">
        <f>'АВЗ АСУТП'!#REF!</f>
        <v>#REF!</v>
      </c>
      <c r="J5" s="230" t="e">
        <f>'АВЗ АСУТП'!#REF!</f>
        <v>#REF!</v>
      </c>
      <c r="K5" s="230" t="e">
        <f>'АВЗ АСУТП'!#REF!</f>
        <v>#REF!</v>
      </c>
      <c r="L5" s="230" t="e">
        <f>'АВЗ АСУТП'!#REF!</f>
        <v>#REF!</v>
      </c>
      <c r="M5" s="230" t="e">
        <f>'SIEM АСУТП'!#REF!</f>
        <v>#REF!</v>
      </c>
      <c r="N5" s="230" t="e">
        <f>'SIEM АСУТП'!#REF!</f>
        <v>#REF!</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t="e">
        <f>'DO АСУТП'!#REF!</f>
        <v>#REF!</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#REF!</v>
      </c>
      <c r="CW5" s="317" t="e">
        <f t="shared" ref="CW5:CW10" si="1">SUMPRODUCT(E5:L5,$E$2:$L$2) + D5</f>
        <v>#REF!</v>
      </c>
      <c r="CX5" s="317" t="e">
        <f t="shared" ref="CX5:CX10" si="2">SUMPRODUCT(M5:N5,$M$2:$N$2) + D5</f>
        <v>#REF!</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t="e">
        <f t="shared" ref="DP5:DP10" si="20">SUMPRODUCT(BS5:BS5,$BS$2:$BS$2) + $D5</f>
        <v>#REF!</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18"/>
      <c r="B6" s="1898"/>
      <c r="C6" s="18" t="s">
        <v>33</v>
      </c>
      <c r="D6" s="21"/>
      <c r="E6" s="316">
        <f>'АВЗ АСУТП'!G4</f>
        <v>0.75</v>
      </c>
      <c r="F6" s="316" t="e">
        <f>'АВЗ АСУТП'!#REF!</f>
        <v>#REF!</v>
      </c>
      <c r="G6" s="316" t="e">
        <f>'АВЗ АСУТП'!#REF!</f>
        <v>#REF!</v>
      </c>
      <c r="H6" s="230" t="e">
        <f>'АВЗ АСУТП'!#REF!</f>
        <v>#REF!</v>
      </c>
      <c r="I6" s="316" t="e">
        <f>'АВЗ АСУТП'!#REF!</f>
        <v>#REF!</v>
      </c>
      <c r="J6" s="230" t="e">
        <f>'АВЗ АСУТП'!#REF!</f>
        <v>#REF!</v>
      </c>
      <c r="K6" s="230" t="e">
        <f>'АВЗ АСУТП'!#REF!</f>
        <v>#REF!</v>
      </c>
      <c r="L6" s="230" t="e">
        <f>'АВЗ АСУТП'!#REF!</f>
        <v>#REF!</v>
      </c>
      <c r="M6" s="230" t="e">
        <f>'SIEM АСУТП'!G4</f>
        <v>#VALUE!</v>
      </c>
      <c r="N6" s="230" t="e">
        <f>'SIEM АСУТП'!K4</f>
        <v>#VALUE!</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t="e">
        <f>'DO АСУТП'!G4</f>
        <v>#VALUE!</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t="e">
        <f t="shared" si="1"/>
        <v>#REF!</v>
      </c>
      <c r="CX6" s="25" t="e">
        <f t="shared" si="2"/>
        <v>#VALUE!</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t="e">
        <f t="shared" si="20"/>
        <v>#VALUE!</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19"/>
      <c r="B7" s="1898"/>
      <c r="C7" s="198" t="s">
        <v>34</v>
      </c>
      <c r="D7" s="21"/>
      <c r="E7" s="316">
        <f>'АВЗ АСУТП'!G5</f>
        <v>1.5</v>
      </c>
      <c r="F7" s="316" t="e">
        <f>'АВЗ АСУТП'!#REF!</f>
        <v>#REF!</v>
      </c>
      <c r="G7" s="316" t="e">
        <f>'АВЗ АСУТП'!#REF!</f>
        <v>#REF!</v>
      </c>
      <c r="H7" s="230" t="e">
        <f>'АВЗ АСУТП'!#REF!</f>
        <v>#REF!</v>
      </c>
      <c r="I7" s="316" t="e">
        <f>'АВЗ АСУТП'!#REF!</f>
        <v>#REF!</v>
      </c>
      <c r="J7" s="230" t="e">
        <f>'АВЗ АСУТП'!#REF!</f>
        <v>#REF!</v>
      </c>
      <c r="K7" s="230" t="e">
        <f>'АВЗ АСУТП'!#REF!</f>
        <v>#REF!</v>
      </c>
      <c r="L7" s="230" t="e">
        <f>'АВЗ АСУТП'!#REF!</f>
        <v>#REF!</v>
      </c>
      <c r="M7" s="230">
        <f>'SIEM АСУТП'!G5</f>
        <v>2</v>
      </c>
      <c r="N7" s="230">
        <f>'SIEM АСУТП'!K5</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АСУТП'!G5</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t="e">
        <f t="shared" si="1"/>
        <v>#REF!</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18" t="s">
        <v>449</v>
      </c>
      <c r="B8" s="1904">
        <f>IF('Тип разраб-ой док-ции'!F5=1,1,0)</f>
        <v>0</v>
      </c>
      <c r="C8" s="325" t="s">
        <v>32</v>
      </c>
      <c r="D8" s="230"/>
      <c r="E8" s="316" t="e">
        <f>'АВЗ АСУТП'!#REF!</f>
        <v>#REF!</v>
      </c>
      <c r="F8" s="316" t="e">
        <f>'АВЗ АСУТП'!#REF!</f>
        <v>#REF!</v>
      </c>
      <c r="G8" s="316" t="e">
        <f>'АВЗ АСУТП'!#REF!</f>
        <v>#REF!</v>
      </c>
      <c r="H8" s="230" t="e">
        <f>'АВЗ АСУТП'!#REF!</f>
        <v>#REF!</v>
      </c>
      <c r="I8" s="316" t="e">
        <f>'АВЗ АСУТП'!#REF!</f>
        <v>#REF!</v>
      </c>
      <c r="J8" s="230" t="e">
        <f>'АВЗ АСУТП'!#REF!</f>
        <v>#REF!</v>
      </c>
      <c r="K8" s="230" t="e">
        <f>'АВЗ АСУТП'!#REF!</f>
        <v>#REF!</v>
      </c>
      <c r="L8" s="230" t="e">
        <f>'АВЗ АСУТП'!#REF!</f>
        <v>#REF!</v>
      </c>
      <c r="M8" s="230" t="e">
        <f>'SIEM АСУТП'!#REF!</f>
        <v>#REF!</v>
      </c>
      <c r="N8" s="230" t="e">
        <f>'SIEM АСУТП'!#REF!</f>
        <v>#REF!</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t="e">
        <f>'DO АСУТП'!#REF!</f>
        <v>#REF!</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t="e">
        <f t="shared" si="1"/>
        <v>#REF!</v>
      </c>
      <c r="CX8" s="25" t="e">
        <f t="shared" si="2"/>
        <v>#REF!</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t="e">
        <f t="shared" si="20"/>
        <v>#REF!</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18"/>
      <c r="B9" s="1898"/>
      <c r="C9" s="18" t="s">
        <v>33</v>
      </c>
      <c r="D9" s="21"/>
      <c r="E9" s="316">
        <f>'АВЗ АСУТП'!G6</f>
        <v>0.75</v>
      </c>
      <c r="F9" s="316" t="e">
        <f>'АВЗ АСУТП'!#REF!</f>
        <v>#REF!</v>
      </c>
      <c r="G9" s="316" t="e">
        <f>'АВЗ АСУТП'!#REF!</f>
        <v>#REF!</v>
      </c>
      <c r="H9" s="230" t="e">
        <f>'АВЗ АСУТП'!#REF!</f>
        <v>#REF!</v>
      </c>
      <c r="I9" s="316" t="e">
        <f>'АВЗ АСУТП'!#REF!</f>
        <v>#REF!</v>
      </c>
      <c r="J9" s="230" t="e">
        <f>'АВЗ АСУТП'!#REF!</f>
        <v>#REF!</v>
      </c>
      <c r="K9" s="230" t="e">
        <f>'АВЗ АСУТП'!#REF!</f>
        <v>#REF!</v>
      </c>
      <c r="L9" s="230" t="e">
        <f>'АВЗ АСУТП'!#REF!</f>
        <v>#REF!</v>
      </c>
      <c r="M9" s="230">
        <f>'SIEM АСУТП'!G6</f>
        <v>1</v>
      </c>
      <c r="N9" s="230">
        <f>'SIEM АСУТП'!K6</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АСУТП'!G6</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t="e">
        <f t="shared" si="1"/>
        <v>#REF!</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18"/>
      <c r="B10" s="1899"/>
      <c r="C10" s="81" t="s">
        <v>34</v>
      </c>
      <c r="D10" s="77"/>
      <c r="E10" s="466">
        <f>'АВЗ АСУТП'!G7</f>
        <v>1.5</v>
      </c>
      <c r="F10" s="466" t="e">
        <f>'АВЗ АСУТП'!#REF!</f>
        <v>#REF!</v>
      </c>
      <c r="G10" s="466" t="e">
        <f>'АВЗ АСУТП'!#REF!</f>
        <v>#REF!</v>
      </c>
      <c r="H10" s="467" t="e">
        <f>'АВЗ АСУТП'!#REF!</f>
        <v>#REF!</v>
      </c>
      <c r="I10" s="466" t="e">
        <f>'АВЗ АСУТП'!#REF!</f>
        <v>#REF!</v>
      </c>
      <c r="J10" s="467" t="e">
        <f>'АВЗ АСУТП'!#REF!</f>
        <v>#REF!</v>
      </c>
      <c r="K10" s="467" t="e">
        <f>'АВЗ АСУТП'!#REF!</f>
        <v>#REF!</v>
      </c>
      <c r="L10" s="467" t="e">
        <f>'АВЗ АСУТП'!#REF!</f>
        <v>#REF!</v>
      </c>
      <c r="M10" s="467">
        <f>'SIEM АСУТП'!G7</f>
        <v>2</v>
      </c>
      <c r="N10" s="467">
        <f>'SIEM АСУТП'!K7</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АСУТП'!G7</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t="e">
        <f t="shared" si="1"/>
        <v>#REF!</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912" t="s">
        <v>2</v>
      </c>
      <c r="B12" s="1898">
        <f>IF('Тип разраб-ой док-ции'!F7=1,1,0)</f>
        <v>0</v>
      </c>
      <c r="C12" s="325" t="s">
        <v>32</v>
      </c>
      <c r="D12" s="230"/>
      <c r="E12" s="316" t="e">
        <f>'АВЗ АСУТП'!#REF!</f>
        <v>#REF!</v>
      </c>
      <c r="F12" s="316" t="e">
        <f>'АВЗ АСУТП'!#REF!</f>
        <v>#REF!</v>
      </c>
      <c r="G12" s="316" t="e">
        <f>'АВЗ АСУТП'!#REF!</f>
        <v>#REF!</v>
      </c>
      <c r="H12" s="230" t="e">
        <f>'АВЗ АСУТП'!#REF!</f>
        <v>#REF!</v>
      </c>
      <c r="I12" s="316" t="e">
        <f>'АВЗ АСУТП'!#REF!</f>
        <v>#REF!</v>
      </c>
      <c r="J12" s="230" t="e">
        <f>'АВЗ АСУТП'!#REF!</f>
        <v>#REF!</v>
      </c>
      <c r="K12" s="230" t="e">
        <f>'АВЗ АСУТП'!#REF!</f>
        <v>#REF!</v>
      </c>
      <c r="L12" s="230" t="e">
        <f>'АВЗ АСУТП'!#REF!</f>
        <v>#REF!</v>
      </c>
      <c r="M12" s="230" t="e">
        <f>'SIEM АСУТП'!#REF!</f>
        <v>#REF!</v>
      </c>
      <c r="N12" s="230" t="e">
        <f>'SIEM АСУТП'!#REF!</f>
        <v>#REF!</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t="e">
        <f>'DO АСУТП'!#REF!</f>
        <v>#REF!</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#REF!</v>
      </c>
      <c r="CW12" s="317" t="e">
        <f>SUMPRODUCT(E12:L12,$E$2:$L$2) + D12</f>
        <v>#REF!</v>
      </c>
      <c r="CX12" s="317" t="e">
        <f>SUMPRODUCT(M12:N12,$M$2:$N$2) + D12</f>
        <v>#REF!</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t="e">
        <f>SUMPRODUCT(BS12:BS12,$BS$2:$BS$2) + $D12</f>
        <v>#REF!</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912"/>
      <c r="B13" s="1898"/>
      <c r="C13" s="18" t="s">
        <v>33</v>
      </c>
      <c r="D13" s="21"/>
      <c r="E13" s="316">
        <f>'АВЗ АСУТП'!G8</f>
        <v>0.75</v>
      </c>
      <c r="F13" s="316" t="e">
        <f>'АВЗ АСУТП'!#REF!</f>
        <v>#REF!</v>
      </c>
      <c r="G13" s="316" t="e">
        <f>'АВЗ АСУТП'!#REF!</f>
        <v>#REF!</v>
      </c>
      <c r="H13" s="230" t="e">
        <f>'АВЗ АСУТП'!#REF!</f>
        <v>#REF!</v>
      </c>
      <c r="I13" s="316" t="e">
        <f>'АВЗ АСУТП'!#REF!</f>
        <v>#REF!</v>
      </c>
      <c r="J13" s="230" t="e">
        <f>'АВЗ АСУТП'!#REF!</f>
        <v>#REF!</v>
      </c>
      <c r="K13" s="230" t="e">
        <f>'АВЗ АСУТП'!#REF!</f>
        <v>#REF!</v>
      </c>
      <c r="L13" s="230" t="e">
        <f>'АВЗ АСУТП'!#REF!</f>
        <v>#REF!</v>
      </c>
      <c r="M13" s="230" t="e">
        <f>'SIEM АСУТП'!G8</f>
        <v>#VALUE!</v>
      </c>
      <c r="N13" s="230" t="e">
        <f>'SIEM АСУТП'!K8</f>
        <v>#VALUE!</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t="e">
        <f>'DO АСУТП'!G8</f>
        <v>#VALUE!</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t="e">
        <f>SUMPRODUCT(E13:L13,$E$2:$L$2) + D13</f>
        <v>#REF!</v>
      </c>
      <c r="CX13" s="25" t="e">
        <f>SUMPRODUCT(M13:N13,$M$2:$N$2) + D13</f>
        <v>#VALUE!</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t="e">
        <f>SUMPRODUCT(BS13:BS13,$BS$2:$BS$2) + $D13</f>
        <v>#VALUE!</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912"/>
      <c r="B14" s="1898"/>
      <c r="C14" s="81" t="s">
        <v>34</v>
      </c>
      <c r="D14" s="77"/>
      <c r="E14" s="466">
        <f>'АВЗ АСУТП'!G9</f>
        <v>1.5</v>
      </c>
      <c r="F14" s="466" t="e">
        <f>'АВЗ АСУТП'!#REF!</f>
        <v>#REF!</v>
      </c>
      <c r="G14" s="466" t="e">
        <f>'АВЗ АСУТП'!#REF!</f>
        <v>#REF!</v>
      </c>
      <c r="H14" s="467" t="e">
        <f>'АВЗ АСУТП'!#REF!</f>
        <v>#REF!</v>
      </c>
      <c r="I14" s="466" t="e">
        <f>'АВЗ АСУТП'!#REF!</f>
        <v>#REF!</v>
      </c>
      <c r="J14" s="467" t="e">
        <f>'АВЗ АСУТП'!#REF!</f>
        <v>#REF!</v>
      </c>
      <c r="K14" s="467" t="e">
        <f>'АВЗ АСУТП'!#REF!</f>
        <v>#REF!</v>
      </c>
      <c r="L14" s="467" t="e">
        <f>'АВЗ АСУТП'!#REF!</f>
        <v>#REF!</v>
      </c>
      <c r="M14" s="467">
        <f>'SIEM АСУТП'!G9</f>
        <v>4.5</v>
      </c>
      <c r="N14" s="467">
        <f>'SIEM АСУТП'!K9</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АСУТП'!G9</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t="e">
        <f>SUMPRODUCT(E14:L14,$E$2:$L$2) + D14</f>
        <v>#REF!</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894" t="s">
        <v>4</v>
      </c>
      <c r="B16" s="1898">
        <f>IF('Тип разраб-ой док-ции'!F9=1,1,0)</f>
        <v>1</v>
      </c>
      <c r="C16" s="325" t="s">
        <v>32</v>
      </c>
      <c r="D16" s="230"/>
      <c r="E16" s="316" t="e">
        <f>'АВЗ АСУТП'!#REF!</f>
        <v>#REF!</v>
      </c>
      <c r="F16" s="316" t="e">
        <f>'АВЗ АСУТП'!#REF!</f>
        <v>#REF!</v>
      </c>
      <c r="G16" s="316" t="e">
        <f>'АВЗ АСУТП'!#REF!</f>
        <v>#REF!</v>
      </c>
      <c r="H16" s="230" t="e">
        <f>'АВЗ АСУТП'!#REF!</f>
        <v>#REF!</v>
      </c>
      <c r="I16" s="316" t="e">
        <f>'АВЗ АСУТП'!#REF!</f>
        <v>#REF!</v>
      </c>
      <c r="J16" s="230" t="e">
        <f>'АВЗ АСУТП'!#REF!</f>
        <v>#REF!</v>
      </c>
      <c r="K16" s="230" t="e">
        <f>'АВЗ АСУТП'!#REF!</f>
        <v>#REF!</v>
      </c>
      <c r="L16" s="230" t="e">
        <f>'АВЗ АСУТП'!#REF!</f>
        <v>#REF!</v>
      </c>
      <c r="M16" s="230" t="e">
        <f>'SIEM АСУТП'!#REF!</f>
        <v>#REF!</v>
      </c>
      <c r="N16" s="230" t="e">
        <f>'SIEM АСУТП'!#REF!</f>
        <v>#REF!</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t="e">
        <f>'DO АСУТП'!#REF!</f>
        <v>#REF!</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#REF!</v>
      </c>
      <c r="CW16" s="317" t="e">
        <f t="shared" ref="CW16:CW36" si="32">SUMPRODUCT(E16:L16,$E$2:$L$2) + D16</f>
        <v>#REF!</v>
      </c>
      <c r="CX16" s="317" t="e">
        <f t="shared" ref="CX16:CX36" si="33">SUMPRODUCT(M16:N16,$M$2:$N$2) + D16</f>
        <v>#REF!</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t="e">
        <f t="shared" ref="DP16:DP36" si="51">SUMPRODUCT(BS16:BS16,$BS$2:$BS$2) + $D16</f>
        <v>#REF!</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895"/>
      <c r="B17" s="1898"/>
      <c r="C17" s="18" t="s">
        <v>33</v>
      </c>
      <c r="D17" s="21"/>
      <c r="E17" s="316">
        <f>'АВЗ АСУТП'!G10</f>
        <v>0</v>
      </c>
      <c r="F17" s="316" t="e">
        <f>'АВЗ АСУТП'!#REF!</f>
        <v>#REF!</v>
      </c>
      <c r="G17" s="316" t="e">
        <f>'АВЗ АСУТП'!#REF!</f>
        <v>#REF!</v>
      </c>
      <c r="H17" s="230" t="e">
        <f>'АВЗ АСУТП'!#REF!</f>
        <v>#REF!</v>
      </c>
      <c r="I17" s="316" t="e">
        <f>'АВЗ АСУТП'!#REF!</f>
        <v>#REF!</v>
      </c>
      <c r="J17" s="230" t="e">
        <f>'АВЗ АСУТП'!#REF!</f>
        <v>#REF!</v>
      </c>
      <c r="K17" s="230" t="e">
        <f>'АВЗ АСУТП'!#REF!</f>
        <v>#REF!</v>
      </c>
      <c r="L17" s="230" t="e">
        <f>'АВЗ АСУТП'!#REF!</f>
        <v>#REF!</v>
      </c>
      <c r="M17" s="230" t="e">
        <f>'SIEM АСУТП'!G10</f>
        <v>#VALUE!</v>
      </c>
      <c r="N17" s="230" t="e">
        <f>'SIEM АСУТП'!K10</f>
        <v>#VALUE!</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t="e">
        <f>'DO АСУТП'!G10</f>
        <v>#VALUE!</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t="e">
        <f t="shared" si="32"/>
        <v>#REF!</v>
      </c>
      <c r="CX17" s="25" t="e">
        <f t="shared" si="33"/>
        <v>#VALUE!</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t="e">
        <f t="shared" si="51"/>
        <v>#VALUE!</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895"/>
      <c r="B18" s="1914"/>
      <c r="C18" s="18" t="s">
        <v>34</v>
      </c>
      <c r="D18" s="21"/>
      <c r="E18" s="316">
        <f>'АВЗ АСУТП'!G11</f>
        <v>0</v>
      </c>
      <c r="F18" s="316" t="e">
        <f>'АВЗ АСУТП'!#REF!</f>
        <v>#REF!</v>
      </c>
      <c r="G18" s="316" t="e">
        <f>'АВЗ АСУТП'!#REF!</f>
        <v>#REF!</v>
      </c>
      <c r="H18" s="230" t="e">
        <f>'АВЗ АСУТП'!#REF!</f>
        <v>#REF!</v>
      </c>
      <c r="I18" s="316" t="e">
        <f>'АВЗ АСУТП'!#REF!</f>
        <v>#REF!</v>
      </c>
      <c r="J18" s="230" t="e">
        <f>'АВЗ АСУТП'!#REF!</f>
        <v>#REF!</v>
      </c>
      <c r="K18" s="230" t="e">
        <f>'АВЗ АСУТП'!#REF!</f>
        <v>#REF!</v>
      </c>
      <c r="L18" s="230" t="e">
        <f>'АВЗ АСУТП'!#REF!</f>
        <v>#REF!</v>
      </c>
      <c r="M18" s="230">
        <f>'SIEM АСУТП'!G11</f>
        <v>0</v>
      </c>
      <c r="N18" s="230">
        <f>'SIEM АСУТП'!K11</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АСУТП'!G11</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t="e">
        <f t="shared" si="32"/>
        <v>#REF!</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895" t="s">
        <v>5</v>
      </c>
      <c r="B19" s="1898">
        <f>IF('Тип разраб-ой док-ции'!F10=1,1,0)</f>
        <v>0</v>
      </c>
      <c r="C19" s="18" t="s">
        <v>32</v>
      </c>
      <c r="D19" s="21"/>
      <c r="E19" s="316" t="e">
        <f>'АВЗ АСУТП'!#REF!</f>
        <v>#REF!</v>
      </c>
      <c r="F19" s="316" t="e">
        <f>'АВЗ АСУТП'!#REF!</f>
        <v>#REF!</v>
      </c>
      <c r="G19" s="316" t="e">
        <f>'АВЗ АСУТП'!#REF!</f>
        <v>#REF!</v>
      </c>
      <c r="H19" s="230" t="e">
        <f>'АВЗ АСУТП'!#REF!</f>
        <v>#REF!</v>
      </c>
      <c r="I19" s="316" t="e">
        <f>'АВЗ АСУТП'!#REF!</f>
        <v>#REF!</v>
      </c>
      <c r="J19" s="230" t="e">
        <f>'АВЗ АСУТП'!#REF!</f>
        <v>#REF!</v>
      </c>
      <c r="K19" s="230" t="e">
        <f>'АВЗ АСУТП'!#REF!</f>
        <v>#REF!</v>
      </c>
      <c r="L19" s="230" t="e">
        <f>'АВЗ АСУТП'!#REF!</f>
        <v>#REF!</v>
      </c>
      <c r="M19" s="230" t="e">
        <f>'SIEM АСУТП'!#REF!</f>
        <v>#REF!</v>
      </c>
      <c r="N19" s="230" t="e">
        <f>'SIEM АСУТП'!#REF!</f>
        <v>#REF!</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t="e">
        <f>'DO АСУТП'!#REF!</f>
        <v>#REF!</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t="e">
        <f t="shared" si="32"/>
        <v>#REF!</v>
      </c>
      <c r="CX19" s="25" t="e">
        <f t="shared" si="33"/>
        <v>#REF!</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t="e">
        <f t="shared" si="51"/>
        <v>#REF!</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895"/>
      <c r="B20" s="1898"/>
      <c r="C20" s="18" t="s">
        <v>33</v>
      </c>
      <c r="D20" s="21"/>
      <c r="E20" s="316">
        <f>'АВЗ АСУТП'!G12</f>
        <v>0.5</v>
      </c>
      <c r="F20" s="316" t="e">
        <f>'АВЗ АСУТП'!#REF!</f>
        <v>#REF!</v>
      </c>
      <c r="G20" s="316" t="e">
        <f>'АВЗ АСУТП'!#REF!</f>
        <v>#REF!</v>
      </c>
      <c r="H20" s="230" t="e">
        <f>'АВЗ АСУТП'!#REF!</f>
        <v>#REF!</v>
      </c>
      <c r="I20" s="316" t="e">
        <f>'АВЗ АСУТП'!#REF!</f>
        <v>#REF!</v>
      </c>
      <c r="J20" s="230" t="e">
        <f>'АВЗ АСУТП'!#REF!</f>
        <v>#REF!</v>
      </c>
      <c r="K20" s="230" t="e">
        <f>'АВЗ АСУТП'!#REF!</f>
        <v>#REF!</v>
      </c>
      <c r="L20" s="230" t="e">
        <f>'АВЗ АСУТП'!#REF!</f>
        <v>#REF!</v>
      </c>
      <c r="M20" s="230">
        <f>'SIEM АСУТП'!G12</f>
        <v>1</v>
      </c>
      <c r="N20" s="230">
        <f>'SIEM АСУТП'!K12</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АСУТП'!G12</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t="e">
        <f t="shared" si="32"/>
        <v>#REF!</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895"/>
      <c r="B21" s="1914"/>
      <c r="C21" s="18" t="s">
        <v>34</v>
      </c>
      <c r="D21" s="21"/>
      <c r="E21" s="316">
        <f>'АВЗ АСУТП'!G13</f>
        <v>0.5</v>
      </c>
      <c r="F21" s="316" t="e">
        <f>'АВЗ АСУТП'!#REF!</f>
        <v>#REF!</v>
      </c>
      <c r="G21" s="316" t="e">
        <f>'АВЗ АСУТП'!#REF!</f>
        <v>#REF!</v>
      </c>
      <c r="H21" s="230" t="e">
        <f>'АВЗ АСУТП'!#REF!</f>
        <v>#REF!</v>
      </c>
      <c r="I21" s="316" t="e">
        <f>'АВЗ АСУТП'!#REF!</f>
        <v>#REF!</v>
      </c>
      <c r="J21" s="230" t="e">
        <f>'АВЗ АСУТП'!#REF!</f>
        <v>#REF!</v>
      </c>
      <c r="K21" s="230" t="e">
        <f>'АВЗ АСУТП'!#REF!</f>
        <v>#REF!</v>
      </c>
      <c r="L21" s="230" t="e">
        <f>'АВЗ АСУТП'!#REF!</f>
        <v>#REF!</v>
      </c>
      <c r="M21" s="230">
        <f>'SIEM АСУТП'!G13</f>
        <v>1</v>
      </c>
      <c r="N21" s="230">
        <f>'SIEM АСУТП'!K13</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АСУТП'!G13</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t="e">
        <f t="shared" si="32"/>
        <v>#REF!</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895" t="s">
        <v>6</v>
      </c>
      <c r="B22" s="1898">
        <f>IF('Тип разраб-ой док-ции'!F11=1,1,0)</f>
        <v>1</v>
      </c>
      <c r="C22" s="18" t="s">
        <v>32</v>
      </c>
      <c r="D22" s="21"/>
      <c r="E22" s="316" t="e">
        <f>'АВЗ АСУТП'!#REF!</f>
        <v>#REF!</v>
      </c>
      <c r="F22" s="316" t="e">
        <f>'АВЗ АСУТП'!#REF!</f>
        <v>#REF!</v>
      </c>
      <c r="G22" s="316" t="e">
        <f>'АВЗ АСУТП'!#REF!</f>
        <v>#REF!</v>
      </c>
      <c r="H22" s="230" t="e">
        <f>'АВЗ АСУТП'!#REF!</f>
        <v>#REF!</v>
      </c>
      <c r="I22" s="316" t="e">
        <f>'АВЗ АСУТП'!#REF!</f>
        <v>#REF!</v>
      </c>
      <c r="J22" s="230" t="e">
        <f>'АВЗ АСУТП'!#REF!</f>
        <v>#REF!</v>
      </c>
      <c r="K22" s="230" t="e">
        <f>'АВЗ АСУТП'!#REF!</f>
        <v>#REF!</v>
      </c>
      <c r="L22" s="230" t="e">
        <f>'АВЗ АСУТП'!#REF!</f>
        <v>#REF!</v>
      </c>
      <c r="M22" s="230" t="e">
        <f>'SIEM АСУТП'!#REF!</f>
        <v>#REF!</v>
      </c>
      <c r="N22" s="230" t="e">
        <f>'SIEM АСУТП'!#REF!</f>
        <v>#REF!</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t="e">
        <f>'DO АСУТП'!#REF!</f>
        <v>#REF!</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t="e">
        <f t="shared" si="32"/>
        <v>#REF!</v>
      </c>
      <c r="CX22" s="25" t="e">
        <f t="shared" si="33"/>
        <v>#REF!</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t="e">
        <f t="shared" si="51"/>
        <v>#REF!</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895"/>
      <c r="B23" s="1898"/>
      <c r="C23" s="18" t="s">
        <v>33</v>
      </c>
      <c r="D23" s="21"/>
      <c r="E23" s="316">
        <f>'АВЗ АСУТП'!G14</f>
        <v>3</v>
      </c>
      <c r="F23" s="316" t="e">
        <f>'АВЗ АСУТП'!#REF!</f>
        <v>#REF!</v>
      </c>
      <c r="G23" s="316" t="e">
        <f>'АВЗ АСУТП'!#REF!</f>
        <v>#REF!</v>
      </c>
      <c r="H23" s="230" t="e">
        <f>'АВЗ АСУТП'!#REF!</f>
        <v>#REF!</v>
      </c>
      <c r="I23" s="316" t="e">
        <f>'АВЗ АСУТП'!#REF!</f>
        <v>#REF!</v>
      </c>
      <c r="J23" s="230" t="e">
        <f>'АВЗ АСУТП'!#REF!</f>
        <v>#REF!</v>
      </c>
      <c r="K23" s="230" t="e">
        <f>'АВЗ АСУТП'!#REF!</f>
        <v>#REF!</v>
      </c>
      <c r="L23" s="230" t="e">
        <f>'АВЗ АСУТП'!#REF!</f>
        <v>#REF!</v>
      </c>
      <c r="M23" s="230">
        <f>'SIEM АСУТП'!G14</f>
        <v>2.5</v>
      </c>
      <c r="N23" s="230">
        <f>'SIEM АСУТП'!K14</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АСУТП'!G14</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t="e">
        <f t="shared" si="32"/>
        <v>#REF!</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895"/>
      <c r="B24" s="1914"/>
      <c r="C24" s="18" t="s">
        <v>34</v>
      </c>
      <c r="D24" s="21"/>
      <c r="E24" s="316">
        <f>'АВЗ АСУТП'!G15</f>
        <v>5</v>
      </c>
      <c r="F24" s="316" t="e">
        <f>'АВЗ АСУТП'!#REF!</f>
        <v>#REF!</v>
      </c>
      <c r="G24" s="316" t="e">
        <f>'АВЗ АСУТП'!#REF!</f>
        <v>#REF!</v>
      </c>
      <c r="H24" s="230" t="e">
        <f>'АВЗ АСУТП'!#REF!</f>
        <v>#REF!</v>
      </c>
      <c r="I24" s="316" t="e">
        <f>'АВЗ АСУТП'!#REF!</f>
        <v>#REF!</v>
      </c>
      <c r="J24" s="230" t="e">
        <f>'АВЗ АСУТП'!#REF!</f>
        <v>#REF!</v>
      </c>
      <c r="K24" s="230" t="e">
        <f>'АВЗ АСУТП'!#REF!</f>
        <v>#REF!</v>
      </c>
      <c r="L24" s="230" t="e">
        <f>'АВЗ АСУТП'!#REF!</f>
        <v>#REF!</v>
      </c>
      <c r="M24" s="230">
        <f>'SIEM АСУТП'!G15</f>
        <v>4.5</v>
      </c>
      <c r="N24" s="230">
        <f>'SIEM АСУТП'!K15</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АСУТП'!G15</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t="e">
        <f t="shared" si="32"/>
        <v>#REF!</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895" t="s">
        <v>7</v>
      </c>
      <c r="B25" s="1898">
        <f>IF('Тип разраб-ой док-ции'!F12=1,1,0)</f>
        <v>1</v>
      </c>
      <c r="C25" s="18" t="s">
        <v>32</v>
      </c>
      <c r="D25" s="21"/>
      <c r="E25" s="316" t="e">
        <f>'АВЗ АСУТП'!#REF!</f>
        <v>#REF!</v>
      </c>
      <c r="F25" s="316" t="e">
        <f>'АВЗ АСУТП'!#REF!</f>
        <v>#REF!</v>
      </c>
      <c r="G25" s="316" t="e">
        <f>'АВЗ АСУТП'!#REF!</f>
        <v>#REF!</v>
      </c>
      <c r="H25" s="230" t="e">
        <f>'АВЗ АСУТП'!#REF!</f>
        <v>#REF!</v>
      </c>
      <c r="I25" s="316" t="e">
        <f>'АВЗ АСУТП'!#REF!</f>
        <v>#REF!</v>
      </c>
      <c r="J25" s="230" t="e">
        <f>'АВЗ АСУТП'!#REF!</f>
        <v>#REF!</v>
      </c>
      <c r="K25" s="230" t="e">
        <f>'АВЗ АСУТП'!#REF!</f>
        <v>#REF!</v>
      </c>
      <c r="L25" s="230" t="e">
        <f>'АВЗ АСУТП'!#REF!</f>
        <v>#REF!</v>
      </c>
      <c r="M25" s="230" t="e">
        <f>'SIEM АСУТП'!#REF!</f>
        <v>#REF!</v>
      </c>
      <c r="N25" s="230" t="e">
        <f>'SIEM АСУТП'!#REF!</f>
        <v>#REF!</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t="e">
        <f>'DO АСУТП'!#REF!</f>
        <v>#REF!</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t="e">
        <f t="shared" si="32"/>
        <v>#REF!</v>
      </c>
      <c r="CX25" s="25" t="e">
        <f t="shared" si="33"/>
        <v>#REF!</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t="e">
        <f t="shared" si="51"/>
        <v>#REF!</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895"/>
      <c r="B26" s="1898"/>
      <c r="C26" s="18" t="s">
        <v>33</v>
      </c>
      <c r="D26" s="21"/>
      <c r="E26" s="316">
        <f>'АВЗ АСУТП'!G16</f>
        <v>1</v>
      </c>
      <c r="F26" s="316" t="e">
        <f>'АВЗ АСУТП'!#REF!</f>
        <v>#REF!</v>
      </c>
      <c r="G26" s="316" t="e">
        <f>'АВЗ АСУТП'!#REF!</f>
        <v>#REF!</v>
      </c>
      <c r="H26" s="230" t="e">
        <f>'АВЗ АСУТП'!#REF!</f>
        <v>#REF!</v>
      </c>
      <c r="I26" s="316" t="e">
        <f>'АВЗ АСУТП'!#REF!</f>
        <v>#REF!</v>
      </c>
      <c r="J26" s="230" t="e">
        <f>'АВЗ АСУТП'!#REF!</f>
        <v>#REF!</v>
      </c>
      <c r="K26" s="230" t="e">
        <f>'АВЗ АСУТП'!#REF!</f>
        <v>#REF!</v>
      </c>
      <c r="L26" s="230" t="e">
        <f>'АВЗ АСУТП'!#REF!</f>
        <v>#REF!</v>
      </c>
      <c r="M26" s="230">
        <f>'SIEM АСУТП'!G16</f>
        <v>2</v>
      </c>
      <c r="N26" s="230">
        <f>'SIEM АСУТП'!K16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АСУТП'!G16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t="e">
        <f t="shared" si="32"/>
        <v>#REF!</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895"/>
      <c r="B27" s="1914"/>
      <c r="C27" s="18" t="s">
        <v>34</v>
      </c>
      <c r="D27" s="21"/>
      <c r="E27" s="316">
        <f>'АВЗ АСУТП'!G17</f>
        <v>2</v>
      </c>
      <c r="F27" s="316" t="e">
        <f>'АВЗ АСУТП'!#REF!</f>
        <v>#REF!</v>
      </c>
      <c r="G27" s="316" t="e">
        <f>'АВЗ АСУТП'!#REF!</f>
        <v>#REF!</v>
      </c>
      <c r="H27" s="230" t="e">
        <f>'АВЗ АСУТП'!#REF!</f>
        <v>#REF!</v>
      </c>
      <c r="I27" s="316" t="e">
        <f>'АВЗ АСУТП'!#REF!</f>
        <v>#REF!</v>
      </c>
      <c r="J27" s="230" t="e">
        <f>'АВЗ АСУТП'!#REF!</f>
        <v>#REF!</v>
      </c>
      <c r="K27" s="230" t="e">
        <f>'АВЗ АСУТП'!#REF!</f>
        <v>#REF!</v>
      </c>
      <c r="L27" s="230" t="e">
        <f>'АВЗ АСУТП'!#REF!</f>
        <v>#REF!</v>
      </c>
      <c r="M27" s="230">
        <f>'SIEM АСУТП'!G17</f>
        <v>4</v>
      </c>
      <c r="N27" s="230">
        <f>'SIEM АСУТП'!K17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АСУТП'!G17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t="e">
        <f t="shared" si="32"/>
        <v>#REF!</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895" t="s">
        <v>8</v>
      </c>
      <c r="B28" s="1898">
        <f>IF('Тип разраб-ой док-ции'!F13=1,1,0)</f>
        <v>1</v>
      </c>
      <c r="C28" s="18" t="s">
        <v>32</v>
      </c>
      <c r="D28" s="21"/>
      <c r="E28" s="316" t="e">
        <f>'АВЗ АСУТП'!#REF!</f>
        <v>#REF!</v>
      </c>
      <c r="F28" s="316" t="e">
        <f>'АВЗ АСУТП'!#REF!</f>
        <v>#REF!</v>
      </c>
      <c r="G28" s="316" t="e">
        <f>'АВЗ АСУТП'!#REF!</f>
        <v>#REF!</v>
      </c>
      <c r="H28" s="230" t="e">
        <f>'АВЗ АСУТП'!#REF!</f>
        <v>#REF!</v>
      </c>
      <c r="I28" s="316" t="e">
        <f>'АВЗ АСУТП'!#REF!</f>
        <v>#REF!</v>
      </c>
      <c r="J28" s="230" t="e">
        <f>'АВЗ АСУТП'!#REF!</f>
        <v>#REF!</v>
      </c>
      <c r="K28" s="230" t="e">
        <f>'АВЗ АСУТП'!#REF!</f>
        <v>#REF!</v>
      </c>
      <c r="L28" s="230" t="e">
        <f>'АВЗ АСУТП'!#REF!</f>
        <v>#REF!</v>
      </c>
      <c r="M28" s="230" t="e">
        <f>'SIEM АСУТП'!#REF!</f>
        <v>#REF!</v>
      </c>
      <c r="N28" s="230" t="e">
        <f>'SIEM АСУТП'!#REF!</f>
        <v>#REF!</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t="e">
        <f>'DO АСУТП'!#REF!</f>
        <v>#REF!</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t="e">
        <f t="shared" si="32"/>
        <v>#REF!</v>
      </c>
      <c r="CX28" s="25" t="e">
        <f t="shared" si="33"/>
        <v>#REF!</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t="e">
        <f t="shared" si="51"/>
        <v>#REF!</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895"/>
      <c r="B29" s="1898"/>
      <c r="C29" s="18" t="s">
        <v>33</v>
      </c>
      <c r="D29" s="21"/>
      <c r="E29" s="316">
        <f>'АВЗ АСУТП'!G18</f>
        <v>3.5</v>
      </c>
      <c r="F29" s="316" t="e">
        <f>'АВЗ АСУТП'!#REF!</f>
        <v>#REF!</v>
      </c>
      <c r="G29" s="316" t="e">
        <f>'АВЗ АСУТП'!#REF!</f>
        <v>#REF!</v>
      </c>
      <c r="H29" s="230" t="e">
        <f>'АВЗ АСУТП'!#REF!</f>
        <v>#REF!</v>
      </c>
      <c r="I29" s="316" t="e">
        <f>'АВЗ АСУТП'!#REF!</f>
        <v>#REF!</v>
      </c>
      <c r="J29" s="230" t="e">
        <f>'АВЗ АСУТП'!#REF!</f>
        <v>#REF!</v>
      </c>
      <c r="K29" s="230" t="e">
        <f>'АВЗ АСУТП'!#REF!</f>
        <v>#REF!</v>
      </c>
      <c r="L29" s="230" t="e">
        <f>'АВЗ АСУТП'!#REF!</f>
        <v>#REF!</v>
      </c>
      <c r="M29" s="230" t="e">
        <f>'SIEM АСУТП'!#REF!</f>
        <v>#REF!</v>
      </c>
      <c r="N29" s="230" t="e">
        <f>'SIEM АСУТП'!#REF!</f>
        <v>#REF!</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АСУТП'!G18</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t="e">
        <f t="shared" si="32"/>
        <v>#REF!</v>
      </c>
      <c r="CX29" s="25" t="e">
        <f t="shared" si="33"/>
        <v>#REF!</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895"/>
      <c r="B30" s="1914"/>
      <c r="C30" s="18" t="s">
        <v>34</v>
      </c>
      <c r="D30" s="21"/>
      <c r="E30" s="316">
        <f>'АВЗ АСУТП'!G19</f>
        <v>5.5</v>
      </c>
      <c r="F30" s="316" t="e">
        <f>'АВЗ АСУТП'!#REF!</f>
        <v>#REF!</v>
      </c>
      <c r="G30" s="316" t="e">
        <f>'АВЗ АСУТП'!#REF!</f>
        <v>#REF!</v>
      </c>
      <c r="H30" s="230" t="e">
        <f>'АВЗ АСУТП'!#REF!</f>
        <v>#REF!</v>
      </c>
      <c r="I30" s="316" t="e">
        <f>'АВЗ АСУТП'!#REF!</f>
        <v>#REF!</v>
      </c>
      <c r="J30" s="230" t="e">
        <f>'АВЗ АСУТП'!#REF!</f>
        <v>#REF!</v>
      </c>
      <c r="K30" s="230" t="e">
        <f>'АВЗ АСУТП'!#REF!</f>
        <v>#REF!</v>
      </c>
      <c r="L30" s="230" t="e">
        <f>'АВЗ АСУТП'!#REF!</f>
        <v>#REF!</v>
      </c>
      <c r="M30" s="230">
        <f>'SIEM АСУТП'!G18</f>
        <v>6</v>
      </c>
      <c r="N30" s="230">
        <f>'SIEM АСУТП'!K18</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АСУТП'!G19</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t="e">
        <f t="shared" si="32"/>
        <v>#REF!</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895" t="s">
        <v>9</v>
      </c>
      <c r="B31" s="1898">
        <f>IF('Тип разраб-ой док-ции'!F14=1,1,0)</f>
        <v>1</v>
      </c>
      <c r="C31" s="18" t="s">
        <v>32</v>
      </c>
      <c r="D31" s="21"/>
      <c r="E31" s="316" t="e">
        <f>'АВЗ АСУТП'!#REF!</f>
        <v>#REF!</v>
      </c>
      <c r="F31" s="316" t="e">
        <f>'АВЗ АСУТП'!#REF!</f>
        <v>#REF!</v>
      </c>
      <c r="G31" s="316" t="e">
        <f>'АВЗ АСУТП'!#REF!</f>
        <v>#REF!</v>
      </c>
      <c r="H31" s="230" t="e">
        <f>'АВЗ АСУТП'!#REF!</f>
        <v>#REF!</v>
      </c>
      <c r="I31" s="316" t="e">
        <f>'АВЗ АСУТП'!#REF!</f>
        <v>#REF!</v>
      </c>
      <c r="J31" s="230" t="e">
        <f>'АВЗ АСУТП'!#REF!</f>
        <v>#REF!</v>
      </c>
      <c r="K31" s="230" t="e">
        <f>'АВЗ АСУТП'!#REF!</f>
        <v>#REF!</v>
      </c>
      <c r="L31" s="230" t="e">
        <f>'АВЗ АСУТП'!#REF!</f>
        <v>#REF!</v>
      </c>
      <c r="M31" s="230" t="e">
        <f>'SIEM АСУТП'!#REF!</f>
        <v>#REF!</v>
      </c>
      <c r="N31" s="230" t="e">
        <f>'SIEM АСУТП'!#REF!</f>
        <v>#REF!</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t="e">
        <f>'DO АСУТП'!#REF!</f>
        <v>#REF!</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t="e">
        <f t="shared" si="32"/>
        <v>#REF!</v>
      </c>
      <c r="CX31" s="25" t="e">
        <f t="shared" si="33"/>
        <v>#REF!</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t="e">
        <f t="shared" si="51"/>
        <v>#REF!</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895"/>
      <c r="B32" s="1898"/>
      <c r="C32" s="18" t="s">
        <v>33</v>
      </c>
      <c r="D32" s="21"/>
      <c r="E32" s="316">
        <f>'АВЗ АСУТП'!G20</f>
        <v>0.25</v>
      </c>
      <c r="F32" s="316" t="e">
        <f>'АВЗ АСУТП'!#REF!</f>
        <v>#REF!</v>
      </c>
      <c r="G32" s="316" t="e">
        <f>'АВЗ АСУТП'!#REF!</f>
        <v>#REF!</v>
      </c>
      <c r="H32" s="230" t="e">
        <f>'АВЗ АСУТП'!#REF!</f>
        <v>#REF!</v>
      </c>
      <c r="I32" s="316" t="e">
        <f>'АВЗ АСУТП'!#REF!</f>
        <v>#REF!</v>
      </c>
      <c r="J32" s="230" t="e">
        <f>'АВЗ АСУТП'!#REF!</f>
        <v>#REF!</v>
      </c>
      <c r="K32" s="230" t="e">
        <f>'АВЗ АСУТП'!#REF!</f>
        <v>#REF!</v>
      </c>
      <c r="L32" s="230" t="e">
        <f>'АВЗ АСУТП'!#REF!</f>
        <v>#REF!</v>
      </c>
      <c r="M32" s="230">
        <f>'SIEM АСУТП'!G19</f>
        <v>1</v>
      </c>
      <c r="N32" s="230">
        <f>'SIEM АСУТП'!K19</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АСУТП'!G20</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t="e">
        <f t="shared" si="32"/>
        <v>#REF!</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895"/>
      <c r="B33" s="1914"/>
      <c r="C33" s="18" t="s">
        <v>34</v>
      </c>
      <c r="D33" s="21"/>
      <c r="E33" s="316">
        <f>'АВЗ АСУТП'!G21</f>
        <v>0.25</v>
      </c>
      <c r="F33" s="316" t="e">
        <f>'АВЗ АСУТП'!#REF!</f>
        <v>#REF!</v>
      </c>
      <c r="G33" s="316" t="e">
        <f>'АВЗ АСУТП'!#REF!</f>
        <v>#REF!</v>
      </c>
      <c r="H33" s="230" t="e">
        <f>'АВЗ АСУТП'!#REF!</f>
        <v>#REF!</v>
      </c>
      <c r="I33" s="316" t="e">
        <f>'АВЗ АСУТП'!#REF!</f>
        <v>#REF!</v>
      </c>
      <c r="J33" s="230" t="e">
        <f>'АВЗ АСУТП'!#REF!</f>
        <v>#REF!</v>
      </c>
      <c r="K33" s="230" t="e">
        <f>'АВЗ АСУТП'!#REF!</f>
        <v>#REF!</v>
      </c>
      <c r="L33" s="230" t="e">
        <f>'АВЗ АСУТП'!#REF!</f>
        <v>#REF!</v>
      </c>
      <c r="M33" s="230">
        <f>'SIEM АСУТП'!G20</f>
        <v>1</v>
      </c>
      <c r="N33" s="230">
        <f>'SIEM АСУТП'!K20</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АСУТП'!G21</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t="e">
        <f t="shared" si="32"/>
        <v>#REF!</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895" t="s">
        <v>10</v>
      </c>
      <c r="B34" s="1898">
        <f>IF('Тип разраб-ой док-ции'!F15=1,1,0)</f>
        <v>1</v>
      </c>
      <c r="C34" s="18" t="s">
        <v>32</v>
      </c>
      <c r="D34" s="21"/>
      <c r="E34" s="316" t="e">
        <f>'АВЗ АСУТП'!#REF!</f>
        <v>#REF!</v>
      </c>
      <c r="F34" s="316" t="e">
        <f>'АВЗ АСУТП'!#REF!</f>
        <v>#REF!</v>
      </c>
      <c r="G34" s="316" t="e">
        <f>'АВЗ АСУТП'!#REF!</f>
        <v>#REF!</v>
      </c>
      <c r="H34" s="230" t="e">
        <f>'АВЗ АСУТП'!#REF!</f>
        <v>#REF!</v>
      </c>
      <c r="I34" s="316" t="e">
        <f>'АВЗ АСУТП'!#REF!</f>
        <v>#REF!</v>
      </c>
      <c r="J34" s="230" t="e">
        <f>'АВЗ АСУТП'!#REF!</f>
        <v>#REF!</v>
      </c>
      <c r="K34" s="230" t="e">
        <f>'АВЗ АСУТП'!#REF!</f>
        <v>#REF!</v>
      </c>
      <c r="L34" s="230" t="e">
        <f>'АВЗ АСУТП'!#REF!</f>
        <v>#REF!</v>
      </c>
      <c r="M34" s="230" t="e">
        <f>'SIEM АСУТП'!#REF!</f>
        <v>#REF!</v>
      </c>
      <c r="N34" s="230" t="e">
        <f>'SIEM АСУТП'!#REF!</f>
        <v>#REF!</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t="e">
        <f>'DO АСУТП'!#REF!</f>
        <v>#REF!</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t="e">
        <f t="shared" si="32"/>
        <v>#REF!</v>
      </c>
      <c r="CX34" s="25" t="e">
        <f t="shared" si="33"/>
        <v>#REF!</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t="e">
        <f t="shared" si="51"/>
        <v>#REF!</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895"/>
      <c r="B35" s="1898"/>
      <c r="C35" s="18" t="s">
        <v>33</v>
      </c>
      <c r="D35" s="21"/>
      <c r="E35" s="316">
        <f>'АВЗ АСУТП'!G22</f>
        <v>1.5</v>
      </c>
      <c r="F35" s="316" t="e">
        <f>'АВЗ АСУТП'!#REF!</f>
        <v>#REF!</v>
      </c>
      <c r="G35" s="316" t="e">
        <f>'АВЗ АСУТП'!#REF!</f>
        <v>#REF!</v>
      </c>
      <c r="H35" s="230" t="e">
        <f>'АВЗ АСУТП'!#REF!</f>
        <v>#REF!</v>
      </c>
      <c r="I35" s="316" t="e">
        <f>'АВЗ АСУТП'!#REF!</f>
        <v>#REF!</v>
      </c>
      <c r="J35" s="230" t="e">
        <f>'АВЗ АСУТП'!#REF!</f>
        <v>#REF!</v>
      </c>
      <c r="K35" s="230" t="e">
        <f>'АВЗ АСУТП'!#REF!</f>
        <v>#REF!</v>
      </c>
      <c r="L35" s="230" t="e">
        <f>'АВЗ АСУТП'!#REF!</f>
        <v>#REF!</v>
      </c>
      <c r="M35" s="230">
        <f>'SIEM АСУТП'!G21</f>
        <v>2</v>
      </c>
      <c r="N35" s="230">
        <f>'SIEM АСУТП'!K21</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АСУТП'!G22</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t="e">
        <f t="shared" si="32"/>
        <v>#REF!</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910"/>
      <c r="B36" s="1914"/>
      <c r="C36" s="81" t="s">
        <v>34</v>
      </c>
      <c r="D36" s="77"/>
      <c r="E36" s="466">
        <f>'АВЗ АСУТП'!G23</f>
        <v>2</v>
      </c>
      <c r="F36" s="466" t="e">
        <f>'АВЗ АСУТП'!#REF!</f>
        <v>#REF!</v>
      </c>
      <c r="G36" s="466" t="e">
        <f>'АВЗ АСУТП'!#REF!</f>
        <v>#REF!</v>
      </c>
      <c r="H36" s="467" t="e">
        <f>'АВЗ АСУТП'!#REF!</f>
        <v>#REF!</v>
      </c>
      <c r="I36" s="466" t="e">
        <f>'АВЗ АСУТП'!#REF!</f>
        <v>#REF!</v>
      </c>
      <c r="J36" s="467" t="e">
        <f>'АВЗ АСУТП'!#REF!</f>
        <v>#REF!</v>
      </c>
      <c r="K36" s="467" t="e">
        <f>'АВЗ АСУТП'!#REF!</f>
        <v>#REF!</v>
      </c>
      <c r="L36" s="467" t="e">
        <f>'АВЗ АСУТП'!#REF!</f>
        <v>#REF!</v>
      </c>
      <c r="M36" s="467">
        <f>'SIEM АСУТП'!G22</f>
        <v>4</v>
      </c>
      <c r="N36" s="467">
        <f>'SIEM АСУТП'!K22</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АСУТП'!G23</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t="e">
        <f t="shared" si="32"/>
        <v>#REF!</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912" t="s">
        <v>12</v>
      </c>
      <c r="B38" s="1898">
        <f>IF('Тип разраб-ой док-ции'!F17=1,1,0)</f>
        <v>0</v>
      </c>
      <c r="C38" s="325" t="s">
        <v>32</v>
      </c>
      <c r="D38" s="230"/>
      <c r="E38" s="316" t="e">
        <f>'АВЗ АСУТП'!#REF!</f>
        <v>#REF!</v>
      </c>
      <c r="F38" s="316" t="e">
        <f>'АВЗ АСУТП'!#REF!</f>
        <v>#REF!</v>
      </c>
      <c r="G38" s="316" t="e">
        <f>'АВЗ АСУТП'!#REF!</f>
        <v>#REF!</v>
      </c>
      <c r="H38" s="230" t="e">
        <f>'АВЗ АСУТП'!#REF!</f>
        <v>#REF!</v>
      </c>
      <c r="I38" s="316" t="e">
        <f>'АВЗ АСУТП'!#REF!</f>
        <v>#REF!</v>
      </c>
      <c r="J38" s="230" t="e">
        <f>'АВЗ АСУТП'!#REF!</f>
        <v>#REF!</v>
      </c>
      <c r="K38" s="230" t="e">
        <f>'АВЗ АСУТП'!#REF!</f>
        <v>#REF!</v>
      </c>
      <c r="L38" s="230" t="e">
        <f>'АВЗ АСУТП'!#REF!</f>
        <v>#REF!</v>
      </c>
      <c r="M38" s="230" t="e">
        <f>'SIEM АСУТП'!#REF!</f>
        <v>#REF!</v>
      </c>
      <c r="N38" s="230" t="e">
        <f>'SIEM АСУТП'!#REF!</f>
        <v>#REF!</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t="e">
        <f>'DO АСУТП'!#REF!</f>
        <v>#REF!</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#REF!</v>
      </c>
      <c r="CW38" s="317" t="e">
        <f>SUMPRODUCT(E38:L38,$E$2:$L$2) + D38</f>
        <v>#REF!</v>
      </c>
      <c r="CX38" s="317" t="e">
        <f>SUMPRODUCT(M38:N38,$M$2:$N$2) + D38</f>
        <v>#REF!</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t="e">
        <f>SUMPRODUCT(BS38:BS38,$BS$2:$BS$2) + $D38</f>
        <v>#REF!</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912"/>
      <c r="B39" s="1898"/>
      <c r="C39" s="18" t="s">
        <v>33</v>
      </c>
      <c r="D39" s="21"/>
      <c r="E39" s="316">
        <f>'АВЗ АСУТП'!G24</f>
        <v>5</v>
      </c>
      <c r="F39" s="316" t="e">
        <f>'АВЗ АСУТП'!#REF!</f>
        <v>#REF!</v>
      </c>
      <c r="G39" s="316" t="e">
        <f>'АВЗ АСУТП'!#REF!</f>
        <v>#REF!</v>
      </c>
      <c r="H39" s="230" t="e">
        <f>'АВЗ АСУТП'!#REF!</f>
        <v>#REF!</v>
      </c>
      <c r="I39" s="316" t="e">
        <f>'АВЗ АСУТП'!#REF!</f>
        <v>#REF!</v>
      </c>
      <c r="J39" s="230" t="e">
        <f>'АВЗ АСУТП'!#REF!</f>
        <v>#REF!</v>
      </c>
      <c r="K39" s="230" t="e">
        <f>'АВЗ АСУТП'!#REF!</f>
        <v>#REF!</v>
      </c>
      <c r="L39" s="230" t="e">
        <f>'АВЗ АСУТП'!#REF!</f>
        <v>#REF!</v>
      </c>
      <c r="M39" s="230">
        <f>'SIEM АСУТП'!G23</f>
        <v>9</v>
      </c>
      <c r="N39" s="230">
        <f>'SIEM АСУТП'!K23</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t="e">
        <f>'DO АСУТП'!G24</f>
        <v>#VALUE!</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t="e">
        <f>SUMPRODUCT(E39:L39,$E$2:$L$2) + D39</f>
        <v>#REF!</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t="e">
        <f>SUMPRODUCT(BS39:BS39,$BS$2:$BS$2) + $D39</f>
        <v>#VALUE!</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912"/>
      <c r="B40" s="1898"/>
      <c r="C40" s="81" t="s">
        <v>34</v>
      </c>
      <c r="D40" s="77"/>
      <c r="E40" s="466">
        <f>'АВЗ АСУТП'!G25</f>
        <v>7</v>
      </c>
      <c r="F40" s="466" t="e">
        <f>'АВЗ АСУТП'!#REF!</f>
        <v>#REF!</v>
      </c>
      <c r="G40" s="466" t="e">
        <f>'АВЗ АСУТП'!#REF!</f>
        <v>#REF!</v>
      </c>
      <c r="H40" s="467" t="e">
        <f>'АВЗ АСУТП'!#REF!</f>
        <v>#REF!</v>
      </c>
      <c r="I40" s="466" t="e">
        <f>'АВЗ АСУТП'!#REF!</f>
        <v>#REF!</v>
      </c>
      <c r="J40" s="467" t="e">
        <f>'АВЗ АСУТП'!#REF!</f>
        <v>#REF!</v>
      </c>
      <c r="K40" s="467" t="e">
        <f>'АВЗ АСУТП'!#REF!</f>
        <v>#REF!</v>
      </c>
      <c r="L40" s="467" t="e">
        <f>'АВЗ АСУТП'!#REF!</f>
        <v>#REF!</v>
      </c>
      <c r="M40" s="467" t="e">
        <f>'SIEM АСУТП'!G24</f>
        <v>#VALUE!</v>
      </c>
      <c r="N40" s="467" t="e">
        <f>'SIEM АСУТП'!K24</f>
        <v>#VALUE!</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АСУТП'!G25</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t="e">
        <f>SUMPRODUCT(E40:L40,$E$2:$L$2) + D40</f>
        <v>#REF!</v>
      </c>
      <c r="CX40" s="392" t="e">
        <f>SUMPRODUCT(M40:N40,$M$2:$N$2) + D40</f>
        <v>#VALUE!</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912" t="s">
        <v>14</v>
      </c>
      <c r="B42" s="1913">
        <f>IF('Тип разраб-ой док-ции'!F19=1,1,0)</f>
        <v>1</v>
      </c>
      <c r="C42" s="325" t="s">
        <v>32</v>
      </c>
      <c r="D42" s="230"/>
      <c r="E42" s="316" t="e">
        <f>'АВЗ АСУТП'!#REF!</f>
        <v>#REF!</v>
      </c>
      <c r="F42" s="316" t="e">
        <f>'АВЗ АСУТП'!#REF!</f>
        <v>#REF!</v>
      </c>
      <c r="G42" s="316" t="e">
        <f>'АВЗ АСУТП'!#REF!</f>
        <v>#REF!</v>
      </c>
      <c r="H42" s="230" t="e">
        <f>'АВЗ АСУТП'!#REF!</f>
        <v>#REF!</v>
      </c>
      <c r="I42" s="316" t="e">
        <f>'АВЗ АСУТП'!#REF!</f>
        <v>#REF!</v>
      </c>
      <c r="J42" s="230" t="e">
        <f>'АВЗ АСУТП'!#REF!</f>
        <v>#REF!</v>
      </c>
      <c r="K42" s="230" t="e">
        <f>'АВЗ АСУТП'!#REF!</f>
        <v>#REF!</v>
      </c>
      <c r="L42" s="230" t="e">
        <f>'АВЗ АСУТП'!#REF!</f>
        <v>#REF!</v>
      </c>
      <c r="M42" s="230" t="e">
        <f>'SIEM АСУТП'!#REF!</f>
        <v>#REF!</v>
      </c>
      <c r="N42" s="230" t="e">
        <f>'SIEM АСУТП'!#REF!</f>
        <v>#REF!</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t="e">
        <f>'DO АСУТП'!#REF!</f>
        <v>#REF!</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#REF!</v>
      </c>
      <c r="CW42" s="317" t="e">
        <f t="shared" ref="CW42:CW86" si="63">SUMPRODUCT(E42:L42,$E$2:$L$2) + D42</f>
        <v>#REF!</v>
      </c>
      <c r="CX42" s="317" t="e">
        <f t="shared" ref="CX42:CX86" si="64">SUMPRODUCT(M42:N42,$M$2:$N$2) + D42</f>
        <v>#REF!</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t="e">
        <f t="shared" ref="DP42:DP86" si="82">SUMPRODUCT(BS42:BS42,$BS$2:$BS$2) + $D42</f>
        <v>#REF!</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912"/>
      <c r="B43" s="1898"/>
      <c r="C43" s="18" t="s">
        <v>33</v>
      </c>
      <c r="D43" s="21"/>
      <c r="E43" s="316">
        <f>'АВЗ АСУТП'!G26</f>
        <v>0.5</v>
      </c>
      <c r="F43" s="316" t="e">
        <f>'АВЗ АСУТП'!#REF!</f>
        <v>#REF!</v>
      </c>
      <c r="G43" s="316" t="e">
        <f>'АВЗ АСУТП'!#REF!</f>
        <v>#REF!</v>
      </c>
      <c r="H43" s="230" t="e">
        <f>'АВЗ АСУТП'!#REF!</f>
        <v>#REF!</v>
      </c>
      <c r="I43" s="316" t="e">
        <f>'АВЗ АСУТП'!#REF!</f>
        <v>#REF!</v>
      </c>
      <c r="J43" s="230" t="e">
        <f>'АВЗ АСУТП'!#REF!</f>
        <v>#REF!</v>
      </c>
      <c r="K43" s="230" t="e">
        <f>'АВЗ АСУТП'!#REF!</f>
        <v>#REF!</v>
      </c>
      <c r="L43" s="230" t="e">
        <f>'АВЗ АСУТП'!#REF!</f>
        <v>#REF!</v>
      </c>
      <c r="M43" s="230">
        <f>'SIEM АСУТП'!G25</f>
        <v>1</v>
      </c>
      <c r="N43" s="230">
        <f>'SIEM АСУТП'!K25</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t="e">
        <f>'DO АСУТП'!G26</f>
        <v>#VALUE!</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t="e">
        <f t="shared" si="63"/>
        <v>#REF!</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t="e">
        <f t="shared" si="82"/>
        <v>#VALUE!</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912"/>
      <c r="B44" s="1898"/>
      <c r="C44" s="18" t="s">
        <v>34</v>
      </c>
      <c r="D44" s="21"/>
      <c r="E44" s="316">
        <f>'АВЗ АСУТП'!G27</f>
        <v>0.5</v>
      </c>
      <c r="F44" s="316" t="e">
        <f>'АВЗ АСУТП'!#REF!</f>
        <v>#REF!</v>
      </c>
      <c r="G44" s="316" t="e">
        <f>'АВЗ АСУТП'!#REF!</f>
        <v>#REF!</v>
      </c>
      <c r="H44" s="230" t="e">
        <f>'АВЗ АСУТП'!#REF!</f>
        <v>#REF!</v>
      </c>
      <c r="I44" s="316" t="e">
        <f>'АВЗ АСУТП'!#REF!</f>
        <v>#REF!</v>
      </c>
      <c r="J44" s="230" t="e">
        <f>'АВЗ АСУТП'!#REF!</f>
        <v>#REF!</v>
      </c>
      <c r="K44" s="230" t="e">
        <f>'АВЗ АСУТП'!#REF!</f>
        <v>#REF!</v>
      </c>
      <c r="L44" s="230" t="e">
        <f>'АВЗ АСУТП'!#REF!</f>
        <v>#REF!</v>
      </c>
      <c r="M44" s="230" t="e">
        <f>'SIEM АСУТП'!G26</f>
        <v>#VALUE!</v>
      </c>
      <c r="N44" s="230" t="e">
        <f>'SIEM АСУТП'!K26</f>
        <v>#VALUE!</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АСУТП'!G27</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t="e">
        <f t="shared" si="63"/>
        <v>#REF!</v>
      </c>
      <c r="CX44" s="25" t="e">
        <f t="shared" si="64"/>
        <v>#VALUE!</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909" t="s">
        <v>15</v>
      </c>
      <c r="B45" s="1903">
        <f>IF('Тип разраб-ой док-ции'!F20=1,1,0)</f>
        <v>1</v>
      </c>
      <c r="C45" s="469" t="s">
        <v>32</v>
      </c>
      <c r="D45" s="230"/>
      <c r="E45" s="316" t="e">
        <f>'АВЗ АСУТП'!#REF!</f>
        <v>#REF!</v>
      </c>
      <c r="F45" s="316" t="e">
        <f>'АВЗ АСУТП'!#REF!</f>
        <v>#REF!</v>
      </c>
      <c r="G45" s="316" t="e">
        <f>'АВЗ АСУТП'!#REF!</f>
        <v>#REF!</v>
      </c>
      <c r="H45" s="230" t="e">
        <f>'АВЗ АСУТП'!#REF!</f>
        <v>#REF!</v>
      </c>
      <c r="I45" s="316" t="e">
        <f>'АВЗ АСУТП'!#REF!</f>
        <v>#REF!</v>
      </c>
      <c r="J45" s="230" t="e">
        <f>'АВЗ АСУТП'!#REF!</f>
        <v>#REF!</v>
      </c>
      <c r="K45" s="230" t="e">
        <f>'АВЗ АСУТП'!#REF!</f>
        <v>#REF!</v>
      </c>
      <c r="L45" s="230" t="e">
        <f>'АВЗ АСУТП'!#REF!</f>
        <v>#REF!</v>
      </c>
      <c r="M45" s="230" t="e">
        <f>'SIEM АСУТП'!#REF!</f>
        <v>#REF!</v>
      </c>
      <c r="N45" s="230" t="e">
        <f>'SIEM АСУТП'!#REF!</f>
        <v>#REF!</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t="e">
        <f>'DO АСУТП'!#REF!</f>
        <v>#REF!</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t="e">
        <f t="shared" si="63"/>
        <v>#REF!</v>
      </c>
      <c r="CX45" s="25" t="e">
        <f t="shared" si="64"/>
        <v>#REF!</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t="e">
        <f t="shared" si="82"/>
        <v>#REF!</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909"/>
      <c r="B46" s="1903"/>
      <c r="C46" s="103" t="s">
        <v>33</v>
      </c>
      <c r="D46" s="21"/>
      <c r="E46" s="316">
        <f>'АВЗ АСУТП'!G28</f>
        <v>2.5</v>
      </c>
      <c r="F46" s="316" t="e">
        <f>'АВЗ АСУТП'!#REF!</f>
        <v>#REF!</v>
      </c>
      <c r="G46" s="316" t="e">
        <f>'АВЗ АСУТП'!#REF!</f>
        <v>#REF!</v>
      </c>
      <c r="H46" s="230" t="e">
        <f>'АВЗ АСУТП'!#REF!</f>
        <v>#REF!</v>
      </c>
      <c r="I46" s="316" t="e">
        <f>'АВЗ АСУТП'!#REF!</f>
        <v>#REF!</v>
      </c>
      <c r="J46" s="230" t="e">
        <f>'АВЗ АСУТП'!#REF!</f>
        <v>#REF!</v>
      </c>
      <c r="K46" s="230" t="e">
        <f>'АВЗ АСУТП'!#REF!</f>
        <v>#REF!</v>
      </c>
      <c r="L46" s="230" t="e">
        <f>'АВЗ АСУТП'!#REF!</f>
        <v>#REF!</v>
      </c>
      <c r="M46" s="230">
        <f>'SIEM АСУТП'!G27</f>
        <v>5</v>
      </c>
      <c r="N46" s="230">
        <f>'SIEM АСУТП'!K27</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АСУТП'!G28</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t="e">
        <f t="shared" si="63"/>
        <v>#REF!</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909"/>
      <c r="B47" s="1903"/>
      <c r="C47" s="103" t="s">
        <v>34</v>
      </c>
      <c r="D47" s="21"/>
      <c r="E47" s="316">
        <f>'АВЗ АСУТП'!G29</f>
        <v>4.5</v>
      </c>
      <c r="F47" s="316" t="e">
        <f>'АВЗ АСУТП'!#REF!</f>
        <v>#REF!</v>
      </c>
      <c r="G47" s="316" t="e">
        <f>'АВЗ АСУТП'!#REF!</f>
        <v>#REF!</v>
      </c>
      <c r="H47" s="230" t="e">
        <f>'АВЗ АСУТП'!#REF!</f>
        <v>#REF!</v>
      </c>
      <c r="I47" s="316" t="e">
        <f>'АВЗ АСУТП'!#REF!</f>
        <v>#REF!</v>
      </c>
      <c r="J47" s="230" t="e">
        <f>'АВЗ АСУТП'!#REF!</f>
        <v>#REF!</v>
      </c>
      <c r="K47" s="230" t="e">
        <f>'АВЗ АСУТП'!#REF!</f>
        <v>#REF!</v>
      </c>
      <c r="L47" s="230" t="e">
        <f>'АВЗ АСУТП'!#REF!</f>
        <v>#REF!</v>
      </c>
      <c r="M47" s="230">
        <f>'SIEM АСУТП'!G28</f>
        <v>9</v>
      </c>
      <c r="N47" s="230">
        <f>'SIEM АСУТП'!K28</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АСУТП'!G29</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t="e">
        <f t="shared" si="63"/>
        <v>#REF!</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909" t="s">
        <v>16</v>
      </c>
      <c r="B48" s="1903">
        <f>IF('Тип разраб-ой док-ции'!F21=1,1,0)</f>
        <v>0</v>
      </c>
      <c r="C48" s="103" t="s">
        <v>32</v>
      </c>
      <c r="D48" s="21"/>
      <c r="E48" s="316" t="e">
        <f>'АВЗ АСУТП'!#REF!</f>
        <v>#REF!</v>
      </c>
      <c r="F48" s="316" t="e">
        <f>'АВЗ АСУТП'!#REF!</f>
        <v>#REF!</v>
      </c>
      <c r="G48" s="316" t="e">
        <f>'АВЗ АСУТП'!#REF!</f>
        <v>#REF!</v>
      </c>
      <c r="H48" s="230" t="e">
        <f>'АВЗ АСУТП'!#REF!</f>
        <v>#REF!</v>
      </c>
      <c r="I48" s="316" t="e">
        <f>'АВЗ АСУТП'!#REF!</f>
        <v>#REF!</v>
      </c>
      <c r="J48" s="230" t="e">
        <f>'АВЗ АСУТП'!#REF!</f>
        <v>#REF!</v>
      </c>
      <c r="K48" s="230" t="e">
        <f>'АВЗ АСУТП'!#REF!</f>
        <v>#REF!</v>
      </c>
      <c r="L48" s="230" t="e">
        <f>'АВЗ АСУТП'!#REF!</f>
        <v>#REF!</v>
      </c>
      <c r="M48" s="230" t="e">
        <f>'SIEM АСУТП'!#REF!</f>
        <v>#REF!</v>
      </c>
      <c r="N48" s="230" t="e">
        <f>'SIEM АСУТП'!#REF!</f>
        <v>#REF!</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t="e">
        <f>'DO АСУТП'!#REF!</f>
        <v>#REF!</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t="e">
        <f t="shared" si="63"/>
        <v>#REF!</v>
      </c>
      <c r="CX48" s="25" t="e">
        <f t="shared" si="64"/>
        <v>#REF!</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t="e">
        <f t="shared" si="82"/>
        <v>#REF!</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909"/>
      <c r="B49" s="1903"/>
      <c r="C49" s="103" t="s">
        <v>33</v>
      </c>
      <c r="D49" s="21"/>
      <c r="E49" s="316">
        <f>'АВЗ АСУТП'!G30</f>
        <v>0.5</v>
      </c>
      <c r="F49" s="316" t="e">
        <f>'АВЗ АСУТП'!#REF!</f>
        <v>#REF!</v>
      </c>
      <c r="G49" s="316" t="e">
        <f>'АВЗ АСУТП'!#REF!</f>
        <v>#REF!</v>
      </c>
      <c r="H49" s="230" t="e">
        <f>'АВЗ АСУТП'!#REF!</f>
        <v>#REF!</v>
      </c>
      <c r="I49" s="316" t="e">
        <f>'АВЗ АСУТП'!#REF!</f>
        <v>#REF!</v>
      </c>
      <c r="J49" s="230" t="e">
        <f>'АВЗ АСУТП'!#REF!</f>
        <v>#REF!</v>
      </c>
      <c r="K49" s="230" t="e">
        <f>'АВЗ АСУТП'!#REF!</f>
        <v>#REF!</v>
      </c>
      <c r="L49" s="230" t="e">
        <f>'АВЗ АСУТП'!#REF!</f>
        <v>#REF!</v>
      </c>
      <c r="M49" s="230">
        <f>'SIEM АСУТП'!G29</f>
        <v>1</v>
      </c>
      <c r="N49" s="230">
        <f>'SIEM АСУТП'!K29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АСУТП'!G30</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t="e">
        <f t="shared" si="63"/>
        <v>#REF!</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909"/>
      <c r="B50" s="1903"/>
      <c r="C50" s="103" t="s">
        <v>34</v>
      </c>
      <c r="D50" s="21"/>
      <c r="E50" s="316">
        <f>'АВЗ АСУТП'!G31</f>
        <v>0.5</v>
      </c>
      <c r="F50" s="316" t="e">
        <f>'АВЗ АСУТП'!#REF!</f>
        <v>#REF!</v>
      </c>
      <c r="G50" s="316" t="e">
        <f>'АВЗ АСУТП'!#REF!</f>
        <v>#REF!</v>
      </c>
      <c r="H50" s="230" t="e">
        <f>'АВЗ АСУТП'!#REF!</f>
        <v>#REF!</v>
      </c>
      <c r="I50" s="316" t="e">
        <f>'АВЗ АСУТП'!#REF!</f>
        <v>#REF!</v>
      </c>
      <c r="J50" s="230" t="e">
        <f>'АВЗ АСУТП'!#REF!</f>
        <v>#REF!</v>
      </c>
      <c r="K50" s="230" t="e">
        <f>'АВЗ АСУТП'!#REF!</f>
        <v>#REF!</v>
      </c>
      <c r="L50" s="230" t="e">
        <f>'АВЗ АСУТП'!#REF!</f>
        <v>#REF!</v>
      </c>
      <c r="M50" s="230">
        <f>'SIEM АСУТП'!G30</f>
        <v>1</v>
      </c>
      <c r="N50" s="230">
        <f>'SIEM АСУТП'!K30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АСУТП'!G31</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t="e">
        <f t="shared" si="63"/>
        <v>#REF!</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909" t="s">
        <v>17</v>
      </c>
      <c r="B51" s="1903">
        <f>IF('Тип разраб-ой док-ции'!F22=1,1,0)</f>
        <v>0</v>
      </c>
      <c r="C51" s="103" t="s">
        <v>32</v>
      </c>
      <c r="D51" s="21"/>
      <c r="E51" s="316" t="e">
        <f>'АВЗ АСУТП'!#REF!</f>
        <v>#REF!</v>
      </c>
      <c r="F51" s="316" t="e">
        <f>'АВЗ АСУТП'!#REF!</f>
        <v>#REF!</v>
      </c>
      <c r="G51" s="316" t="e">
        <f>'АВЗ АСУТП'!#REF!</f>
        <v>#REF!</v>
      </c>
      <c r="H51" s="230" t="e">
        <f>'АВЗ АСУТП'!#REF!</f>
        <v>#REF!</v>
      </c>
      <c r="I51" s="316" t="e">
        <f>'АВЗ АСУТП'!#REF!</f>
        <v>#REF!</v>
      </c>
      <c r="J51" s="230" t="e">
        <f>'АВЗ АСУТП'!#REF!</f>
        <v>#REF!</v>
      </c>
      <c r="K51" s="230" t="e">
        <f>'АВЗ АСУТП'!#REF!</f>
        <v>#REF!</v>
      </c>
      <c r="L51" s="230" t="e">
        <f>'АВЗ АСУТП'!#REF!</f>
        <v>#REF!</v>
      </c>
      <c r="M51" s="230" t="e">
        <f>'SIEM АСУТП'!#REF!</f>
        <v>#REF!</v>
      </c>
      <c r="N51" s="230" t="e">
        <f>'SIEM АСУТП'!#REF!</f>
        <v>#REF!</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t="e">
        <f>'DO АСУТП'!#REF!</f>
        <v>#REF!</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t="e">
        <f t="shared" si="63"/>
        <v>#REF!</v>
      </c>
      <c r="CX51" s="25" t="e">
        <f t="shared" si="64"/>
        <v>#REF!</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t="e">
        <f t="shared" si="82"/>
        <v>#REF!</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909"/>
      <c r="B52" s="1903"/>
      <c r="C52" s="103" t="s">
        <v>33</v>
      </c>
      <c r="D52" s="21"/>
      <c r="E52" s="316">
        <f>'АВЗ АСУТП'!G32</f>
        <v>0.5</v>
      </c>
      <c r="F52" s="316" t="e">
        <f>'АВЗ АСУТП'!#REF!</f>
        <v>#REF!</v>
      </c>
      <c r="G52" s="316" t="e">
        <f>'АВЗ АСУТП'!#REF!</f>
        <v>#REF!</v>
      </c>
      <c r="H52" s="230" t="e">
        <f>'АВЗ АСУТП'!#REF!</f>
        <v>#REF!</v>
      </c>
      <c r="I52" s="316" t="e">
        <f>'АВЗ АСУТП'!#REF!</f>
        <v>#REF!</v>
      </c>
      <c r="J52" s="230" t="e">
        <f>'АВЗ АСУТП'!#REF!</f>
        <v>#REF!</v>
      </c>
      <c r="K52" s="230" t="e">
        <f>'АВЗ АСУТП'!#REF!</f>
        <v>#REF!</v>
      </c>
      <c r="L52" s="230" t="e">
        <f>'АВЗ АСУТП'!#REF!</f>
        <v>#REF!</v>
      </c>
      <c r="M52" s="230">
        <f>'SIEM АСУТП'!G31</f>
        <v>1</v>
      </c>
      <c r="N52" s="230">
        <f>'SIEM АСУТП'!K31</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АСУТП'!G32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t="e">
        <f t="shared" si="63"/>
        <v>#REF!</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909"/>
      <c r="B53" s="1903"/>
      <c r="C53" s="103" t="s">
        <v>34</v>
      </c>
      <c r="D53" s="21"/>
      <c r="E53" s="316">
        <f>'АВЗ АСУТП'!G33</f>
        <v>0.5</v>
      </c>
      <c r="F53" s="316" t="e">
        <f>'АВЗ АСУТП'!#REF!</f>
        <v>#REF!</v>
      </c>
      <c r="G53" s="316" t="e">
        <f>'АВЗ АСУТП'!#REF!</f>
        <v>#REF!</v>
      </c>
      <c r="H53" s="230" t="e">
        <f>'АВЗ АСУТП'!#REF!</f>
        <v>#REF!</v>
      </c>
      <c r="I53" s="316" t="e">
        <f>'АВЗ АСУТП'!#REF!</f>
        <v>#REF!</v>
      </c>
      <c r="J53" s="230" t="e">
        <f>'АВЗ АСУТП'!#REF!</f>
        <v>#REF!</v>
      </c>
      <c r="K53" s="230" t="e">
        <f>'АВЗ АСУТП'!#REF!</f>
        <v>#REF!</v>
      </c>
      <c r="L53" s="230" t="e">
        <f>'АВЗ АСУТП'!#REF!</f>
        <v>#REF!</v>
      </c>
      <c r="M53" s="230">
        <f>'SIEM АСУТП'!G32</f>
        <v>1</v>
      </c>
      <c r="N53" s="230">
        <f>'SIEM АСУТП'!K32</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АСУТП'!G33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t="e">
        <f t="shared" si="63"/>
        <v>#REF!</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909" t="s">
        <v>18</v>
      </c>
      <c r="B54" s="1903">
        <f>IF('Тип разраб-ой док-ции'!F23=1,1,0)</f>
        <v>0</v>
      </c>
      <c r="C54" s="103" t="s">
        <v>32</v>
      </c>
      <c r="D54" s="21"/>
      <c r="E54" s="316" t="e">
        <f>'АВЗ АСУТП'!#REF!</f>
        <v>#REF!</v>
      </c>
      <c r="F54" s="316" t="e">
        <f>'АВЗ АСУТП'!#REF!</f>
        <v>#REF!</v>
      </c>
      <c r="G54" s="316" t="e">
        <f>'АВЗ АСУТП'!#REF!</f>
        <v>#REF!</v>
      </c>
      <c r="H54" s="230" t="e">
        <f>'АВЗ АСУТП'!#REF!</f>
        <v>#REF!</v>
      </c>
      <c r="I54" s="316" t="e">
        <f>'АВЗ АСУТП'!#REF!</f>
        <v>#REF!</v>
      </c>
      <c r="J54" s="230" t="e">
        <f>'АВЗ АСУТП'!#REF!</f>
        <v>#REF!</v>
      </c>
      <c r="K54" s="230" t="e">
        <f>'АВЗ АСУТП'!#REF!</f>
        <v>#REF!</v>
      </c>
      <c r="L54" s="230" t="e">
        <f>'АВЗ АСУТП'!#REF!</f>
        <v>#REF!</v>
      </c>
      <c r="M54" s="230" t="e">
        <f>'SIEM АСУТП'!#REF!</f>
        <v>#REF!</v>
      </c>
      <c r="N54" s="230" t="e">
        <f>'SIEM АСУТП'!#REF!</f>
        <v>#REF!</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t="e">
        <f>'DO АСУТП'!#REF!</f>
        <v>#REF!</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t="e">
        <f t="shared" si="63"/>
        <v>#REF!</v>
      </c>
      <c r="CX54" s="25" t="e">
        <f t="shared" si="64"/>
        <v>#REF!</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t="e">
        <f t="shared" si="82"/>
        <v>#REF!</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909"/>
      <c r="B55" s="1903"/>
      <c r="C55" s="103" t="s">
        <v>33</v>
      </c>
      <c r="D55" s="21"/>
      <c r="E55" s="316">
        <f>'АВЗ АСУТП'!G34</f>
        <v>0.25</v>
      </c>
      <c r="F55" s="316" t="e">
        <f>'АВЗ АСУТП'!#REF!</f>
        <v>#REF!</v>
      </c>
      <c r="G55" s="316" t="e">
        <f>'АВЗ АСУТП'!#REF!</f>
        <v>#REF!</v>
      </c>
      <c r="H55" s="230" t="e">
        <f>'АВЗ АСУТП'!#REF!</f>
        <v>#REF!</v>
      </c>
      <c r="I55" s="316" t="e">
        <f>'АВЗ АСУТП'!#REF!</f>
        <v>#REF!</v>
      </c>
      <c r="J55" s="230" t="e">
        <f>'АВЗ АСУТП'!#REF!</f>
        <v>#REF!</v>
      </c>
      <c r="K55" s="230" t="e">
        <f>'АВЗ АСУТП'!#REF!</f>
        <v>#REF!</v>
      </c>
      <c r="L55" s="230" t="e">
        <f>'АВЗ АСУТП'!#REF!</f>
        <v>#REF!</v>
      </c>
      <c r="M55" s="230">
        <f>'SIEM АСУТП'!G33</f>
        <v>0.5</v>
      </c>
      <c r="N55" s="230">
        <f>'SIEM АСУТП'!K33</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АСУТП'!G34</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t="e">
        <f t="shared" si="63"/>
        <v>#REF!</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909"/>
      <c r="B56" s="1903"/>
      <c r="C56" s="103" t="s">
        <v>34</v>
      </c>
      <c r="D56" s="21"/>
      <c r="E56" s="316">
        <f>'АВЗ АСУТП'!G35</f>
        <v>0.25</v>
      </c>
      <c r="F56" s="316" t="e">
        <f>'АВЗ АСУТП'!#REF!</f>
        <v>#REF!</v>
      </c>
      <c r="G56" s="316" t="e">
        <f>'АВЗ АСУТП'!#REF!</f>
        <v>#REF!</v>
      </c>
      <c r="H56" s="230" t="e">
        <f>'АВЗ АСУТП'!#REF!</f>
        <v>#REF!</v>
      </c>
      <c r="I56" s="316" t="e">
        <f>'АВЗ АСУТП'!#REF!</f>
        <v>#REF!</v>
      </c>
      <c r="J56" s="230" t="e">
        <f>'АВЗ АСУТП'!#REF!</f>
        <v>#REF!</v>
      </c>
      <c r="K56" s="230" t="e">
        <f>'АВЗ АСУТП'!#REF!</f>
        <v>#REF!</v>
      </c>
      <c r="L56" s="230" t="e">
        <f>'АВЗ АСУТП'!#REF!</f>
        <v>#REF!</v>
      </c>
      <c r="M56" s="230">
        <f>'SIEM АСУТП'!G34</f>
        <v>0.5</v>
      </c>
      <c r="N56" s="230">
        <f>'SIEM АСУТП'!K34</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АСУТП'!G35</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t="e">
        <f t="shared" si="63"/>
        <v>#REF!</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909" t="s">
        <v>19</v>
      </c>
      <c r="B57" s="1903">
        <f>IF('Тип разраб-ой док-ции'!F24=1,1,0)</f>
        <v>0</v>
      </c>
      <c r="C57" s="103" t="s">
        <v>32</v>
      </c>
      <c r="D57" s="21"/>
      <c r="E57" s="316" t="e">
        <f>'АВЗ АСУТП'!#REF!</f>
        <v>#REF!</v>
      </c>
      <c r="F57" s="316" t="e">
        <f>'АВЗ АСУТП'!#REF!</f>
        <v>#REF!</v>
      </c>
      <c r="G57" s="316" t="e">
        <f>'АВЗ АСУТП'!#REF!</f>
        <v>#REF!</v>
      </c>
      <c r="H57" s="230" t="e">
        <f>'АВЗ АСУТП'!#REF!</f>
        <v>#REF!</v>
      </c>
      <c r="I57" s="316" t="e">
        <f>'АВЗ АСУТП'!#REF!</f>
        <v>#REF!</v>
      </c>
      <c r="J57" s="230" t="e">
        <f>'АВЗ АСУТП'!#REF!</f>
        <v>#REF!</v>
      </c>
      <c r="K57" s="230" t="e">
        <f>'АВЗ АСУТП'!#REF!</f>
        <v>#REF!</v>
      </c>
      <c r="L57" s="230" t="e">
        <f>'АВЗ АСУТП'!#REF!</f>
        <v>#REF!</v>
      </c>
      <c r="M57" s="230" t="e">
        <f>'SIEM АСУТП'!#REF!</f>
        <v>#REF!</v>
      </c>
      <c r="N57" s="230" t="e">
        <f>'SIEM АСУТП'!#REF!</f>
        <v>#REF!</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t="e">
        <f>'DO АСУТП'!#REF!</f>
        <v>#REF!</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t="e">
        <f t="shared" si="63"/>
        <v>#REF!</v>
      </c>
      <c r="CX57" s="25" t="e">
        <f t="shared" si="64"/>
        <v>#REF!</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t="e">
        <f t="shared" si="82"/>
        <v>#REF!</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909"/>
      <c r="B58" s="1903"/>
      <c r="C58" s="103" t="s">
        <v>33</v>
      </c>
      <c r="D58" s="21"/>
      <c r="E58" s="316">
        <f>'АВЗ АСУТП'!G36</f>
        <v>3</v>
      </c>
      <c r="F58" s="316" t="e">
        <f>'АВЗ АСУТП'!#REF!</f>
        <v>#REF!</v>
      </c>
      <c r="G58" s="316" t="e">
        <f>'АВЗ АСУТП'!#REF!</f>
        <v>#REF!</v>
      </c>
      <c r="H58" s="230" t="e">
        <f>'АВЗ АСУТП'!#REF!</f>
        <v>#REF!</v>
      </c>
      <c r="I58" s="316" t="e">
        <f>'АВЗ АСУТП'!#REF!</f>
        <v>#REF!</v>
      </c>
      <c r="J58" s="230" t="e">
        <f>'АВЗ АСУТП'!#REF!</f>
        <v>#REF!</v>
      </c>
      <c r="K58" s="230" t="e">
        <f>'АВЗ АСУТП'!#REF!</f>
        <v>#REF!</v>
      </c>
      <c r="L58" s="230" t="e">
        <f>'АВЗ АСУТП'!#REF!</f>
        <v>#REF!</v>
      </c>
      <c r="M58" s="230">
        <f>'SIEM АСУТП'!G35</f>
        <v>5</v>
      </c>
      <c r="N58" s="230">
        <f>'SIEM АСУТП'!K35</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АСУТП'!G36</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t="e">
        <f t="shared" si="63"/>
        <v>#REF!</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909"/>
      <c r="B59" s="1903"/>
      <c r="C59" s="103" t="s">
        <v>34</v>
      </c>
      <c r="D59" s="21"/>
      <c r="E59" s="316">
        <f>'АВЗ АСУТП'!G37</f>
        <v>5</v>
      </c>
      <c r="F59" s="316" t="e">
        <f>'АВЗ АСУТП'!#REF!</f>
        <v>#REF!</v>
      </c>
      <c r="G59" s="316" t="e">
        <f>'АВЗ АСУТП'!#REF!</f>
        <v>#REF!</v>
      </c>
      <c r="H59" s="230" t="e">
        <f>'АВЗ АСУТП'!#REF!</f>
        <v>#REF!</v>
      </c>
      <c r="I59" s="316" t="e">
        <f>'АВЗ АСУТП'!#REF!</f>
        <v>#REF!</v>
      </c>
      <c r="J59" s="230" t="e">
        <f>'АВЗ АСУТП'!#REF!</f>
        <v>#REF!</v>
      </c>
      <c r="K59" s="230" t="e">
        <f>'АВЗ АСУТП'!#REF!</f>
        <v>#REF!</v>
      </c>
      <c r="L59" s="230" t="e">
        <f>'АВЗ АСУТП'!#REF!</f>
        <v>#REF!</v>
      </c>
      <c r="M59" s="230">
        <f>'SIEM АСУТП'!G36</f>
        <v>7</v>
      </c>
      <c r="N59" s="230">
        <f>'SIEM АСУТП'!K36</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АСУТП'!G37</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t="e">
        <f t="shared" si="63"/>
        <v>#REF!</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909" t="s">
        <v>20</v>
      </c>
      <c r="B60" s="1903">
        <f>IF('Тип разраб-ой док-ции'!F25=1,1,0)</f>
        <v>1</v>
      </c>
      <c r="C60" s="103" t="s">
        <v>32</v>
      </c>
      <c r="D60" s="21"/>
      <c r="E60" s="316" t="e">
        <f>'АВЗ АСУТП'!#REF!</f>
        <v>#REF!</v>
      </c>
      <c r="F60" s="316" t="e">
        <f>'АВЗ АСУТП'!#REF!</f>
        <v>#REF!</v>
      </c>
      <c r="G60" s="316" t="e">
        <f>'АВЗ АСУТП'!#REF!</f>
        <v>#REF!</v>
      </c>
      <c r="H60" s="230" t="e">
        <f>'АВЗ АСУТП'!#REF!</f>
        <v>#REF!</v>
      </c>
      <c r="I60" s="316" t="e">
        <f>'АВЗ АСУТП'!#REF!</f>
        <v>#REF!</v>
      </c>
      <c r="J60" s="230" t="e">
        <f>'АВЗ АСУТП'!#REF!</f>
        <v>#REF!</v>
      </c>
      <c r="K60" s="230" t="e">
        <f>'АВЗ АСУТП'!#REF!</f>
        <v>#REF!</v>
      </c>
      <c r="L60" s="230" t="e">
        <f>'АВЗ АСУТП'!#REF!</f>
        <v>#REF!</v>
      </c>
      <c r="M60" s="230" t="e">
        <f>'SIEM АСУТП'!#REF!</f>
        <v>#REF!</v>
      </c>
      <c r="N60" s="230" t="e">
        <f>'SIEM АСУТП'!#REF!</f>
        <v>#REF!</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t="e">
        <f>'DO АСУТП'!#REF!</f>
        <v>#REF!</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t="e">
        <f t="shared" si="63"/>
        <v>#REF!</v>
      </c>
      <c r="CX60" s="25" t="e">
        <f t="shared" si="64"/>
        <v>#REF!</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t="e">
        <f t="shared" si="82"/>
        <v>#REF!</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909"/>
      <c r="B61" s="1903"/>
      <c r="C61" s="103" t="s">
        <v>33</v>
      </c>
      <c r="D61" s="21"/>
      <c r="E61" s="316">
        <f>'АВЗ АСУТП'!G38</f>
        <v>1.5</v>
      </c>
      <c r="F61" s="316" t="e">
        <f>'АВЗ АСУТП'!#REF!</f>
        <v>#REF!</v>
      </c>
      <c r="G61" s="316" t="e">
        <f>'АВЗ АСУТП'!#REF!</f>
        <v>#REF!</v>
      </c>
      <c r="H61" s="230" t="e">
        <f>'АВЗ АСУТП'!#REF!</f>
        <v>#REF!</v>
      </c>
      <c r="I61" s="316" t="e">
        <f>'АВЗ АСУТП'!#REF!</f>
        <v>#REF!</v>
      </c>
      <c r="J61" s="230" t="e">
        <f>'АВЗ АСУТП'!#REF!</f>
        <v>#REF!</v>
      </c>
      <c r="K61" s="230" t="e">
        <f>'АВЗ АСУТП'!#REF!</f>
        <v>#REF!</v>
      </c>
      <c r="L61" s="230" t="e">
        <f>'АВЗ АСУТП'!#REF!</f>
        <v>#REF!</v>
      </c>
      <c r="M61" s="230">
        <f>'SIEM АСУТП'!G37</f>
        <v>2.5</v>
      </c>
      <c r="N61" s="230">
        <f>'SIEM АСУТП'!K37</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АСУТП'!G38</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t="e">
        <f t="shared" si="63"/>
        <v>#REF!</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909"/>
      <c r="B62" s="1903"/>
      <c r="C62" s="103" t="s">
        <v>34</v>
      </c>
      <c r="D62" s="21"/>
      <c r="E62" s="316">
        <f>'АВЗ АСУТП'!G39</f>
        <v>2.5</v>
      </c>
      <c r="F62" s="316" t="e">
        <f>'АВЗ АСУТП'!#REF!</f>
        <v>#REF!</v>
      </c>
      <c r="G62" s="316" t="e">
        <f>'АВЗ АСУТП'!#REF!</f>
        <v>#REF!</v>
      </c>
      <c r="H62" s="230" t="e">
        <f>'АВЗ АСУТП'!#REF!</f>
        <v>#REF!</v>
      </c>
      <c r="I62" s="316" t="e">
        <f>'АВЗ АСУТП'!#REF!</f>
        <v>#REF!</v>
      </c>
      <c r="J62" s="230" t="e">
        <f>'АВЗ АСУТП'!#REF!</f>
        <v>#REF!</v>
      </c>
      <c r="K62" s="230" t="e">
        <f>'АВЗ АСУТП'!#REF!</f>
        <v>#REF!</v>
      </c>
      <c r="L62" s="230" t="e">
        <f>'АВЗ АСУТП'!#REF!</f>
        <v>#REF!</v>
      </c>
      <c r="M62" s="230">
        <f>'SIEM АСУТП'!G38</f>
        <v>4.5</v>
      </c>
      <c r="N62" s="230">
        <f>'SIEM АСУТП'!K38</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АСУТП'!G39</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t="e">
        <f t="shared" si="63"/>
        <v>#REF!</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909" t="s">
        <v>451</v>
      </c>
      <c r="B63" s="1903">
        <f>IF('Тип разраб-ой док-ции'!F26=1,1,0)</f>
        <v>1</v>
      </c>
      <c r="C63" s="103" t="s">
        <v>32</v>
      </c>
      <c r="D63" s="21"/>
      <c r="E63" s="316" t="e">
        <f>'АВЗ АСУТП'!#REF!</f>
        <v>#REF!</v>
      </c>
      <c r="F63" s="316" t="e">
        <f>'АВЗ АСУТП'!#REF!</f>
        <v>#REF!</v>
      </c>
      <c r="G63" s="316" t="e">
        <f>'АВЗ АСУТП'!#REF!</f>
        <v>#REF!</v>
      </c>
      <c r="H63" s="230" t="e">
        <f>'АВЗ АСУТП'!#REF!</f>
        <v>#REF!</v>
      </c>
      <c r="I63" s="316" t="e">
        <f>'АВЗ АСУТП'!#REF!</f>
        <v>#REF!</v>
      </c>
      <c r="J63" s="230" t="e">
        <f>'АВЗ АСУТП'!#REF!</f>
        <v>#REF!</v>
      </c>
      <c r="K63" s="230" t="e">
        <f>'АВЗ АСУТП'!#REF!</f>
        <v>#REF!</v>
      </c>
      <c r="L63" s="230" t="e">
        <f>'АВЗ АСУТП'!#REF!</f>
        <v>#REF!</v>
      </c>
      <c r="M63" s="230" t="e">
        <f>'SIEM АСУТП'!#REF!</f>
        <v>#REF!</v>
      </c>
      <c r="N63" s="230" t="e">
        <f>'SIEM АСУТП'!#REF!</f>
        <v>#REF!</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t="e">
        <f>'DO АСУТП'!#REF!</f>
        <v>#REF!</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t="e">
        <f t="shared" si="63"/>
        <v>#REF!</v>
      </c>
      <c r="CX63" s="25" t="e">
        <f t="shared" si="64"/>
        <v>#REF!</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t="e">
        <f t="shared" si="82"/>
        <v>#REF!</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909"/>
      <c r="B64" s="1903"/>
      <c r="C64" s="103" t="s">
        <v>33</v>
      </c>
      <c r="D64" s="21"/>
      <c r="E64" s="316">
        <f>'АВЗ АСУТП'!G40</f>
        <v>0</v>
      </c>
      <c r="F64" s="316" t="e">
        <f>'АВЗ АСУТП'!#REF!</f>
        <v>#REF!</v>
      </c>
      <c r="G64" s="316" t="e">
        <f>'АВЗ АСУТП'!#REF!</f>
        <v>#REF!</v>
      </c>
      <c r="H64" s="230" t="e">
        <f>'АВЗ АСУТП'!#REF!</f>
        <v>#REF!</v>
      </c>
      <c r="I64" s="316" t="e">
        <f>'АВЗ АСУТП'!#REF!</f>
        <v>#REF!</v>
      </c>
      <c r="J64" s="230" t="e">
        <f>'АВЗ АСУТП'!#REF!</f>
        <v>#REF!</v>
      </c>
      <c r="K64" s="230" t="e">
        <f>'АВЗ АСУТП'!#REF!</f>
        <v>#REF!</v>
      </c>
      <c r="L64" s="230" t="e">
        <f>'АВЗ АСУТП'!#REF!</f>
        <v>#REF!</v>
      </c>
      <c r="M64" s="230">
        <f>'SIEM АСУТП'!G39</f>
        <v>0</v>
      </c>
      <c r="N64" s="230">
        <f>'SIEM АСУТП'!K39</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АСУТП'!G40</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t="e">
        <f t="shared" si="63"/>
        <v>#REF!</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909"/>
      <c r="B65" s="1903"/>
      <c r="C65" s="103" t="s">
        <v>34</v>
      </c>
      <c r="D65" s="21"/>
      <c r="E65" s="316">
        <f>'АВЗ АСУТП'!G41</f>
        <v>0</v>
      </c>
      <c r="F65" s="316" t="e">
        <f>'АВЗ АСУТП'!#REF!</f>
        <v>#REF!</v>
      </c>
      <c r="G65" s="316" t="e">
        <f>'АВЗ АСУТП'!#REF!</f>
        <v>#REF!</v>
      </c>
      <c r="H65" s="230" t="e">
        <f>'АВЗ АСУТП'!#REF!</f>
        <v>#REF!</v>
      </c>
      <c r="I65" s="316" t="e">
        <f>'АВЗ АСУТП'!#REF!</f>
        <v>#REF!</v>
      </c>
      <c r="J65" s="230" t="e">
        <f>'АВЗ АСУТП'!#REF!</f>
        <v>#REF!</v>
      </c>
      <c r="K65" s="230" t="e">
        <f>'АВЗ АСУТП'!#REF!</f>
        <v>#REF!</v>
      </c>
      <c r="L65" s="230" t="e">
        <f>'АВЗ АСУТП'!#REF!</f>
        <v>#REF!</v>
      </c>
      <c r="M65" s="230">
        <f>'SIEM АСУТП'!G40</f>
        <v>0</v>
      </c>
      <c r="N65" s="230">
        <f>'SIEM АСУТП'!K40</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АСУТП'!G41</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t="e">
        <f t="shared" si="63"/>
        <v>#REF!</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909" t="s">
        <v>452</v>
      </c>
      <c r="B66" s="1903">
        <f>IF('Тип разраб-ой док-ции'!F27=1,1,0)</f>
        <v>1</v>
      </c>
      <c r="C66" s="103" t="s">
        <v>32</v>
      </c>
      <c r="D66" s="21"/>
      <c r="E66" s="316" t="e">
        <f>'АВЗ АСУТП'!#REF!</f>
        <v>#REF!</v>
      </c>
      <c r="F66" s="316" t="e">
        <f>'АВЗ АСУТП'!#REF!</f>
        <v>#REF!</v>
      </c>
      <c r="G66" s="316" t="e">
        <f>'АВЗ АСУТП'!#REF!</f>
        <v>#REF!</v>
      </c>
      <c r="H66" s="230" t="e">
        <f>'АВЗ АСУТП'!#REF!</f>
        <v>#REF!</v>
      </c>
      <c r="I66" s="316" t="e">
        <f>'АВЗ АСУТП'!#REF!</f>
        <v>#REF!</v>
      </c>
      <c r="J66" s="230" t="e">
        <f>'АВЗ АСУТП'!#REF!</f>
        <v>#REF!</v>
      </c>
      <c r="K66" s="230" t="e">
        <f>'АВЗ АСУТП'!#REF!</f>
        <v>#REF!</v>
      </c>
      <c r="L66" s="230" t="e">
        <f>'АВЗ АСУТП'!#REF!</f>
        <v>#REF!</v>
      </c>
      <c r="M66" s="230" t="e">
        <f>'SIEM АСУТП'!#REF!</f>
        <v>#REF!</v>
      </c>
      <c r="N66" s="230" t="e">
        <f>'SIEM АСУТП'!#REF!</f>
        <v>#REF!</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t="e">
        <f>'DO АСУТП'!#REF!</f>
        <v>#REF!</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t="e">
        <f t="shared" si="63"/>
        <v>#REF!</v>
      </c>
      <c r="CX66" s="25" t="e">
        <f t="shared" si="64"/>
        <v>#REF!</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t="e">
        <f t="shared" si="82"/>
        <v>#REF!</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909"/>
      <c r="B67" s="1903"/>
      <c r="C67" s="103" t="s">
        <v>33</v>
      </c>
      <c r="D67" s="21"/>
      <c r="E67" s="316">
        <f>'АВЗ АСУТП'!G42</f>
        <v>0.25</v>
      </c>
      <c r="F67" s="316" t="e">
        <f>'АВЗ АСУТП'!#REF!</f>
        <v>#REF!</v>
      </c>
      <c r="G67" s="316" t="e">
        <f>'АВЗ АСУТП'!#REF!</f>
        <v>#REF!</v>
      </c>
      <c r="H67" s="230" t="e">
        <f>'АВЗ АСУТП'!#REF!</f>
        <v>#REF!</v>
      </c>
      <c r="I67" s="316" t="e">
        <f>'АВЗ АСУТП'!#REF!</f>
        <v>#REF!</v>
      </c>
      <c r="J67" s="230" t="e">
        <f>'АВЗ АСУТП'!#REF!</f>
        <v>#REF!</v>
      </c>
      <c r="K67" s="230" t="e">
        <f>'АВЗ АСУТП'!#REF!</f>
        <v>#REF!</v>
      </c>
      <c r="L67" s="230" t="e">
        <f>'АВЗ АСУТП'!#REF!</f>
        <v>#REF!</v>
      </c>
      <c r="M67" s="230">
        <f>'SIEM АСУТП'!G41</f>
        <v>0.5</v>
      </c>
      <c r="N67" s="230">
        <f>'SIEM АСУТП'!K41</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АСУТП'!G42</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t="e">
        <f t="shared" si="63"/>
        <v>#REF!</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909"/>
      <c r="B68" s="1903"/>
      <c r="C68" s="103" t="s">
        <v>34</v>
      </c>
      <c r="D68" s="21"/>
      <c r="E68" s="316">
        <f>'АВЗ АСУТП'!G43</f>
        <v>0.25</v>
      </c>
      <c r="F68" s="316" t="e">
        <f>'АВЗ АСУТП'!#REF!</f>
        <v>#REF!</v>
      </c>
      <c r="G68" s="316" t="e">
        <f>'АВЗ АСУТП'!#REF!</f>
        <v>#REF!</v>
      </c>
      <c r="H68" s="230" t="e">
        <f>'АВЗ АСУТП'!#REF!</f>
        <v>#REF!</v>
      </c>
      <c r="I68" s="316" t="e">
        <f>'АВЗ АСУТП'!#REF!</f>
        <v>#REF!</v>
      </c>
      <c r="J68" s="230" t="e">
        <f>'АВЗ АСУТП'!#REF!</f>
        <v>#REF!</v>
      </c>
      <c r="K68" s="230" t="e">
        <f>'АВЗ АСУТП'!#REF!</f>
        <v>#REF!</v>
      </c>
      <c r="L68" s="230" t="e">
        <f>'АВЗ АСУТП'!#REF!</f>
        <v>#REF!</v>
      </c>
      <c r="M68" s="230">
        <f>'SIEM АСУТП'!G42</f>
        <v>0.5</v>
      </c>
      <c r="N68" s="230">
        <f>'SIEM АСУТП'!K42</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АСУТП'!G43</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t="e">
        <f t="shared" si="63"/>
        <v>#REF!</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909" t="s">
        <v>533</v>
      </c>
      <c r="B69" s="1903">
        <f>IF('Тип разраб-ой док-ции'!F28=1,1,0)</f>
        <v>1</v>
      </c>
      <c r="C69" s="103" t="s">
        <v>32</v>
      </c>
      <c r="D69" s="21"/>
      <c r="E69" s="316" t="e">
        <f>'АВЗ АСУТП'!#REF!</f>
        <v>#REF!</v>
      </c>
      <c r="F69" s="316" t="e">
        <f>'АВЗ АСУТП'!#REF!</f>
        <v>#REF!</v>
      </c>
      <c r="G69" s="316" t="e">
        <f>'АВЗ АСУТП'!#REF!</f>
        <v>#REF!</v>
      </c>
      <c r="H69" s="230" t="e">
        <f>'АВЗ АСУТП'!#REF!</f>
        <v>#REF!</v>
      </c>
      <c r="I69" s="316" t="e">
        <f>'АВЗ АСУТП'!#REF!</f>
        <v>#REF!</v>
      </c>
      <c r="J69" s="230" t="e">
        <f>'АВЗ АСУТП'!#REF!</f>
        <v>#REF!</v>
      </c>
      <c r="K69" s="230" t="e">
        <f>'АВЗ АСУТП'!#REF!</f>
        <v>#REF!</v>
      </c>
      <c r="L69" s="230" t="e">
        <f>'АВЗ АСУТП'!#REF!</f>
        <v>#REF!</v>
      </c>
      <c r="M69" s="230" t="e">
        <f>'SIEM АСУТП'!#REF!</f>
        <v>#REF!</v>
      </c>
      <c r="N69" s="230" t="e">
        <f>'SIEM АСУТП'!#REF!</f>
        <v>#REF!</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t="e">
        <f>'DO АСУТП'!#REF!</f>
        <v>#REF!</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t="e">
        <f t="shared" si="63"/>
        <v>#REF!</v>
      </c>
      <c r="CX69" s="25" t="e">
        <f t="shared" si="64"/>
        <v>#REF!</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t="e">
        <f t="shared" si="82"/>
        <v>#REF!</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909"/>
      <c r="B70" s="1903"/>
      <c r="C70" s="103" t="s">
        <v>33</v>
      </c>
      <c r="D70" s="21"/>
      <c r="E70" s="316">
        <f>'АВЗ АСУТП'!G44</f>
        <v>0</v>
      </c>
      <c r="F70" s="316" t="e">
        <f>'АВЗ АСУТП'!#REF!</f>
        <v>#REF!</v>
      </c>
      <c r="G70" s="316" t="e">
        <f>'АВЗ АСУТП'!#REF!</f>
        <v>#REF!</v>
      </c>
      <c r="H70" s="230" t="e">
        <f>'АВЗ АСУТП'!#REF!</f>
        <v>#REF!</v>
      </c>
      <c r="I70" s="316" t="e">
        <f>'АВЗ АСУТП'!#REF!</f>
        <v>#REF!</v>
      </c>
      <c r="J70" s="230" t="e">
        <f>'АВЗ АСУТП'!#REF!</f>
        <v>#REF!</v>
      </c>
      <c r="K70" s="230" t="e">
        <f>'АВЗ АСУТП'!#REF!</f>
        <v>#REF!</v>
      </c>
      <c r="L70" s="230" t="e">
        <f>'АВЗ АСУТП'!#REF!</f>
        <v>#REF!</v>
      </c>
      <c r="M70" s="230">
        <f>'SIEM АСУТП'!G43</f>
        <v>0</v>
      </c>
      <c r="N70" s="230">
        <f>'SIEM АСУТП'!K43</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АСУТП'!G44</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t="e">
        <f t="shared" si="63"/>
        <v>#REF!</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909"/>
      <c r="B71" s="1903"/>
      <c r="C71" s="103" t="s">
        <v>34</v>
      </c>
      <c r="D71" s="21"/>
      <c r="E71" s="316">
        <f>'АВЗ АСУТП'!G45</f>
        <v>0</v>
      </c>
      <c r="F71" s="316" t="e">
        <f>'АВЗ АСУТП'!#REF!</f>
        <v>#REF!</v>
      </c>
      <c r="G71" s="316" t="e">
        <f>'АВЗ АСУТП'!#REF!</f>
        <v>#REF!</v>
      </c>
      <c r="H71" s="230" t="e">
        <f>'АВЗ АСУТП'!#REF!</f>
        <v>#REF!</v>
      </c>
      <c r="I71" s="316" t="e">
        <f>'АВЗ АСУТП'!#REF!</f>
        <v>#REF!</v>
      </c>
      <c r="J71" s="230" t="e">
        <f>'АВЗ АСУТП'!#REF!</f>
        <v>#REF!</v>
      </c>
      <c r="K71" s="230" t="e">
        <f>'АВЗ АСУТП'!#REF!</f>
        <v>#REF!</v>
      </c>
      <c r="L71" s="230" t="e">
        <f>'АВЗ АСУТП'!#REF!</f>
        <v>#REF!</v>
      </c>
      <c r="M71" s="230">
        <f>'SIEM АСУТП'!G44</f>
        <v>0</v>
      </c>
      <c r="N71" s="230">
        <f>'SIEM АСУТП'!K44</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АСУТП'!G45</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t="e">
        <f t="shared" si="63"/>
        <v>#REF!</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909" t="s">
        <v>534</v>
      </c>
      <c r="B72" s="1903">
        <f>IF('Тип разраб-ой док-ции'!F29=1,1,0)</f>
        <v>1</v>
      </c>
      <c r="C72" s="103" t="s">
        <v>32</v>
      </c>
      <c r="D72" s="21"/>
      <c r="E72" s="316" t="e">
        <f>'АВЗ АСУТП'!#REF!</f>
        <v>#REF!</v>
      </c>
      <c r="F72" s="316" t="e">
        <f>'АВЗ АСУТП'!#REF!</f>
        <v>#REF!</v>
      </c>
      <c r="G72" s="316" t="e">
        <f>'АВЗ АСУТП'!#REF!</f>
        <v>#REF!</v>
      </c>
      <c r="H72" s="230" t="e">
        <f>'АВЗ АСУТП'!#REF!</f>
        <v>#REF!</v>
      </c>
      <c r="I72" s="316" t="e">
        <f>'АВЗ АСУТП'!#REF!</f>
        <v>#REF!</v>
      </c>
      <c r="J72" s="230" t="e">
        <f>'АВЗ АСУТП'!#REF!</f>
        <v>#REF!</v>
      </c>
      <c r="K72" s="230" t="e">
        <f>'АВЗ АСУТП'!#REF!</f>
        <v>#REF!</v>
      </c>
      <c r="L72" s="230" t="e">
        <f>'АВЗ АСУТП'!#REF!</f>
        <v>#REF!</v>
      </c>
      <c r="M72" s="230" t="e">
        <f>'SIEM АСУТП'!#REF!</f>
        <v>#REF!</v>
      </c>
      <c r="N72" s="230" t="e">
        <f>'SIEM АСУТП'!#REF!</f>
        <v>#REF!</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t="e">
        <f>'DO АСУТП'!#REF!</f>
        <v>#REF!</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t="e">
        <f t="shared" si="63"/>
        <v>#REF!</v>
      </c>
      <c r="CX72" s="25" t="e">
        <f t="shared" si="64"/>
        <v>#REF!</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t="e">
        <f t="shared" si="82"/>
        <v>#REF!</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909"/>
      <c r="B73" s="1903"/>
      <c r="C73" s="103" t="s">
        <v>33</v>
      </c>
      <c r="D73" s="21"/>
      <c r="E73" s="316">
        <f>'АВЗ АСУТП'!G46</f>
        <v>0</v>
      </c>
      <c r="F73" s="316" t="e">
        <f>'АВЗ АСУТП'!#REF!</f>
        <v>#REF!</v>
      </c>
      <c r="G73" s="316" t="e">
        <f>'АВЗ АСУТП'!#REF!</f>
        <v>#REF!</v>
      </c>
      <c r="H73" s="230" t="e">
        <f>'АВЗ АСУТП'!#REF!</f>
        <v>#REF!</v>
      </c>
      <c r="I73" s="316" t="e">
        <f>'АВЗ АСУТП'!#REF!</f>
        <v>#REF!</v>
      </c>
      <c r="J73" s="230" t="e">
        <f>'АВЗ АСУТП'!#REF!</f>
        <v>#REF!</v>
      </c>
      <c r="K73" s="230" t="e">
        <f>'АВЗ АСУТП'!#REF!</f>
        <v>#REF!</v>
      </c>
      <c r="L73" s="230" t="e">
        <f>'АВЗ АСУТП'!#REF!</f>
        <v>#REF!</v>
      </c>
      <c r="M73" s="230">
        <f>'SIEM АСУТП'!G45</f>
        <v>0</v>
      </c>
      <c r="N73" s="230">
        <f>'SIEM АСУТП'!K45</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АСУТП'!G46</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t="e">
        <f t="shared" si="63"/>
        <v>#REF!</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909"/>
      <c r="B74" s="1903"/>
      <c r="C74" s="103" t="s">
        <v>34</v>
      </c>
      <c r="D74" s="21"/>
      <c r="E74" s="316">
        <f>'АВЗ АСУТП'!G47</f>
        <v>0</v>
      </c>
      <c r="F74" s="316" t="e">
        <f>'АВЗ АСУТП'!#REF!</f>
        <v>#REF!</v>
      </c>
      <c r="G74" s="316" t="e">
        <f>'АВЗ АСУТП'!#REF!</f>
        <v>#REF!</v>
      </c>
      <c r="H74" s="230" t="e">
        <f>'АВЗ АСУТП'!#REF!</f>
        <v>#REF!</v>
      </c>
      <c r="I74" s="316" t="e">
        <f>'АВЗ АСУТП'!#REF!</f>
        <v>#REF!</v>
      </c>
      <c r="J74" s="230" t="e">
        <f>'АВЗ АСУТП'!#REF!</f>
        <v>#REF!</v>
      </c>
      <c r="K74" s="230" t="e">
        <f>'АВЗ АСУТП'!#REF!</f>
        <v>#REF!</v>
      </c>
      <c r="L74" s="230" t="e">
        <f>'АВЗ АСУТП'!#REF!</f>
        <v>#REF!</v>
      </c>
      <c r="M74" s="230">
        <f>'SIEM АСУТП'!G46</f>
        <v>0</v>
      </c>
      <c r="N74" s="230">
        <f>'SIEM АСУТП'!K46</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АСУТП'!G47</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t="e">
        <f t="shared" si="63"/>
        <v>#REF!</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909" t="s">
        <v>21</v>
      </c>
      <c r="B75" s="1903">
        <f>IF('Тип разраб-ой док-ции'!F30=1,1,0)</f>
        <v>0</v>
      </c>
      <c r="C75" s="103" t="s">
        <v>32</v>
      </c>
      <c r="D75" s="21"/>
      <c r="E75" s="316" t="e">
        <f>'АВЗ АСУТП'!#REF!</f>
        <v>#REF!</v>
      </c>
      <c r="F75" s="316" t="e">
        <f>'АВЗ АСУТП'!#REF!</f>
        <v>#REF!</v>
      </c>
      <c r="G75" s="316" t="e">
        <f>'АВЗ АСУТП'!#REF!</f>
        <v>#REF!</v>
      </c>
      <c r="H75" s="230" t="e">
        <f>'АВЗ АСУТП'!#REF!</f>
        <v>#REF!</v>
      </c>
      <c r="I75" s="316" t="e">
        <f>'АВЗ АСУТП'!#REF!</f>
        <v>#REF!</v>
      </c>
      <c r="J75" s="230" t="e">
        <f>'АВЗ АСУТП'!#REF!</f>
        <v>#REF!</v>
      </c>
      <c r="K75" s="230" t="e">
        <f>'АВЗ АСУТП'!#REF!</f>
        <v>#REF!</v>
      </c>
      <c r="L75" s="230" t="e">
        <f>'АВЗ АСУТП'!#REF!</f>
        <v>#REF!</v>
      </c>
      <c r="M75" s="230" t="e">
        <f>'SIEM АСУТП'!#REF!</f>
        <v>#REF!</v>
      </c>
      <c r="N75" s="230" t="e">
        <f>'SIEM АСУТП'!#REF!</f>
        <v>#REF!</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t="e">
        <f>'DO АСУТП'!#REF!</f>
        <v>#REF!</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t="e">
        <f t="shared" si="63"/>
        <v>#REF!</v>
      </c>
      <c r="CX75" s="25" t="e">
        <f t="shared" si="64"/>
        <v>#REF!</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t="e">
        <f t="shared" si="82"/>
        <v>#REF!</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909"/>
      <c r="B76" s="1903"/>
      <c r="C76" s="103" t="s">
        <v>33</v>
      </c>
      <c r="D76" s="21"/>
      <c r="E76" s="316">
        <f>'АВЗ АСУТП'!G48</f>
        <v>0</v>
      </c>
      <c r="F76" s="316" t="e">
        <f>'АВЗ АСУТП'!#REF!</f>
        <v>#REF!</v>
      </c>
      <c r="G76" s="316" t="e">
        <f>'АВЗ АСУТП'!#REF!</f>
        <v>#REF!</v>
      </c>
      <c r="H76" s="230" t="e">
        <f>'АВЗ АСУТП'!#REF!</f>
        <v>#REF!</v>
      </c>
      <c r="I76" s="316" t="e">
        <f>'АВЗ АСУТП'!#REF!</f>
        <v>#REF!</v>
      </c>
      <c r="J76" s="230" t="e">
        <f>'АВЗ АСУТП'!#REF!</f>
        <v>#REF!</v>
      </c>
      <c r="K76" s="230" t="e">
        <f>'АВЗ АСУТП'!#REF!</f>
        <v>#REF!</v>
      </c>
      <c r="L76" s="230" t="e">
        <f>'АВЗ АСУТП'!#REF!</f>
        <v>#REF!</v>
      </c>
      <c r="M76" s="230">
        <f>'SIEM АСУТП'!G47</f>
        <v>0</v>
      </c>
      <c r="N76" s="230">
        <f>'SIEM АСУТП'!K47</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АСУТП'!G48</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t="e">
        <f t="shared" si="63"/>
        <v>#REF!</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909"/>
      <c r="B77" s="1903"/>
      <c r="C77" s="103" t="s">
        <v>34</v>
      </c>
      <c r="D77" s="21"/>
      <c r="E77" s="316">
        <f>'АВЗ АСУТП'!G49</f>
        <v>0</v>
      </c>
      <c r="F77" s="316" t="e">
        <f>'АВЗ АСУТП'!#REF!</f>
        <v>#REF!</v>
      </c>
      <c r="G77" s="316" t="e">
        <f>'АВЗ АСУТП'!#REF!</f>
        <v>#REF!</v>
      </c>
      <c r="H77" s="230" t="e">
        <f>'АВЗ АСУТП'!#REF!</f>
        <v>#REF!</v>
      </c>
      <c r="I77" s="316" t="e">
        <f>'АВЗ АСУТП'!#REF!</f>
        <v>#REF!</v>
      </c>
      <c r="J77" s="230" t="e">
        <f>'АВЗ АСУТП'!#REF!</f>
        <v>#REF!</v>
      </c>
      <c r="K77" s="230" t="e">
        <f>'АВЗ АСУТП'!#REF!</f>
        <v>#REF!</v>
      </c>
      <c r="L77" s="230" t="e">
        <f>'АВЗ АСУТП'!#REF!</f>
        <v>#REF!</v>
      </c>
      <c r="M77" s="230">
        <f>'SIEM АСУТП'!G48</f>
        <v>0</v>
      </c>
      <c r="N77" s="230">
        <f>'SIEM АСУТП'!K48</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АСУТП'!G49</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t="e">
        <f t="shared" si="63"/>
        <v>#REF!</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909" t="s">
        <v>181</v>
      </c>
      <c r="B78" s="1903">
        <f>IF('Тип разраб-ой док-ции'!F31=1,1,0)</f>
        <v>0</v>
      </c>
      <c r="C78" s="103" t="s">
        <v>32</v>
      </c>
      <c r="D78" s="21"/>
      <c r="E78" s="316" t="e">
        <f>'АВЗ АСУТП'!#REF!</f>
        <v>#REF!</v>
      </c>
      <c r="F78" s="316" t="e">
        <f>'АВЗ АСУТП'!#REF!</f>
        <v>#REF!</v>
      </c>
      <c r="G78" s="316" t="e">
        <f>'АВЗ АСУТП'!#REF!</f>
        <v>#REF!</v>
      </c>
      <c r="H78" s="230" t="e">
        <f>'АВЗ АСУТП'!#REF!</f>
        <v>#REF!</v>
      </c>
      <c r="I78" s="316" t="e">
        <f>'АВЗ АСУТП'!#REF!</f>
        <v>#REF!</v>
      </c>
      <c r="J78" s="230" t="e">
        <f>'АВЗ АСУТП'!#REF!</f>
        <v>#REF!</v>
      </c>
      <c r="K78" s="230" t="e">
        <f>'АВЗ АСУТП'!#REF!</f>
        <v>#REF!</v>
      </c>
      <c r="L78" s="230" t="e">
        <f>'АВЗ АСУТП'!#REF!</f>
        <v>#REF!</v>
      </c>
      <c r="M78" s="230" t="e">
        <f>'SIEM АСУТП'!#REF!</f>
        <v>#REF!</v>
      </c>
      <c r="N78" s="230" t="e">
        <f>'SIEM АСУТП'!#REF!</f>
        <v>#REF!</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t="e">
        <f>'DO АСУТП'!#REF!</f>
        <v>#REF!</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t="e">
        <f t="shared" si="63"/>
        <v>#REF!</v>
      </c>
      <c r="CX78" s="25" t="e">
        <f t="shared" si="64"/>
        <v>#REF!</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t="e">
        <f t="shared" si="82"/>
        <v>#REF!</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909"/>
      <c r="B79" s="1903"/>
      <c r="C79" s="103" t="s">
        <v>33</v>
      </c>
      <c r="D79" s="21"/>
      <c r="E79" s="316">
        <f>'АВЗ АСУТП'!G50</f>
        <v>0.5</v>
      </c>
      <c r="F79" s="316" t="e">
        <f>'АВЗ АСУТП'!#REF!</f>
        <v>#REF!</v>
      </c>
      <c r="G79" s="316" t="e">
        <f>'АВЗ АСУТП'!#REF!</f>
        <v>#REF!</v>
      </c>
      <c r="H79" s="230" t="e">
        <f>'АВЗ АСУТП'!#REF!</f>
        <v>#REF!</v>
      </c>
      <c r="I79" s="316" t="e">
        <f>'АВЗ АСУТП'!#REF!</f>
        <v>#REF!</v>
      </c>
      <c r="J79" s="230" t="e">
        <f>'АВЗ АСУТП'!#REF!</f>
        <v>#REF!</v>
      </c>
      <c r="K79" s="230" t="e">
        <f>'АВЗ АСУТП'!#REF!</f>
        <v>#REF!</v>
      </c>
      <c r="L79" s="230" t="e">
        <f>'АВЗ АСУТП'!#REF!</f>
        <v>#REF!</v>
      </c>
      <c r="M79" s="230">
        <f>'SIEM АСУТП'!G49</f>
        <v>1</v>
      </c>
      <c r="N79" s="230">
        <f>'SIEM АСУТП'!K49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АСУТП'!G50</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t="e">
        <f t="shared" si="63"/>
        <v>#REF!</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909"/>
      <c r="B80" s="1903"/>
      <c r="C80" s="103" t="s">
        <v>34</v>
      </c>
      <c r="D80" s="21"/>
      <c r="E80" s="316">
        <f>'АВЗ АСУТП'!G51</f>
        <v>0.5</v>
      </c>
      <c r="F80" s="316" t="e">
        <f>'АВЗ АСУТП'!#REF!</f>
        <v>#REF!</v>
      </c>
      <c r="G80" s="316" t="e">
        <f>'АВЗ АСУТП'!#REF!</f>
        <v>#REF!</v>
      </c>
      <c r="H80" s="230" t="e">
        <f>'АВЗ АСУТП'!#REF!</f>
        <v>#REF!</v>
      </c>
      <c r="I80" s="316" t="e">
        <f>'АВЗ АСУТП'!#REF!</f>
        <v>#REF!</v>
      </c>
      <c r="J80" s="230" t="e">
        <f>'АВЗ АСУТП'!#REF!</f>
        <v>#REF!</v>
      </c>
      <c r="K80" s="230" t="e">
        <f>'АВЗ АСУТП'!#REF!</f>
        <v>#REF!</v>
      </c>
      <c r="L80" s="230" t="e">
        <f>'АВЗ АСУТП'!#REF!</f>
        <v>#REF!</v>
      </c>
      <c r="M80" s="230">
        <f>'SIEM АСУТП'!G50</f>
        <v>1</v>
      </c>
      <c r="N80" s="230">
        <f>'SIEM АСУТП'!K50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АСУТП'!G51</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t="e">
        <f t="shared" si="63"/>
        <v>#REF!</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909" t="s">
        <v>182</v>
      </c>
      <c r="B81" s="1903">
        <f>IF('Тип разраб-ой док-ции'!F32=1,1,0)</f>
        <v>0</v>
      </c>
      <c r="C81" s="103" t="s">
        <v>32</v>
      </c>
      <c r="D81" s="21"/>
      <c r="E81" s="316" t="e">
        <f>'АВЗ АСУТП'!#REF!</f>
        <v>#REF!</v>
      </c>
      <c r="F81" s="316" t="e">
        <f>'АВЗ АСУТП'!#REF!</f>
        <v>#REF!</v>
      </c>
      <c r="G81" s="316" t="e">
        <f>'АВЗ АСУТП'!#REF!</f>
        <v>#REF!</v>
      </c>
      <c r="H81" s="230" t="e">
        <f>'АВЗ АСУТП'!#REF!</f>
        <v>#REF!</v>
      </c>
      <c r="I81" s="316" t="e">
        <f>'АВЗ АСУТП'!#REF!</f>
        <v>#REF!</v>
      </c>
      <c r="J81" s="230" t="e">
        <f>'АВЗ АСУТП'!#REF!</f>
        <v>#REF!</v>
      </c>
      <c r="K81" s="230" t="e">
        <f>'АВЗ АСУТП'!#REF!</f>
        <v>#REF!</v>
      </c>
      <c r="L81" s="230" t="e">
        <f>'АВЗ АСУТП'!#REF!</f>
        <v>#REF!</v>
      </c>
      <c r="M81" s="230" t="e">
        <f>'SIEM АСУТП'!#REF!</f>
        <v>#REF!</v>
      </c>
      <c r="N81" s="230" t="e">
        <f>'SIEM АСУТП'!#REF!</f>
        <v>#REF!</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t="e">
        <f>'DO АСУТП'!#REF!</f>
        <v>#REF!</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t="e">
        <f t="shared" si="63"/>
        <v>#REF!</v>
      </c>
      <c r="CX81" s="25" t="e">
        <f t="shared" si="64"/>
        <v>#REF!</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t="e">
        <f t="shared" si="82"/>
        <v>#REF!</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909"/>
      <c r="B82" s="1903"/>
      <c r="C82" s="103" t="s">
        <v>33</v>
      </c>
      <c r="D82" s="21"/>
      <c r="E82" s="316">
        <f>'АВЗ АСУТП'!G52</f>
        <v>0.5</v>
      </c>
      <c r="F82" s="316" t="e">
        <f>'АВЗ АСУТП'!#REF!</f>
        <v>#REF!</v>
      </c>
      <c r="G82" s="316" t="e">
        <f>'АВЗ АСУТП'!#REF!</f>
        <v>#REF!</v>
      </c>
      <c r="H82" s="230" t="e">
        <f>'АВЗ АСУТП'!#REF!</f>
        <v>#REF!</v>
      </c>
      <c r="I82" s="316" t="e">
        <f>'АВЗ АСУТП'!#REF!</f>
        <v>#REF!</v>
      </c>
      <c r="J82" s="230" t="e">
        <f>'АВЗ АСУТП'!#REF!</f>
        <v>#REF!</v>
      </c>
      <c r="K82" s="230" t="e">
        <f>'АВЗ АСУТП'!#REF!</f>
        <v>#REF!</v>
      </c>
      <c r="L82" s="230" t="e">
        <f>'АВЗ АСУТП'!#REF!</f>
        <v>#REF!</v>
      </c>
      <c r="M82" s="230">
        <f>'SIEM АСУТП'!G51</f>
        <v>1</v>
      </c>
      <c r="N82" s="230">
        <f>'SIEM АСУТП'!K51</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АСУТП'!G52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t="e">
        <f t="shared" si="63"/>
        <v>#REF!</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909"/>
      <c r="B83" s="1903"/>
      <c r="C83" s="103" t="s">
        <v>34</v>
      </c>
      <c r="D83" s="21"/>
      <c r="E83" s="316">
        <f>'АВЗ АСУТП'!G53</f>
        <v>0.5</v>
      </c>
      <c r="F83" s="316" t="e">
        <f>'АВЗ АСУТП'!#REF!</f>
        <v>#REF!</v>
      </c>
      <c r="G83" s="316" t="e">
        <f>'АВЗ АСУТП'!#REF!</f>
        <v>#REF!</v>
      </c>
      <c r="H83" s="230" t="e">
        <f>'АВЗ АСУТП'!#REF!</f>
        <v>#REF!</v>
      </c>
      <c r="I83" s="316" t="e">
        <f>'АВЗ АСУТП'!#REF!</f>
        <v>#REF!</v>
      </c>
      <c r="J83" s="230" t="e">
        <f>'АВЗ АСУТП'!#REF!</f>
        <v>#REF!</v>
      </c>
      <c r="K83" s="230" t="e">
        <f>'АВЗ АСУТП'!#REF!</f>
        <v>#REF!</v>
      </c>
      <c r="L83" s="230" t="e">
        <f>'АВЗ АСУТП'!#REF!</f>
        <v>#REF!</v>
      </c>
      <c r="M83" s="230">
        <f>'SIEM АСУТП'!G52</f>
        <v>1</v>
      </c>
      <c r="N83" s="230">
        <f>'SIEM АСУТП'!K52</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АСУТП'!G53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t="e">
        <f t="shared" si="63"/>
        <v>#REF!</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912" t="s">
        <v>183</v>
      </c>
      <c r="B84" s="1898">
        <f>IF('Тип разраб-ой док-ции'!F33=1,1,0)</f>
        <v>0</v>
      </c>
      <c r="C84" s="103" t="s">
        <v>32</v>
      </c>
      <c r="D84" s="21"/>
      <c r="E84" s="316" t="e">
        <f>'АВЗ АСУТП'!#REF!</f>
        <v>#REF!</v>
      </c>
      <c r="F84" s="316" t="e">
        <f>'АВЗ АСУТП'!#REF!</f>
        <v>#REF!</v>
      </c>
      <c r="G84" s="316" t="e">
        <f>'АВЗ АСУТП'!#REF!</f>
        <v>#REF!</v>
      </c>
      <c r="H84" s="230" t="e">
        <f>'АВЗ АСУТП'!#REF!</f>
        <v>#REF!</v>
      </c>
      <c r="I84" s="316" t="e">
        <f>'АВЗ АСУТП'!#REF!</f>
        <v>#REF!</v>
      </c>
      <c r="J84" s="230" t="e">
        <f>'АВЗ АСУТП'!#REF!</f>
        <v>#REF!</v>
      </c>
      <c r="K84" s="230" t="e">
        <f>'АВЗ АСУТП'!#REF!</f>
        <v>#REF!</v>
      </c>
      <c r="L84" s="230" t="e">
        <f>'АВЗ АСУТП'!#REF!</f>
        <v>#REF!</v>
      </c>
      <c r="M84" s="230" t="e">
        <f>'SIEM АСУТП'!#REF!</f>
        <v>#REF!</v>
      </c>
      <c r="N84" s="230" t="e">
        <f>'SIEM АСУТП'!#REF!</f>
        <v>#REF!</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t="e">
        <f>'DO АСУТП'!#REF!</f>
        <v>#REF!</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t="e">
        <f t="shared" si="63"/>
        <v>#REF!</v>
      </c>
      <c r="CX84" s="25" t="e">
        <f t="shared" si="64"/>
        <v>#REF!</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t="e">
        <f t="shared" si="82"/>
        <v>#REF!</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912"/>
      <c r="B85" s="1898"/>
      <c r="C85" s="103" t="s">
        <v>33</v>
      </c>
      <c r="D85" s="21"/>
      <c r="E85" s="316">
        <f>'АВЗ АСУТП'!G54</f>
        <v>0.25</v>
      </c>
      <c r="F85" s="316" t="e">
        <f>'АВЗ АСУТП'!#REF!</f>
        <v>#REF!</v>
      </c>
      <c r="G85" s="316" t="e">
        <f>'АВЗ АСУТП'!#REF!</f>
        <v>#REF!</v>
      </c>
      <c r="H85" s="230" t="e">
        <f>'АВЗ АСУТП'!#REF!</f>
        <v>#REF!</v>
      </c>
      <c r="I85" s="316" t="e">
        <f>'АВЗ АСУТП'!#REF!</f>
        <v>#REF!</v>
      </c>
      <c r="J85" s="230" t="e">
        <f>'АВЗ АСУТП'!#REF!</f>
        <v>#REF!</v>
      </c>
      <c r="K85" s="230" t="e">
        <f>'АВЗ АСУТП'!#REF!</f>
        <v>#REF!</v>
      </c>
      <c r="L85" s="230" t="e">
        <f>'АВЗ АСУТП'!#REF!</f>
        <v>#REF!</v>
      </c>
      <c r="M85" s="230">
        <f>'SIEM АСУТП'!G53</f>
        <v>0.5</v>
      </c>
      <c r="N85" s="230">
        <f>'SIEM АСУТП'!K53</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АСУТП'!G54</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t="e">
        <f t="shared" si="63"/>
        <v>#REF!</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912"/>
      <c r="B86" s="1899"/>
      <c r="C86" s="470" t="s">
        <v>34</v>
      </c>
      <c r="D86" s="77"/>
      <c r="E86" s="466">
        <f>'АВЗ АСУТП'!G55</f>
        <v>0.25</v>
      </c>
      <c r="F86" s="466" t="e">
        <f>'АВЗ АСУТП'!#REF!</f>
        <v>#REF!</v>
      </c>
      <c r="G86" s="466" t="e">
        <f>'АВЗ АСУТП'!#REF!</f>
        <v>#REF!</v>
      </c>
      <c r="H86" s="467" t="e">
        <f>'АВЗ АСУТП'!#REF!</f>
        <v>#REF!</v>
      </c>
      <c r="I86" s="466" t="e">
        <f>'АВЗ АСУТП'!#REF!</f>
        <v>#REF!</v>
      </c>
      <c r="J86" s="467" t="e">
        <f>'АВЗ АСУТП'!#REF!</f>
        <v>#REF!</v>
      </c>
      <c r="K86" s="467" t="e">
        <f>'АВЗ АСУТП'!#REF!</f>
        <v>#REF!</v>
      </c>
      <c r="L86" s="467" t="e">
        <f>'АВЗ АСУТП'!#REF!</f>
        <v>#REF!</v>
      </c>
      <c r="M86" s="467">
        <f>'SIEM АСУТП'!G54</f>
        <v>0.5</v>
      </c>
      <c r="N86" s="467">
        <f>'SIEM АСУТП'!K54</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АСУТП'!G55</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t="e">
        <f t="shared" si="63"/>
        <v>#REF!</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912" t="s">
        <v>23</v>
      </c>
      <c r="B88" s="1913">
        <f>IF('Тип разраб-ой док-ции'!F35=1,1,0)</f>
        <v>0</v>
      </c>
      <c r="C88" s="325" t="s">
        <v>32</v>
      </c>
      <c r="D88" s="230"/>
      <c r="E88" s="316" t="e">
        <f>'АВЗ АСУТП'!#REF!</f>
        <v>#REF!</v>
      </c>
      <c r="F88" s="316" t="e">
        <f>'АВЗ АСУТП'!#REF!</f>
        <v>#REF!</v>
      </c>
      <c r="G88" s="316" t="e">
        <f>'АВЗ АСУТП'!#REF!</f>
        <v>#REF!</v>
      </c>
      <c r="H88" s="230" t="e">
        <f>'АВЗ АСУТП'!#REF!</f>
        <v>#REF!</v>
      </c>
      <c r="I88" s="316" t="e">
        <f>'АВЗ АСУТП'!#REF!</f>
        <v>#REF!</v>
      </c>
      <c r="J88" s="230" t="e">
        <f>'АВЗ АСУТП'!#REF!</f>
        <v>#REF!</v>
      </c>
      <c r="K88" s="230" t="e">
        <f>'АВЗ АСУТП'!#REF!</f>
        <v>#REF!</v>
      </c>
      <c r="L88" s="230" t="e">
        <f>'АВЗ АСУТП'!#REF!</f>
        <v>#REF!</v>
      </c>
      <c r="M88" s="230" t="e">
        <f>'SIEM АСУТП'!#REF!</f>
        <v>#REF!</v>
      </c>
      <c r="N88" s="230" t="e">
        <f>'SIEM АСУТП'!#REF!</f>
        <v>#REF!</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t="e">
        <f>'DO АСУТП'!#REF!</f>
        <v>#REF!</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#REF!</v>
      </c>
      <c r="CW88" s="317" t="e">
        <f t="shared" ref="CW88:CW105" si="94">SUMPRODUCT(E88:L88,$E$2:$L$2) + D88</f>
        <v>#REF!</v>
      </c>
      <c r="CX88" s="317" t="e">
        <f t="shared" ref="CX88:CX105" si="95">SUMPRODUCT(M88:N88,$M$2:$N$2) + D88</f>
        <v>#REF!</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t="e">
        <f t="shared" ref="DP88:DP105" si="113">SUMPRODUCT(BS88:BS88,$BS$2:$BS$2) + $D88</f>
        <v>#REF!</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912"/>
      <c r="B89" s="1898"/>
      <c r="C89" s="18" t="s">
        <v>33</v>
      </c>
      <c r="D89" s="21"/>
      <c r="E89" s="316">
        <f>'АВЗ АСУТП'!G56</f>
        <v>0</v>
      </c>
      <c r="F89" s="316" t="e">
        <f>'АВЗ АСУТП'!#REF!</f>
        <v>#REF!</v>
      </c>
      <c r="G89" s="316" t="e">
        <f>'АВЗ АСУТП'!#REF!</f>
        <v>#REF!</v>
      </c>
      <c r="H89" s="230" t="e">
        <f>'АВЗ АСУТП'!#REF!</f>
        <v>#REF!</v>
      </c>
      <c r="I89" s="316" t="e">
        <f>'АВЗ АСУТП'!#REF!</f>
        <v>#REF!</v>
      </c>
      <c r="J89" s="230" t="e">
        <f>'АВЗ АСУТП'!#REF!</f>
        <v>#REF!</v>
      </c>
      <c r="K89" s="230" t="e">
        <f>'АВЗ АСУТП'!#REF!</f>
        <v>#REF!</v>
      </c>
      <c r="L89" s="230" t="e">
        <f>'АВЗ АСУТП'!#REF!</f>
        <v>#REF!</v>
      </c>
      <c r="M89" s="230">
        <f>'SIEM АСУТП'!G55</f>
        <v>0</v>
      </c>
      <c r="N89" s="230">
        <f>'SIEM АСУТП'!K55</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t="e">
        <f>'DO АСУТП'!G56</f>
        <v>#VALUE!</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t="e">
        <f t="shared" si="94"/>
        <v>#REF!</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t="e">
        <f t="shared" si="113"/>
        <v>#VALUE!</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912"/>
      <c r="B90" s="1914"/>
      <c r="C90" s="18" t="s">
        <v>34</v>
      </c>
      <c r="D90" s="21"/>
      <c r="E90" s="316">
        <f>'АВЗ АСУТП'!G57</f>
        <v>0</v>
      </c>
      <c r="F90" s="316" t="e">
        <f>'АВЗ АСУТП'!#REF!</f>
        <v>#REF!</v>
      </c>
      <c r="G90" s="316" t="e">
        <f>'АВЗ АСУТП'!#REF!</f>
        <v>#REF!</v>
      </c>
      <c r="H90" s="230" t="e">
        <f>'АВЗ АСУТП'!#REF!</f>
        <v>#REF!</v>
      </c>
      <c r="I90" s="316" t="e">
        <f>'АВЗ АСУТП'!#REF!</f>
        <v>#REF!</v>
      </c>
      <c r="J90" s="230" t="e">
        <f>'АВЗ АСУТП'!#REF!</f>
        <v>#REF!</v>
      </c>
      <c r="K90" s="230" t="e">
        <f>'АВЗ АСУТП'!#REF!</f>
        <v>#REF!</v>
      </c>
      <c r="L90" s="230" t="e">
        <f>'АВЗ АСУТП'!#REF!</f>
        <v>#REF!</v>
      </c>
      <c r="M90" s="230" t="e">
        <f>'SIEM АСУТП'!G56</f>
        <v>#VALUE!</v>
      </c>
      <c r="N90" s="230" t="e">
        <f>'SIEM АСУТП'!K56</f>
        <v>#VALUE!</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АСУТП'!G57</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t="e">
        <f t="shared" si="94"/>
        <v>#REF!</v>
      </c>
      <c r="CX90" s="25" t="e">
        <f t="shared" si="95"/>
        <v>#VALUE!</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909" t="s">
        <v>24</v>
      </c>
      <c r="B91" s="1898">
        <f>IF('Тип разраб-ой док-ции'!F36=1,1,0)</f>
        <v>1</v>
      </c>
      <c r="C91" s="18" t="s">
        <v>32</v>
      </c>
      <c r="D91" s="21"/>
      <c r="E91" s="316" t="e">
        <f>'АВЗ АСУТП'!#REF!</f>
        <v>#REF!</v>
      </c>
      <c r="F91" s="316" t="e">
        <f>'АВЗ АСУТП'!#REF!</f>
        <v>#REF!</v>
      </c>
      <c r="G91" s="316" t="e">
        <f>'АВЗ АСУТП'!#REF!</f>
        <v>#REF!</v>
      </c>
      <c r="H91" s="230" t="e">
        <f>'АВЗ АСУТП'!#REF!</f>
        <v>#REF!</v>
      </c>
      <c r="I91" s="316" t="e">
        <f>'АВЗ АСУТП'!#REF!</f>
        <v>#REF!</v>
      </c>
      <c r="J91" s="230" t="e">
        <f>'АВЗ АСУТП'!#REF!</f>
        <v>#REF!</v>
      </c>
      <c r="K91" s="230" t="e">
        <f>'АВЗ АСУТП'!#REF!</f>
        <v>#REF!</v>
      </c>
      <c r="L91" s="230" t="e">
        <f>'АВЗ АСУТП'!#REF!</f>
        <v>#REF!</v>
      </c>
      <c r="M91" s="230" t="e">
        <f>'SIEM АСУТП'!#REF!</f>
        <v>#REF!</v>
      </c>
      <c r="N91" s="230" t="e">
        <f>'SIEM АСУТП'!#REF!</f>
        <v>#REF!</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t="e">
        <f>'DO АСУТП'!#REF!</f>
        <v>#REF!</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t="e">
        <f t="shared" si="94"/>
        <v>#REF!</v>
      </c>
      <c r="CX91" s="25" t="e">
        <f t="shared" si="95"/>
        <v>#REF!</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t="e">
        <f t="shared" si="113"/>
        <v>#REF!</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909"/>
      <c r="B92" s="1898"/>
      <c r="C92" s="18" t="s">
        <v>33</v>
      </c>
      <c r="D92" s="21"/>
      <c r="E92" s="316">
        <f>'АВЗ АСУТП'!G58</f>
        <v>1.5</v>
      </c>
      <c r="F92" s="316" t="e">
        <f>'АВЗ АСУТП'!#REF!</f>
        <v>#REF!</v>
      </c>
      <c r="G92" s="316" t="e">
        <f>'АВЗ АСУТП'!#REF!</f>
        <v>#REF!</v>
      </c>
      <c r="H92" s="230" t="e">
        <f>'АВЗ АСУТП'!#REF!</f>
        <v>#REF!</v>
      </c>
      <c r="I92" s="316" t="e">
        <f>'АВЗ АСУТП'!#REF!</f>
        <v>#REF!</v>
      </c>
      <c r="J92" s="230" t="e">
        <f>'АВЗ АСУТП'!#REF!</f>
        <v>#REF!</v>
      </c>
      <c r="K92" s="230" t="e">
        <f>'АВЗ АСУТП'!#REF!</f>
        <v>#REF!</v>
      </c>
      <c r="L92" s="230" t="e">
        <f>'АВЗ АСУТП'!#REF!</f>
        <v>#REF!</v>
      </c>
      <c r="M92" s="230">
        <f>'SIEM АСУТП'!G57</f>
        <v>3</v>
      </c>
      <c r="N92" s="230">
        <f>'SIEM АСУТП'!K57</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АСУТП'!G58</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t="e">
        <f t="shared" si="94"/>
        <v>#REF!</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909"/>
      <c r="B93" s="1914"/>
      <c r="C93" s="18" t="s">
        <v>34</v>
      </c>
      <c r="D93" s="21"/>
      <c r="E93" s="316">
        <f>'АВЗ АСУТП'!G59</f>
        <v>2.5</v>
      </c>
      <c r="F93" s="316" t="e">
        <f>'АВЗ АСУТП'!#REF!</f>
        <v>#REF!</v>
      </c>
      <c r="G93" s="316" t="e">
        <f>'АВЗ АСУТП'!#REF!</f>
        <v>#REF!</v>
      </c>
      <c r="H93" s="230" t="e">
        <f>'АВЗ АСУТП'!#REF!</f>
        <v>#REF!</v>
      </c>
      <c r="I93" s="316" t="e">
        <f>'АВЗ АСУТП'!#REF!</f>
        <v>#REF!</v>
      </c>
      <c r="J93" s="230" t="e">
        <f>'АВЗ АСУТП'!#REF!</f>
        <v>#REF!</v>
      </c>
      <c r="K93" s="230" t="e">
        <f>'АВЗ АСУТП'!#REF!</f>
        <v>#REF!</v>
      </c>
      <c r="L93" s="230" t="e">
        <f>'АВЗ АСУТП'!#REF!</f>
        <v>#REF!</v>
      </c>
      <c r="M93" s="230">
        <f>'SIEM АСУТП'!G58</f>
        <v>5</v>
      </c>
      <c r="N93" s="230">
        <f>'SIEM АСУТП'!K58</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АСУТП'!G59</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t="e">
        <f t="shared" si="94"/>
        <v>#REF!</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909" t="s">
        <v>25</v>
      </c>
      <c r="B94" s="1898">
        <f>IF('Тип разраб-ой док-ции'!F37=1,1,0)</f>
        <v>1</v>
      </c>
      <c r="C94" s="18" t="s">
        <v>32</v>
      </c>
      <c r="D94" s="21"/>
      <c r="E94" s="316" t="e">
        <f>'АВЗ АСУТП'!#REF!</f>
        <v>#REF!</v>
      </c>
      <c r="F94" s="316" t="e">
        <f>'АВЗ АСУТП'!#REF!</f>
        <v>#REF!</v>
      </c>
      <c r="G94" s="316" t="e">
        <f>'АВЗ АСУТП'!#REF!</f>
        <v>#REF!</v>
      </c>
      <c r="H94" s="230" t="e">
        <f>'АВЗ АСУТП'!#REF!</f>
        <v>#REF!</v>
      </c>
      <c r="I94" s="316" t="e">
        <f>'АВЗ АСУТП'!#REF!</f>
        <v>#REF!</v>
      </c>
      <c r="J94" s="230" t="e">
        <f>'АВЗ АСУТП'!#REF!</f>
        <v>#REF!</v>
      </c>
      <c r="K94" s="230" t="e">
        <f>'АВЗ АСУТП'!#REF!</f>
        <v>#REF!</v>
      </c>
      <c r="L94" s="230" t="e">
        <f>'АВЗ АСУТП'!#REF!</f>
        <v>#REF!</v>
      </c>
      <c r="M94" s="230" t="e">
        <f>'SIEM АСУТП'!#REF!</f>
        <v>#REF!</v>
      </c>
      <c r="N94" s="230" t="e">
        <f>'SIEM АСУТП'!#REF!</f>
        <v>#REF!</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t="e">
        <f>'DO АСУТП'!#REF!</f>
        <v>#REF!</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t="e">
        <f t="shared" si="94"/>
        <v>#REF!</v>
      </c>
      <c r="CX94" s="25" t="e">
        <f t="shared" si="95"/>
        <v>#REF!</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t="e">
        <f t="shared" si="113"/>
        <v>#REF!</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909"/>
      <c r="B95" s="1898"/>
      <c r="C95" s="18" t="s">
        <v>33</v>
      </c>
      <c r="D95" s="21"/>
      <c r="E95" s="316">
        <f>'АВЗ АСУТП'!G60</f>
        <v>1.5</v>
      </c>
      <c r="F95" s="316" t="e">
        <f>'АВЗ АСУТП'!#REF!</f>
        <v>#REF!</v>
      </c>
      <c r="G95" s="316" t="e">
        <f>'АВЗ АСУТП'!#REF!</f>
        <v>#REF!</v>
      </c>
      <c r="H95" s="230" t="e">
        <f>'АВЗ АСУТП'!#REF!</f>
        <v>#REF!</v>
      </c>
      <c r="I95" s="316" t="e">
        <f>'АВЗ АСУТП'!#REF!</f>
        <v>#REF!</v>
      </c>
      <c r="J95" s="230" t="e">
        <f>'АВЗ АСУТП'!#REF!</f>
        <v>#REF!</v>
      </c>
      <c r="K95" s="230" t="e">
        <f>'АВЗ АСУТП'!#REF!</f>
        <v>#REF!</v>
      </c>
      <c r="L95" s="230" t="e">
        <f>'АВЗ АСУТП'!#REF!</f>
        <v>#REF!</v>
      </c>
      <c r="M95" s="230">
        <f>'SIEM АСУТП'!G59</f>
        <v>2</v>
      </c>
      <c r="N95" s="230">
        <f>'SIEM АСУТП'!K59</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АСУТП'!G60</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t="e">
        <f t="shared" si="94"/>
        <v>#REF!</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909"/>
      <c r="B96" s="1914"/>
      <c r="C96" s="18" t="s">
        <v>34</v>
      </c>
      <c r="D96" s="21"/>
      <c r="E96" s="316">
        <f>'АВЗ АСУТП'!G61</f>
        <v>2.5</v>
      </c>
      <c r="F96" s="316" t="e">
        <f>'АВЗ АСУТП'!#REF!</f>
        <v>#REF!</v>
      </c>
      <c r="G96" s="316" t="e">
        <f>'АВЗ АСУТП'!#REF!</f>
        <v>#REF!</v>
      </c>
      <c r="H96" s="230" t="e">
        <f>'АВЗ АСУТП'!#REF!</f>
        <v>#REF!</v>
      </c>
      <c r="I96" s="316" t="e">
        <f>'АВЗ АСУТП'!#REF!</f>
        <v>#REF!</v>
      </c>
      <c r="J96" s="230" t="e">
        <f>'АВЗ АСУТП'!#REF!</f>
        <v>#REF!</v>
      </c>
      <c r="K96" s="230" t="e">
        <f>'АВЗ АСУТП'!#REF!</f>
        <v>#REF!</v>
      </c>
      <c r="L96" s="230" t="e">
        <f>'АВЗ АСУТП'!#REF!</f>
        <v>#REF!</v>
      </c>
      <c r="M96" s="230">
        <f>'SIEM АСУТП'!G60</f>
        <v>4</v>
      </c>
      <c r="N96" s="230">
        <f>'SIEM АСУТП'!K60</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АСУТП'!G61</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t="e">
        <f t="shared" si="94"/>
        <v>#REF!</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909" t="s">
        <v>26</v>
      </c>
      <c r="B97" s="1898">
        <f>IF('Тип разраб-ой док-ции'!F38=1,1,0)</f>
        <v>0</v>
      </c>
      <c r="C97" s="18" t="s">
        <v>32</v>
      </c>
      <c r="D97" s="21"/>
      <c r="E97" s="316" t="e">
        <f>'АВЗ АСУТП'!#REF!</f>
        <v>#REF!</v>
      </c>
      <c r="F97" s="316" t="e">
        <f>'АВЗ АСУТП'!#REF!</f>
        <v>#REF!</v>
      </c>
      <c r="G97" s="316" t="e">
        <f>'АВЗ АСУТП'!#REF!</f>
        <v>#REF!</v>
      </c>
      <c r="H97" s="230" t="e">
        <f>'АВЗ АСУТП'!#REF!</f>
        <v>#REF!</v>
      </c>
      <c r="I97" s="316" t="e">
        <f>'АВЗ АСУТП'!#REF!</f>
        <v>#REF!</v>
      </c>
      <c r="J97" s="230" t="e">
        <f>'АВЗ АСУТП'!#REF!</f>
        <v>#REF!</v>
      </c>
      <c r="K97" s="230" t="e">
        <f>'АВЗ АСУТП'!#REF!</f>
        <v>#REF!</v>
      </c>
      <c r="L97" s="230" t="e">
        <f>'АВЗ АСУТП'!#REF!</f>
        <v>#REF!</v>
      </c>
      <c r="M97" s="230" t="e">
        <f>'SIEM АСУТП'!#REF!</f>
        <v>#REF!</v>
      </c>
      <c r="N97" s="230" t="e">
        <f>'SIEM АСУТП'!#REF!</f>
        <v>#REF!</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t="e">
        <f>'DO АСУТП'!#REF!</f>
        <v>#REF!</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t="e">
        <f t="shared" si="94"/>
        <v>#REF!</v>
      </c>
      <c r="CX97" s="25" t="e">
        <f t="shared" si="95"/>
        <v>#REF!</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t="e">
        <f t="shared" si="113"/>
        <v>#REF!</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909"/>
      <c r="B98" s="1898"/>
      <c r="C98" s="18" t="s">
        <v>33</v>
      </c>
      <c r="D98" s="21"/>
      <c r="E98" s="316">
        <f>'АВЗ АСУТП'!G62</f>
        <v>1</v>
      </c>
      <c r="F98" s="316" t="e">
        <f>'АВЗ АСУТП'!#REF!</f>
        <v>#REF!</v>
      </c>
      <c r="G98" s="316" t="e">
        <f>'АВЗ АСУТП'!#REF!</f>
        <v>#REF!</v>
      </c>
      <c r="H98" s="230" t="e">
        <f>'АВЗ АСУТП'!#REF!</f>
        <v>#REF!</v>
      </c>
      <c r="I98" s="316" t="e">
        <f>'АВЗ АСУТП'!#REF!</f>
        <v>#REF!</v>
      </c>
      <c r="J98" s="230" t="e">
        <f>'АВЗ АСУТП'!#REF!</f>
        <v>#REF!</v>
      </c>
      <c r="K98" s="230" t="e">
        <f>'АВЗ АСУТП'!#REF!</f>
        <v>#REF!</v>
      </c>
      <c r="L98" s="230" t="e">
        <f>'АВЗ АСУТП'!#REF!</f>
        <v>#REF!</v>
      </c>
      <c r="M98" s="230">
        <f>'SIEM АСУТП'!G61</f>
        <v>2</v>
      </c>
      <c r="N98" s="230">
        <f>'SIEM АСУТП'!K61</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АСУТП'!G62</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t="e">
        <f t="shared" si="94"/>
        <v>#REF!</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909"/>
      <c r="B99" s="1914"/>
      <c r="C99" s="18" t="s">
        <v>34</v>
      </c>
      <c r="D99" s="21"/>
      <c r="E99" s="316">
        <f>'АВЗ АСУТП'!G63</f>
        <v>2</v>
      </c>
      <c r="F99" s="316" t="e">
        <f>'АВЗ АСУТП'!#REF!</f>
        <v>#REF!</v>
      </c>
      <c r="G99" s="316" t="e">
        <f>'АВЗ АСУТП'!#REF!</f>
        <v>#REF!</v>
      </c>
      <c r="H99" s="230" t="e">
        <f>'АВЗ АСУТП'!#REF!</f>
        <v>#REF!</v>
      </c>
      <c r="I99" s="316" t="e">
        <f>'АВЗ АСУТП'!#REF!</f>
        <v>#REF!</v>
      </c>
      <c r="J99" s="230" t="e">
        <f>'АВЗ АСУТП'!#REF!</f>
        <v>#REF!</v>
      </c>
      <c r="K99" s="230" t="e">
        <f>'АВЗ АСУТП'!#REF!</f>
        <v>#REF!</v>
      </c>
      <c r="L99" s="230" t="e">
        <f>'АВЗ АСУТП'!#REF!</f>
        <v>#REF!</v>
      </c>
      <c r="M99" s="230">
        <f>'SIEM АСУТП'!G62</f>
        <v>4</v>
      </c>
      <c r="N99" s="230">
        <f>'SIEM АСУТП'!K62</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АСУТП'!G63</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t="e">
        <f t="shared" si="94"/>
        <v>#REF!</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909" t="s">
        <v>27</v>
      </c>
      <c r="B100" s="1898">
        <f>IF('Тип разраб-ой док-ции'!F39=1,1,0)</f>
        <v>0</v>
      </c>
      <c r="C100" s="18" t="s">
        <v>32</v>
      </c>
      <c r="D100" s="21"/>
      <c r="E100" s="316" t="e">
        <f>'АВЗ АСУТП'!#REF!</f>
        <v>#REF!</v>
      </c>
      <c r="F100" s="316" t="e">
        <f>'АВЗ АСУТП'!#REF!</f>
        <v>#REF!</v>
      </c>
      <c r="G100" s="316" t="e">
        <f>'АВЗ АСУТП'!#REF!</f>
        <v>#REF!</v>
      </c>
      <c r="H100" s="230" t="e">
        <f>'АВЗ АСУТП'!#REF!</f>
        <v>#REF!</v>
      </c>
      <c r="I100" s="316" t="e">
        <f>'АВЗ АСУТП'!#REF!</f>
        <v>#REF!</v>
      </c>
      <c r="J100" s="230" t="e">
        <f>'АВЗ АСУТП'!#REF!</f>
        <v>#REF!</v>
      </c>
      <c r="K100" s="230" t="e">
        <f>'АВЗ АСУТП'!#REF!</f>
        <v>#REF!</v>
      </c>
      <c r="L100" s="230" t="e">
        <f>'АВЗ АСУТП'!#REF!</f>
        <v>#REF!</v>
      </c>
      <c r="M100" s="230" t="e">
        <f>'SIEM АСУТП'!#REF!</f>
        <v>#REF!</v>
      </c>
      <c r="N100" s="230" t="e">
        <f>'SIEM АСУТП'!#REF!</f>
        <v>#REF!</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t="e">
        <f>'DO АСУТП'!#REF!</f>
        <v>#REF!</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t="e">
        <f t="shared" si="94"/>
        <v>#REF!</v>
      </c>
      <c r="CX100" s="25" t="e">
        <f t="shared" si="95"/>
        <v>#REF!</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t="e">
        <f t="shared" si="113"/>
        <v>#REF!</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909"/>
      <c r="B101" s="1898"/>
      <c r="C101" s="18" t="s">
        <v>33</v>
      </c>
      <c r="D101" s="21"/>
      <c r="E101" s="316">
        <f>'АВЗ АСУТП'!G64</f>
        <v>1</v>
      </c>
      <c r="F101" s="316" t="e">
        <f>'АВЗ АСУТП'!#REF!</f>
        <v>#REF!</v>
      </c>
      <c r="G101" s="316" t="e">
        <f>'АВЗ АСУТП'!#REF!</f>
        <v>#REF!</v>
      </c>
      <c r="H101" s="230" t="e">
        <f>'АВЗ АСУТП'!#REF!</f>
        <v>#REF!</v>
      </c>
      <c r="I101" s="316" t="e">
        <f>'АВЗ АСУТП'!#REF!</f>
        <v>#REF!</v>
      </c>
      <c r="J101" s="230" t="e">
        <f>'АВЗ АСУТП'!#REF!</f>
        <v>#REF!</v>
      </c>
      <c r="K101" s="230" t="e">
        <f>'АВЗ АСУТП'!#REF!</f>
        <v>#REF!</v>
      </c>
      <c r="L101" s="230" t="e">
        <f>'АВЗ АСУТП'!#REF!</f>
        <v>#REF!</v>
      </c>
      <c r="M101" s="230">
        <f>'SIEM АСУТП'!G63</f>
        <v>2</v>
      </c>
      <c r="N101" s="230">
        <f>'SIEM АСУТП'!K63</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АСУТП'!G64</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t="e">
        <f t="shared" si="94"/>
        <v>#REF!</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909"/>
      <c r="B102" s="1914"/>
      <c r="C102" s="18" t="s">
        <v>34</v>
      </c>
      <c r="D102" s="21"/>
      <c r="E102" s="316">
        <f>'АВЗ АСУТП'!G65</f>
        <v>2</v>
      </c>
      <c r="F102" s="316" t="e">
        <f>'АВЗ АСУТП'!#REF!</f>
        <v>#REF!</v>
      </c>
      <c r="G102" s="316" t="e">
        <f>'АВЗ АСУТП'!#REF!</f>
        <v>#REF!</v>
      </c>
      <c r="H102" s="230" t="e">
        <f>'АВЗ АСУТП'!#REF!</f>
        <v>#REF!</v>
      </c>
      <c r="I102" s="316" t="e">
        <f>'АВЗ АСУТП'!#REF!</f>
        <v>#REF!</v>
      </c>
      <c r="J102" s="230" t="e">
        <f>'АВЗ АСУТП'!#REF!</f>
        <v>#REF!</v>
      </c>
      <c r="K102" s="230" t="e">
        <f>'АВЗ АСУТП'!#REF!</f>
        <v>#REF!</v>
      </c>
      <c r="L102" s="230" t="e">
        <f>'АВЗ АСУТП'!#REF!</f>
        <v>#REF!</v>
      </c>
      <c r="M102" s="230">
        <f>'SIEM АСУТП'!G64</f>
        <v>4</v>
      </c>
      <c r="N102" s="230">
        <f>'SIEM АСУТП'!K64</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АСУТП'!G65</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t="e">
        <f t="shared" si="94"/>
        <v>#REF!</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912" t="s">
        <v>28</v>
      </c>
      <c r="B103" s="1898">
        <f>IF('Тип разраб-ой док-ции'!F40=1,1,0)</f>
        <v>0</v>
      </c>
      <c r="C103" s="18" t="s">
        <v>32</v>
      </c>
      <c r="D103" s="21"/>
      <c r="E103" s="316" t="e">
        <f>'АВЗ АСУТП'!#REF!</f>
        <v>#REF!</v>
      </c>
      <c r="F103" s="316" t="e">
        <f>'АВЗ АСУТП'!#REF!</f>
        <v>#REF!</v>
      </c>
      <c r="G103" s="316" t="e">
        <f>'АВЗ АСУТП'!#REF!</f>
        <v>#REF!</v>
      </c>
      <c r="H103" s="230" t="e">
        <f>'АВЗ АСУТП'!#REF!</f>
        <v>#REF!</v>
      </c>
      <c r="I103" s="316" t="e">
        <f>'АВЗ АСУТП'!#REF!</f>
        <v>#REF!</v>
      </c>
      <c r="J103" s="230" t="e">
        <f>'АВЗ АСУТП'!#REF!</f>
        <v>#REF!</v>
      </c>
      <c r="K103" s="230" t="e">
        <f>'АВЗ АСУТП'!#REF!</f>
        <v>#REF!</v>
      </c>
      <c r="L103" s="230" t="e">
        <f>'АВЗ АСУТП'!#REF!</f>
        <v>#REF!</v>
      </c>
      <c r="M103" s="230" t="e">
        <f>'SIEM АСУТП'!#REF!</f>
        <v>#REF!</v>
      </c>
      <c r="N103" s="230" t="e">
        <f>'SIEM АСУТП'!#REF!</f>
        <v>#REF!</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t="e">
        <f>'DO АСУТП'!#REF!</f>
        <v>#REF!</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t="e">
        <f t="shared" si="94"/>
        <v>#REF!</v>
      </c>
      <c r="CX103" s="25" t="e">
        <f t="shared" si="95"/>
        <v>#REF!</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t="e">
        <f t="shared" si="113"/>
        <v>#REF!</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912"/>
      <c r="B104" s="1898"/>
      <c r="C104" s="18" t="s">
        <v>33</v>
      </c>
      <c r="D104" s="21"/>
      <c r="E104" s="316">
        <f>'АВЗ АСУТП'!G66</f>
        <v>1</v>
      </c>
      <c r="F104" s="316" t="e">
        <f>'АВЗ АСУТП'!#REF!</f>
        <v>#REF!</v>
      </c>
      <c r="G104" s="316" t="e">
        <f>'АВЗ АСУТП'!#REF!</f>
        <v>#REF!</v>
      </c>
      <c r="H104" s="230" t="e">
        <f>'АВЗ АСУТП'!#REF!</f>
        <v>#REF!</v>
      </c>
      <c r="I104" s="316" t="e">
        <f>'АВЗ АСУТП'!#REF!</f>
        <v>#REF!</v>
      </c>
      <c r="J104" s="230" t="e">
        <f>'АВЗ АСУТП'!#REF!</f>
        <v>#REF!</v>
      </c>
      <c r="K104" s="230" t="e">
        <f>'АВЗ АСУТП'!#REF!</f>
        <v>#REF!</v>
      </c>
      <c r="L104" s="230" t="e">
        <f>'АВЗ АСУТП'!#REF!</f>
        <v>#REF!</v>
      </c>
      <c r="M104" s="230">
        <f>'SIEM АСУТП'!G65</f>
        <v>2</v>
      </c>
      <c r="N104" s="230">
        <f>'SIEM АСУТП'!K65</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АСУТП'!G66</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t="e">
        <f t="shared" si="94"/>
        <v>#REF!</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912"/>
      <c r="B105" s="1899"/>
      <c r="C105" s="81" t="s">
        <v>34</v>
      </c>
      <c r="D105" s="77"/>
      <c r="E105" s="466">
        <f>'АВЗ АСУТП'!G67</f>
        <v>2</v>
      </c>
      <c r="F105" s="466" t="e">
        <f>'АВЗ АСУТП'!#REF!</f>
        <v>#REF!</v>
      </c>
      <c r="G105" s="466" t="e">
        <f>'АВЗ АСУТП'!#REF!</f>
        <v>#REF!</v>
      </c>
      <c r="H105" s="467" t="e">
        <f>'АВЗ АСУТП'!#REF!</f>
        <v>#REF!</v>
      </c>
      <c r="I105" s="466" t="e">
        <f>'АВЗ АСУТП'!#REF!</f>
        <v>#REF!</v>
      </c>
      <c r="J105" s="467" t="e">
        <f>'АВЗ АСУТП'!#REF!</f>
        <v>#REF!</v>
      </c>
      <c r="K105" s="467" t="e">
        <f>'АВЗ АСУТП'!#REF!</f>
        <v>#REF!</v>
      </c>
      <c r="L105" s="467" t="e">
        <f>'АВЗ АСУТП'!#REF!</f>
        <v>#REF!</v>
      </c>
      <c r="M105" s="467">
        <f>'SIEM АСУТП'!G66</f>
        <v>4</v>
      </c>
      <c r="N105" s="467">
        <f>'SIEM АСУТП'!K66</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АСУТП'!G67</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t="e">
        <f t="shared" si="94"/>
        <v>#REF!</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911" t="s">
        <v>447</v>
      </c>
      <c r="B107" s="1916" t="s">
        <v>75</v>
      </c>
      <c r="C107" s="471" t="s">
        <v>32</v>
      </c>
      <c r="D107" s="106"/>
      <c r="E107" s="683" t="e">
        <f>$B$8*E8+$B$31*E31+$B$42*E42</f>
        <v>#REF!</v>
      </c>
      <c r="F107" s="854" t="e">
        <f t="shared" ref="F107:BK107" si="124">$B$8*F8+$B$31*F31+$B$42*F42</f>
        <v>#REF!</v>
      </c>
      <c r="G107" s="683" t="e">
        <f t="shared" si="124"/>
        <v>#REF!</v>
      </c>
      <c r="H107" s="854" t="e">
        <f t="shared" si="124"/>
        <v>#REF!</v>
      </c>
      <c r="I107" s="683" t="e">
        <f t="shared" si="124"/>
        <v>#REF!</v>
      </c>
      <c r="J107" s="854" t="e">
        <f t="shared" si="124"/>
        <v>#REF!</v>
      </c>
      <c r="K107" s="683" t="e">
        <f t="shared" si="124"/>
        <v>#REF!</v>
      </c>
      <c r="L107" s="854" t="e">
        <f t="shared" si="124"/>
        <v>#REF!</v>
      </c>
      <c r="M107" s="683" t="e">
        <f t="shared" si="124"/>
        <v>#REF!</v>
      </c>
      <c r="N107" s="854" t="e">
        <f t="shared" si="124"/>
        <v>#REF!</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t="e">
        <f t="shared" si="126"/>
        <v>#REF!</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912"/>
      <c r="B108" s="1898"/>
      <c r="C108" s="18" t="s">
        <v>33</v>
      </c>
      <c r="D108" s="22"/>
      <c r="E108" s="619">
        <f>$B$8*E9+$B$31*E32+$B$42*E43</f>
        <v>0.75</v>
      </c>
      <c r="F108" s="807" t="e">
        <f t="shared" ref="F108:BK108" si="129">$B$8*F9+$B$31*F32+$B$42*F43</f>
        <v>#REF!</v>
      </c>
      <c r="G108" s="619" t="e">
        <f t="shared" si="129"/>
        <v>#REF!</v>
      </c>
      <c r="H108" s="807" t="e">
        <f t="shared" si="129"/>
        <v>#REF!</v>
      </c>
      <c r="I108" s="619" t="e">
        <f t="shared" si="129"/>
        <v>#REF!</v>
      </c>
      <c r="J108" s="807" t="e">
        <f t="shared" si="129"/>
        <v>#REF!</v>
      </c>
      <c r="K108" s="619" t="e">
        <f t="shared" si="129"/>
        <v>#REF!</v>
      </c>
      <c r="L108" s="807" t="e">
        <f t="shared" si="129"/>
        <v>#REF!</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t="e">
        <f t="shared" si="130"/>
        <v>#VALUE!</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912"/>
      <c r="B109" s="1914"/>
      <c r="C109" s="18" t="s">
        <v>34</v>
      </c>
      <c r="D109" s="22"/>
      <c r="E109" s="619">
        <f>$B$8*E10+$B$31*E33+$B$42*E44</f>
        <v>0.75</v>
      </c>
      <c r="F109" s="807" t="e">
        <f t="shared" ref="F109:BK109" si="133">$B$8*F10+$B$31*F33+$B$42*F44</f>
        <v>#REF!</v>
      </c>
      <c r="G109" s="619" t="e">
        <f t="shared" si="133"/>
        <v>#REF!</v>
      </c>
      <c r="H109" s="807" t="e">
        <f t="shared" si="133"/>
        <v>#REF!</v>
      </c>
      <c r="I109" s="619" t="e">
        <f t="shared" si="133"/>
        <v>#REF!</v>
      </c>
      <c r="J109" s="807" t="e">
        <f t="shared" si="133"/>
        <v>#REF!</v>
      </c>
      <c r="K109" s="619" t="e">
        <f t="shared" si="133"/>
        <v>#REF!</v>
      </c>
      <c r="L109" s="807" t="e">
        <f t="shared" si="133"/>
        <v>#REF!</v>
      </c>
      <c r="M109" s="619" t="e">
        <f t="shared" si="133"/>
        <v>#VALUE!</v>
      </c>
      <c r="N109" s="807" t="e">
        <f t="shared" si="133"/>
        <v>#VALUE!</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895" t="s">
        <v>1</v>
      </c>
      <c r="B110" s="1915" t="s">
        <v>75</v>
      </c>
      <c r="C110" s="18" t="s">
        <v>32</v>
      </c>
      <c r="D110" s="22"/>
      <c r="E110" s="619" t="e">
        <f>$B$5*E5+$B$12*E12+$B$31*E31+$B$34*E34</f>
        <v>#REF!</v>
      </c>
      <c r="F110" s="807" t="e">
        <f t="shared" ref="F110:BK111" si="137">$B$5*F5+$B$12*F12+$B$31*F31+$B$34*F34</f>
        <v>#REF!</v>
      </c>
      <c r="G110" s="619" t="e">
        <f t="shared" si="137"/>
        <v>#REF!</v>
      </c>
      <c r="H110" s="807" t="e">
        <f t="shared" si="137"/>
        <v>#REF!</v>
      </c>
      <c r="I110" s="619" t="e">
        <f t="shared" si="137"/>
        <v>#REF!</v>
      </c>
      <c r="J110" s="807" t="e">
        <f t="shared" si="137"/>
        <v>#REF!</v>
      </c>
      <c r="K110" s="619" t="e">
        <f t="shared" si="137"/>
        <v>#REF!</v>
      </c>
      <c r="L110" s="807" t="e">
        <f t="shared" si="137"/>
        <v>#REF!</v>
      </c>
      <c r="M110" s="619" t="e">
        <f t="shared" si="137"/>
        <v>#REF!</v>
      </c>
      <c r="N110" s="807" t="e">
        <f t="shared" si="137"/>
        <v>#REF!</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t="e">
        <f t="shared" si="139"/>
        <v>#REF!</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895"/>
      <c r="B111" s="1898"/>
      <c r="C111" s="18" t="s">
        <v>33</v>
      </c>
      <c r="D111" s="22"/>
      <c r="E111" s="230">
        <f t="shared" ref="E111:T112" si="142">$B$5*E6+$B$12*E13+$B$31*E32+$B$34*E35</f>
        <v>1.75</v>
      </c>
      <c r="F111" s="474" t="e">
        <f t="shared" si="142"/>
        <v>#REF!</v>
      </c>
      <c r="G111" s="230" t="e">
        <f t="shared" si="142"/>
        <v>#REF!</v>
      </c>
      <c r="H111" s="474" t="e">
        <f t="shared" si="142"/>
        <v>#REF!</v>
      </c>
      <c r="I111" s="230" t="e">
        <f t="shared" si="142"/>
        <v>#REF!</v>
      </c>
      <c r="J111" s="474" t="e">
        <f t="shared" si="142"/>
        <v>#REF!</v>
      </c>
      <c r="K111" s="230" t="e">
        <f t="shared" si="142"/>
        <v>#REF!</v>
      </c>
      <c r="L111" s="474" t="e">
        <f t="shared" si="142"/>
        <v>#REF!</v>
      </c>
      <c r="M111" s="230" t="e">
        <f t="shared" si="142"/>
        <v>#VALUE!</v>
      </c>
      <c r="N111" s="474" t="e">
        <f t="shared" si="142"/>
        <v>#VALUE!</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t="e">
        <f t="shared" si="139"/>
        <v>#VALUE!</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895"/>
      <c r="B112" s="1914"/>
      <c r="C112" s="18" t="s">
        <v>34</v>
      </c>
      <c r="D112" s="22"/>
      <c r="E112" s="467">
        <f t="shared" si="142"/>
        <v>2.25</v>
      </c>
      <c r="F112" s="855" t="e">
        <f t="shared" ref="F112:BK112" si="145">$B$5*F7+$B$12*F14+$B$31*F33+$B$34*F36</f>
        <v>#REF!</v>
      </c>
      <c r="G112" s="467" t="e">
        <f t="shared" si="145"/>
        <v>#REF!</v>
      </c>
      <c r="H112" s="855" t="e">
        <f t="shared" si="145"/>
        <v>#REF!</v>
      </c>
      <c r="I112" s="467" t="e">
        <f t="shared" si="145"/>
        <v>#REF!</v>
      </c>
      <c r="J112" s="855" t="e">
        <f t="shared" si="145"/>
        <v>#REF!</v>
      </c>
      <c r="K112" s="467" t="e">
        <f t="shared" si="145"/>
        <v>#REF!</v>
      </c>
      <c r="L112" s="855" t="e">
        <f t="shared" si="145"/>
        <v>#REF!</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895" t="s">
        <v>11</v>
      </c>
      <c r="B113" s="1915" t="s">
        <v>75</v>
      </c>
      <c r="C113" s="18" t="s">
        <v>32</v>
      </c>
      <c r="D113" s="817"/>
      <c r="E113" s="619" t="e">
        <f>$B$5*E5+$B$16*E16+$B$22*E22+$B$25*E25+$B$28*E28+$B$31*E31+$B$34*E34+$B$42*E42+$B$45*E45+$B$63*E63+$B$66*E66+$B$69*E69+$B$72*E72+$B$91*E91+$B$94*E94+$B$60*E60</f>
        <v>#REF!</v>
      </c>
      <c r="F113" s="619" t="e">
        <f t="shared" ref="F113:BK114" si="148">$B$5*F5+$B$16*F16+$B$22*F22+$B$25*F25+$B$28*F28+$B$31*F31+$B$34*F34+$B$42*F42+$B$45*F45+$B$63*F63+$B$66*F66+$B$69*F69+$B$72*F72+$B$91*F91+$B$94*F94+$B$60*F60</f>
        <v>#REF!</v>
      </c>
      <c r="G113" s="619" t="e">
        <f t="shared" si="148"/>
        <v>#REF!</v>
      </c>
      <c r="H113" s="619" t="e">
        <f t="shared" si="148"/>
        <v>#REF!</v>
      </c>
      <c r="I113" s="619" t="e">
        <f t="shared" si="148"/>
        <v>#REF!</v>
      </c>
      <c r="J113" s="619" t="e">
        <f t="shared" si="148"/>
        <v>#REF!</v>
      </c>
      <c r="K113" s="619" t="e">
        <f t="shared" si="148"/>
        <v>#REF!</v>
      </c>
      <c r="L113" s="619" t="e">
        <f t="shared" si="148"/>
        <v>#REF!</v>
      </c>
      <c r="M113" s="619" t="e">
        <f t="shared" si="148"/>
        <v>#REF!</v>
      </c>
      <c r="N113" s="619" t="e">
        <f t="shared" si="148"/>
        <v>#REF!</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t="e">
        <f t="shared" si="150"/>
        <v>#REF!</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895"/>
      <c r="B114" s="1898"/>
      <c r="C114" s="18" t="s">
        <v>33</v>
      </c>
      <c r="D114" s="817"/>
      <c r="E114" s="619">
        <f t="shared" ref="E114:T114" si="153">$B$5*E6+$B$16*E17+$B$22*E23+$B$25*E26+$B$28*E29+$B$31*E32+$B$34*E35+$B$42*E43+$B$45*E46+$B$63*E64+$B$66*E67+$B$69*E70+$B$72*E73+$B$91*E92+$B$94*E95+$B$60*E61</f>
        <v>17</v>
      </c>
      <c r="F114" s="619" t="e">
        <f t="shared" si="153"/>
        <v>#REF!</v>
      </c>
      <c r="G114" s="619" t="e">
        <f t="shared" si="153"/>
        <v>#REF!</v>
      </c>
      <c r="H114" s="619" t="e">
        <f t="shared" si="153"/>
        <v>#REF!</v>
      </c>
      <c r="I114" s="619" t="e">
        <f t="shared" si="153"/>
        <v>#REF!</v>
      </c>
      <c r="J114" s="619" t="e">
        <f t="shared" si="153"/>
        <v>#REF!</v>
      </c>
      <c r="K114" s="619" t="e">
        <f t="shared" si="153"/>
        <v>#REF!</v>
      </c>
      <c r="L114" s="619" t="e">
        <f t="shared" si="153"/>
        <v>#REF!</v>
      </c>
      <c r="M114" s="619" t="e">
        <f t="shared" si="153"/>
        <v>#VALUE!</v>
      </c>
      <c r="N114" s="619" t="e">
        <f t="shared" si="153"/>
        <v>#VALUE!</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t="e">
        <f t="shared" si="150"/>
        <v>#VALUE!</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895"/>
      <c r="B115" s="1914"/>
      <c r="C115" s="18" t="s">
        <v>34</v>
      </c>
      <c r="D115" s="817"/>
      <c r="E115" s="619">
        <f>$B$5*E7+$B$16*E18+$B$22*E24+$B$25*E27+$B$28*E30+$B$31*E33+$B$34*E36+$B$42*E44+$B$45*E47+$B$63*E65+$B$66*E68+$B$69*E71+$B$72*E74+$B$91*E93+$B$94*E96+$B$60*E62</f>
        <v>27.5</v>
      </c>
      <c r="F115" s="619" t="e">
        <f t="shared" ref="F115:BK115" si="156">$B$5*F7+$B$16*F18+$B$22*F24+$B$25*F27+$B$28*F30+$B$31*F33+$B$34*F36+$B$42*F44+$B$45*F47+$B$63*F65+$B$66*F68+$B$69*F71+$B$72*F74+$B$91*F93+$B$94*F96+$B$60*F62</f>
        <v>#REF!</v>
      </c>
      <c r="G115" s="619" t="e">
        <f t="shared" si="156"/>
        <v>#REF!</v>
      </c>
      <c r="H115" s="619" t="e">
        <f t="shared" si="156"/>
        <v>#REF!</v>
      </c>
      <c r="I115" s="619" t="e">
        <f t="shared" si="156"/>
        <v>#REF!</v>
      </c>
      <c r="J115" s="619" t="e">
        <f t="shared" si="156"/>
        <v>#REF!</v>
      </c>
      <c r="K115" s="619" t="e">
        <f t="shared" si="156"/>
        <v>#REF!</v>
      </c>
      <c r="L115" s="619" t="e">
        <f t="shared" si="156"/>
        <v>#REF!</v>
      </c>
      <c r="M115" s="619" t="e">
        <f t="shared" si="156"/>
        <v>#VALUE!</v>
      </c>
      <c r="N115" s="619" t="e">
        <f t="shared" si="156"/>
        <v>#VALUE!</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894" t="s">
        <v>3</v>
      </c>
      <c r="B116" s="1897" t="s">
        <v>75</v>
      </c>
      <c r="C116" s="325" t="s">
        <v>32</v>
      </c>
      <c r="D116" s="324"/>
      <c r="E116" s="230" t="e">
        <f t="shared" ref="E116:F118" si="159">$B$5*E5+$B$16*E16+$B$22*E22+$B$25*E25+$B$28*E28+$B$31*E31+$B$34*E34+$B$42*E42</f>
        <v>#REF!</v>
      </c>
      <c r="F116" s="230" t="e">
        <f t="shared" si="159"/>
        <v>#REF!</v>
      </c>
      <c r="G116" s="230" t="e">
        <f t="shared" ref="G116:BR116" si="160">$B$5*G5+$B$16*G16+$B$22*G22+$B$25*G25+$B$28*G28+$B$31*G31+$B$34*G34+$B$42*G42</f>
        <v>#REF!</v>
      </c>
      <c r="H116" s="230" t="e">
        <f t="shared" si="160"/>
        <v>#REF!</v>
      </c>
      <c r="I116" s="230" t="e">
        <f t="shared" si="160"/>
        <v>#REF!</v>
      </c>
      <c r="J116" s="230" t="e">
        <f t="shared" si="160"/>
        <v>#REF!</v>
      </c>
      <c r="K116" s="230" t="e">
        <f t="shared" si="160"/>
        <v>#REF!</v>
      </c>
      <c r="L116" s="230" t="e">
        <f t="shared" si="160"/>
        <v>#REF!</v>
      </c>
      <c r="M116" s="230" t="e">
        <f t="shared" si="160"/>
        <v>#REF!</v>
      </c>
      <c r="N116" s="230" t="e">
        <f t="shared" si="160"/>
        <v>#REF!</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t="e">
        <f t="shared" ref="BS116:CU116" si="162">$B$5*BS5+$B$16*BS16+$B$22*BS22+$B$25*BS25+$B$28*BS28+$B$31*BS31+$B$34*BS34+$B$42*BS42</f>
        <v>#REF!</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895"/>
      <c r="B117" s="1898"/>
      <c r="C117" s="18" t="s">
        <v>33</v>
      </c>
      <c r="D117" s="817"/>
      <c r="E117" s="230">
        <f t="shared" si="159"/>
        <v>9.75</v>
      </c>
      <c r="F117" s="230" t="e">
        <f t="shared" si="159"/>
        <v>#REF!</v>
      </c>
      <c r="G117" s="230" t="e">
        <f t="shared" ref="G117:BR117" si="163">$B$5*G6+$B$16*G17+$B$22*G23+$B$25*G26+$B$28*G29+$B$31*G32+$B$34*G35+$B$42*G43</f>
        <v>#REF!</v>
      </c>
      <c r="H117" s="230" t="e">
        <f t="shared" si="163"/>
        <v>#REF!</v>
      </c>
      <c r="I117" s="230" t="e">
        <f t="shared" si="163"/>
        <v>#REF!</v>
      </c>
      <c r="J117" s="230" t="e">
        <f t="shared" si="163"/>
        <v>#REF!</v>
      </c>
      <c r="K117" s="230" t="e">
        <f t="shared" si="163"/>
        <v>#REF!</v>
      </c>
      <c r="L117" s="230" t="e">
        <f t="shared" si="163"/>
        <v>#REF!</v>
      </c>
      <c r="M117" s="230" t="e">
        <f t="shared" si="163"/>
        <v>#VALUE!</v>
      </c>
      <c r="N117" s="230" t="e">
        <f t="shared" si="163"/>
        <v>#VALUE!</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t="e">
        <f t="shared" ref="BS117:CU117" si="164">$B$5*BS6+$B$16*BS17+$B$22*BS23+$B$25*BS26+$B$28*BS29+$B$31*BS32+$B$34*BS35+$B$42*BS43</f>
        <v>#VALUE!</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896"/>
      <c r="B118" s="1899"/>
      <c r="C118" s="80" t="s">
        <v>34</v>
      </c>
      <c r="D118" s="818"/>
      <c r="E118" s="778">
        <f t="shared" si="159"/>
        <v>15.25</v>
      </c>
      <c r="F118" s="778" t="e">
        <f t="shared" si="159"/>
        <v>#REF!</v>
      </c>
      <c r="G118" s="778" t="e">
        <f t="shared" ref="G118:BR118" si="165">$B$5*G7+$B$16*G18+$B$22*G24+$B$25*G27+$B$28*G30+$B$31*G33+$B$34*G36+$B$42*G44</f>
        <v>#REF!</v>
      </c>
      <c r="H118" s="778" t="e">
        <f t="shared" si="165"/>
        <v>#REF!</v>
      </c>
      <c r="I118" s="778" t="e">
        <f t="shared" si="165"/>
        <v>#REF!</v>
      </c>
      <c r="J118" s="778" t="e">
        <f t="shared" si="165"/>
        <v>#REF!</v>
      </c>
      <c r="K118" s="778" t="e">
        <f t="shared" si="165"/>
        <v>#REF!</v>
      </c>
      <c r="L118" s="778" t="e">
        <f t="shared" si="165"/>
        <v>#REF!</v>
      </c>
      <c r="M118" s="778" t="e">
        <f t="shared" si="165"/>
        <v>#VALUE!</v>
      </c>
      <c r="N118" s="778" t="e">
        <f t="shared" si="165"/>
        <v>#VALUE!</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B113:B115"/>
    <mergeCell ref="B97:B99"/>
    <mergeCell ref="B100:B102"/>
    <mergeCell ref="B103:B105"/>
    <mergeCell ref="B107:B109"/>
    <mergeCell ref="B110:B112"/>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G67"/>
  <sheetViews>
    <sheetView showFormulas="1" zoomScale="115" zoomScaleNormal="115" workbookViewId="0">
      <pane ySplit="1" topLeftCell="A2" activePane="bottomLeft" state="frozen"/>
      <selection activeCell="B1" sqref="B1"/>
      <selection pane="bottomLeft" activeCell="B28" sqref="A28:XFD28"/>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s>
  <sheetData>
    <row r="1" spans="1:7" ht="15" customHeight="1" thickBot="1" x14ac:dyDescent="0.3">
      <c r="A1" s="465" t="s">
        <v>91</v>
      </c>
      <c r="B1" s="35"/>
      <c r="C1" s="43"/>
      <c r="D1" s="1922" t="s">
        <v>349</v>
      </c>
      <c r="E1" s="1923"/>
      <c r="F1" s="1923"/>
      <c r="G1" s="1924"/>
    </row>
    <row r="2" spans="1:7" ht="15.75" x14ac:dyDescent="0.25">
      <c r="B2" s="41" t="s">
        <v>37</v>
      </c>
      <c r="C2" s="1932" t="s">
        <v>35</v>
      </c>
      <c r="D2" s="439" t="s">
        <v>549</v>
      </c>
      <c r="E2" s="191" t="s">
        <v>1769</v>
      </c>
      <c r="F2" s="191" t="s">
        <v>1708</v>
      </c>
      <c r="G2" s="1925" t="s">
        <v>38</v>
      </c>
    </row>
    <row r="3" spans="1:7" ht="16.5" thickBot="1" x14ac:dyDescent="0.3">
      <c r="A3" s="12" t="s">
        <v>36</v>
      </c>
      <c r="B3" s="42">
        <f>ТрЗ_ОП!F5</f>
        <v>1</v>
      </c>
      <c r="C3" s="1933"/>
      <c r="D3" s="37">
        <f>INDEX(ТрЗ_ОП!$P$11:$P$102,MATCH(D2,ТрЗ_ОП!$O$11:$O$102,0))</f>
        <v>1</v>
      </c>
      <c r="E3" s="37">
        <f>INDEX(ТрЗ_ОП!$P$11:$P$102,MATCH(E2,ТрЗ_ОП!$O$11:$O$102,0))</f>
        <v>1</v>
      </c>
      <c r="F3" s="37">
        <f>INDEX(ТрЗ_ОП!$P$11:$P$102,MATCH(F2,ТрЗ_ОП!$O$11:$O$102,0))</f>
        <v>0</v>
      </c>
      <c r="G3" s="1925"/>
    </row>
    <row r="4" spans="1:7" x14ac:dyDescent="0.25">
      <c r="A4" s="1930" t="s">
        <v>0</v>
      </c>
      <c r="B4" s="19" t="s">
        <v>33</v>
      </c>
      <c r="C4" s="1920" t="s">
        <v>448</v>
      </c>
      <c r="D4" s="813">
        <v>0.5</v>
      </c>
      <c r="E4" s="813">
        <v>0.25</v>
      </c>
      <c r="F4" s="630">
        <f>IF(F$3=1,D4+E4+F4,0)</f>
        <v>0</v>
      </c>
      <c r="G4" s="683">
        <f xml:space="preserve"> SUM(D4:F4)</f>
        <v>0.75</v>
      </c>
    </row>
    <row r="5" spans="1:7" ht="15.75" thickBot="1" x14ac:dyDescent="0.3">
      <c r="A5" s="1936"/>
      <c r="B5" s="13" t="s">
        <v>34</v>
      </c>
      <c r="C5" s="1920"/>
      <c r="D5" s="813">
        <v>1</v>
      </c>
      <c r="E5" s="813">
        <v>0.5</v>
      </c>
      <c r="F5" s="630">
        <f>IF(F$3=1,D5+E5+4,0)</f>
        <v>0</v>
      </c>
      <c r="G5" s="622">
        <f xml:space="preserve"> SUM(D5:F5)</f>
        <v>1.5</v>
      </c>
    </row>
    <row r="6" spans="1:7" x14ac:dyDescent="0.25">
      <c r="A6" s="1927" t="s">
        <v>449</v>
      </c>
      <c r="B6" s="19" t="s">
        <v>33</v>
      </c>
      <c r="C6" s="1920"/>
      <c r="D6" s="828">
        <v>0.5</v>
      </c>
      <c r="E6" s="828">
        <v>0.25</v>
      </c>
      <c r="F6" s="674">
        <f>IF(F$3=1,D6+E6+2,0)</f>
        <v>0</v>
      </c>
      <c r="G6" s="230">
        <f t="shared" ref="G6:G7" si="0" xml:space="preserve"> SUM(D6:F6) + $C6</f>
        <v>0.75</v>
      </c>
    </row>
    <row r="7" spans="1:7" ht="15.75" thickBot="1" x14ac:dyDescent="0.3">
      <c r="A7" s="1927"/>
      <c r="B7" s="13" t="s">
        <v>34</v>
      </c>
      <c r="C7" s="1921"/>
      <c r="D7" s="813">
        <v>1</v>
      </c>
      <c r="E7" s="813">
        <v>0.5</v>
      </c>
      <c r="F7" s="630">
        <f>IF(F$3=1,D7+E7+4,0)</f>
        <v>0</v>
      </c>
      <c r="G7" s="77">
        <f t="shared" si="0"/>
        <v>1.5</v>
      </c>
    </row>
    <row r="8" spans="1:7" ht="14.45" customHeight="1" x14ac:dyDescent="0.25">
      <c r="A8" s="1927" t="s">
        <v>2</v>
      </c>
      <c r="B8" s="19" t="s">
        <v>33</v>
      </c>
      <c r="C8" s="1926" t="s">
        <v>1</v>
      </c>
      <c r="D8" s="813">
        <v>0.5</v>
      </c>
      <c r="E8" s="813">
        <v>0.25</v>
      </c>
      <c r="F8" s="630">
        <f>IF(F$3=1,D8+E8+2,0)</f>
        <v>0</v>
      </c>
      <c r="G8" s="21">
        <f xml:space="preserve"> SUM(D8:F8)</f>
        <v>0.75</v>
      </c>
    </row>
    <row r="9" spans="1:7" ht="15" customHeight="1" thickBot="1" x14ac:dyDescent="0.3">
      <c r="A9" s="1927"/>
      <c r="B9" s="13" t="s">
        <v>34</v>
      </c>
      <c r="C9" s="1921"/>
      <c r="D9" s="813">
        <v>1</v>
      </c>
      <c r="E9" s="813">
        <v>0.5</v>
      </c>
      <c r="F9" s="630">
        <f>IF(F$3=1,D9+E9+4,0)</f>
        <v>0</v>
      </c>
      <c r="G9" s="77">
        <f xml:space="preserve"> SUM(D9:F9) + $C9</f>
        <v>1.5</v>
      </c>
    </row>
    <row r="10" spans="1:7" ht="15" customHeight="1" x14ac:dyDescent="0.25">
      <c r="A10" s="1930" t="s">
        <v>4</v>
      </c>
      <c r="B10" s="1776" t="s">
        <v>33</v>
      </c>
      <c r="C10" s="1920" t="s">
        <v>3</v>
      </c>
      <c r="D10" s="1760" t="s">
        <v>1770</v>
      </c>
      <c r="E10" s="505" t="s">
        <v>1770</v>
      </c>
      <c r="F10" s="1761" t="s">
        <v>1770</v>
      </c>
      <c r="G10" s="21">
        <f xml:space="preserve"> SUM(D10:F10)</f>
        <v>0</v>
      </c>
    </row>
    <row r="11" spans="1:7" ht="15" customHeight="1" thickBot="1" x14ac:dyDescent="0.3">
      <c r="A11" s="1931"/>
      <c r="B11" s="1260" t="s">
        <v>34</v>
      </c>
      <c r="C11" s="1920"/>
      <c r="D11" s="507" t="s">
        <v>1770</v>
      </c>
      <c r="E11" s="491" t="s">
        <v>1770</v>
      </c>
      <c r="F11" s="1762" t="s">
        <v>1770</v>
      </c>
      <c r="G11" s="21">
        <f t="shared" ref="G11:G23" si="1" xml:space="preserve"> SUM(D11:F11) + $C11</f>
        <v>0</v>
      </c>
    </row>
    <row r="12" spans="1:7" x14ac:dyDescent="0.25">
      <c r="A12" s="1928" t="s">
        <v>5</v>
      </c>
      <c r="B12" s="517" t="s">
        <v>33</v>
      </c>
      <c r="C12" s="1920"/>
      <c r="D12" s="1764">
        <f>IF(D$3&gt;1,0.25*D$3,0.5)</f>
        <v>0.5</v>
      </c>
      <c r="E12" s="1765">
        <v>0</v>
      </c>
      <c r="F12" s="1766">
        <v>0</v>
      </c>
      <c r="G12" s="21">
        <f t="shared" si="1"/>
        <v>0.5</v>
      </c>
    </row>
    <row r="13" spans="1:7" ht="15.75" thickBot="1" x14ac:dyDescent="0.3">
      <c r="A13" s="1929"/>
      <c r="B13" s="886" t="s">
        <v>34</v>
      </c>
      <c r="C13" s="1920"/>
      <c r="D13" s="1767">
        <f>IF(D$3&gt;1,0.25*D$3,0.5)</f>
        <v>0.5</v>
      </c>
      <c r="E13" s="1768">
        <v>0</v>
      </c>
      <c r="F13" s="1769">
        <v>0</v>
      </c>
      <c r="G13" s="21">
        <f t="shared" si="1"/>
        <v>0.5</v>
      </c>
    </row>
    <row r="14" spans="1:7" x14ac:dyDescent="0.25">
      <c r="A14" s="1928" t="s">
        <v>6</v>
      </c>
      <c r="B14" s="517" t="s">
        <v>33</v>
      </c>
      <c r="C14" s="1920"/>
      <c r="D14" s="1770">
        <v>2</v>
      </c>
      <c r="E14" s="1771">
        <f>IF(E$3&gt;1,0.5*E$3,1)</f>
        <v>1</v>
      </c>
      <c r="F14" s="1772">
        <f>IF(F$3=1,D14+E14+10,0)</f>
        <v>0</v>
      </c>
      <c r="G14" s="21">
        <f t="shared" si="1"/>
        <v>3</v>
      </c>
    </row>
    <row r="15" spans="1:7" ht="15.75" thickBot="1" x14ac:dyDescent="0.3">
      <c r="A15" s="1929"/>
      <c r="B15" s="886" t="s">
        <v>34</v>
      </c>
      <c r="C15" s="1920"/>
      <c r="D15" s="1773">
        <v>4</v>
      </c>
      <c r="E15" s="1735">
        <f>IF(E$3&gt;1,0.5*E$3,1)</f>
        <v>1</v>
      </c>
      <c r="F15" s="1694">
        <f>IF(F$3=1,D15+E15+16,0)</f>
        <v>0</v>
      </c>
      <c r="G15" s="21">
        <f t="shared" si="1"/>
        <v>5</v>
      </c>
    </row>
    <row r="16" spans="1:7" x14ac:dyDescent="0.25">
      <c r="A16" s="1928" t="s">
        <v>1855</v>
      </c>
      <c r="B16" s="517" t="s">
        <v>33</v>
      </c>
      <c r="C16" s="1920"/>
      <c r="D16" s="1770">
        <v>1</v>
      </c>
      <c r="E16" s="509">
        <v>0</v>
      </c>
      <c r="F16" s="1774">
        <f>IF(F$3=1,D$3+0.5,0)</f>
        <v>0</v>
      </c>
      <c r="G16" s="21">
        <f t="shared" si="1"/>
        <v>1</v>
      </c>
    </row>
    <row r="17" spans="1:7" ht="15.75" thickBot="1" x14ac:dyDescent="0.3">
      <c r="A17" s="1929"/>
      <c r="B17" s="886" t="s">
        <v>34</v>
      </c>
      <c r="C17" s="1920"/>
      <c r="D17" s="1773">
        <v>2</v>
      </c>
      <c r="E17" s="514">
        <v>0</v>
      </c>
      <c r="F17" s="1775">
        <f>IF(F$3=1,D$3+1,0)</f>
        <v>0</v>
      </c>
      <c r="G17" s="21">
        <f t="shared" si="1"/>
        <v>2</v>
      </c>
    </row>
    <row r="18" spans="1:7" x14ac:dyDescent="0.25">
      <c r="A18" s="1928" t="s">
        <v>8</v>
      </c>
      <c r="B18" s="517" t="s">
        <v>33</v>
      </c>
      <c r="C18" s="1920"/>
      <c r="D18" s="1760">
        <v>2</v>
      </c>
      <c r="E18" s="1771">
        <f>IF(E$3&gt;1,0.75*E$3,1.5)</f>
        <v>1.5</v>
      </c>
      <c r="F18" s="1772">
        <f>IF(F$3=1,D18+E18+2,0)</f>
        <v>0</v>
      </c>
      <c r="G18" s="21">
        <f t="shared" si="1"/>
        <v>3.5</v>
      </c>
    </row>
    <row r="19" spans="1:7" ht="15.75" thickBot="1" x14ac:dyDescent="0.3">
      <c r="A19" s="1929"/>
      <c r="B19" s="886" t="s">
        <v>34</v>
      </c>
      <c r="C19" s="1920"/>
      <c r="D19" s="507">
        <v>4</v>
      </c>
      <c r="E19" s="1735">
        <f>IF(E$3&gt;1,0.75*E$3,1.5)</f>
        <v>1.5</v>
      </c>
      <c r="F19" s="1694">
        <f>IF(F$3=1,D19+E19+4,0)</f>
        <v>0</v>
      </c>
      <c r="G19" s="21">
        <f t="shared" si="1"/>
        <v>5.5</v>
      </c>
    </row>
    <row r="20" spans="1:7" x14ac:dyDescent="0.25">
      <c r="A20" s="1928" t="s">
        <v>9</v>
      </c>
      <c r="B20" s="517" t="s">
        <v>33</v>
      </c>
      <c r="C20" s="1920"/>
      <c r="D20" s="1764">
        <f>IF(D$3&gt;1,D$3*0.25,0.25)</f>
        <v>0.25</v>
      </c>
      <c r="E20" s="496">
        <v>0</v>
      </c>
      <c r="F20" s="1772">
        <f>IF(F$3=1,D20+E20+2,0)</f>
        <v>0</v>
      </c>
      <c r="G20" s="21">
        <f t="shared" si="1"/>
        <v>0.25</v>
      </c>
    </row>
    <row r="21" spans="1:7" ht="15.75" thickBot="1" x14ac:dyDescent="0.3">
      <c r="A21" s="1929"/>
      <c r="B21" s="886" t="s">
        <v>34</v>
      </c>
      <c r="C21" s="1920"/>
      <c r="D21" s="1767">
        <f>IF(D$3&gt;1,D$3*0.25,0.25)</f>
        <v>0.25</v>
      </c>
      <c r="E21" s="492">
        <v>0</v>
      </c>
      <c r="F21" s="1694">
        <f>IF(F$3=1,D21+E21+4,0)</f>
        <v>0</v>
      </c>
      <c r="G21" s="21">
        <f t="shared" si="1"/>
        <v>0.25</v>
      </c>
    </row>
    <row r="22" spans="1:7" x14ac:dyDescent="0.25">
      <c r="A22" s="1936" t="s">
        <v>10</v>
      </c>
      <c r="B22" s="404" t="s">
        <v>33</v>
      </c>
      <c r="C22" s="1920"/>
      <c r="D22" s="483">
        <v>1</v>
      </c>
      <c r="E22" s="1763">
        <f>IF(E$3&gt;1,0.25*E$3,0.5)</f>
        <v>0.5</v>
      </c>
      <c r="F22" s="1759">
        <f>IF(F$3=1,D22+2,0)</f>
        <v>0</v>
      </c>
      <c r="G22" s="21">
        <f t="shared" si="1"/>
        <v>1.5</v>
      </c>
    </row>
    <row r="23" spans="1:7" ht="15.75" thickBot="1" x14ac:dyDescent="0.3">
      <c r="A23" s="1939"/>
      <c r="B23" s="13" t="s">
        <v>34</v>
      </c>
      <c r="C23" s="1921"/>
      <c r="D23" s="491">
        <v>1.5</v>
      </c>
      <c r="E23" s="478">
        <f>IF(E$3&gt;1,0.25*E$3,0.5)</f>
        <v>0.5</v>
      </c>
      <c r="F23" s="493">
        <f>IF(F$3=1,D23+2.5,0)</f>
        <v>0</v>
      </c>
      <c r="G23" s="24">
        <f t="shared" si="1"/>
        <v>2</v>
      </c>
    </row>
    <row r="24" spans="1:7" x14ac:dyDescent="0.25">
      <c r="A24" s="1940" t="s">
        <v>12</v>
      </c>
      <c r="B24" s="19" t="s">
        <v>33</v>
      </c>
      <c r="C24" s="1920" t="s">
        <v>11</v>
      </c>
      <c r="D24" s="485">
        <v>4</v>
      </c>
      <c r="E24" s="478">
        <f>IF(E$3&gt;1,0.5*E$3,1)</f>
        <v>1</v>
      </c>
      <c r="F24" s="630">
        <f>IF(F$3=1,D24+E24+14,0)</f>
        <v>0</v>
      </c>
      <c r="G24" s="21">
        <f xml:space="preserve"> SUM(D24:F24)</f>
        <v>5</v>
      </c>
    </row>
    <row r="25" spans="1:7" ht="15.75" thickBot="1" x14ac:dyDescent="0.3">
      <c r="A25" s="1940"/>
      <c r="B25" s="13" t="s">
        <v>34</v>
      </c>
      <c r="C25" s="1921"/>
      <c r="D25" s="500">
        <v>6</v>
      </c>
      <c r="E25" s="478">
        <f>IF(E$3&gt;1,0.5*E$3,1)</f>
        <v>1</v>
      </c>
      <c r="F25" s="630">
        <f>IF(F$3=1,D25+E25+24,0)</f>
        <v>0</v>
      </c>
      <c r="G25" s="24">
        <f xml:space="preserve"> SUM(D25:F25) + $C25</f>
        <v>7</v>
      </c>
    </row>
    <row r="26" spans="1:7" x14ac:dyDescent="0.25">
      <c r="A26" s="1937" t="s">
        <v>558</v>
      </c>
      <c r="B26" s="517" t="s">
        <v>33</v>
      </c>
      <c r="C26" s="1920" t="s">
        <v>13</v>
      </c>
      <c r="D26" s="1764">
        <f>IF(D$3&gt;1,0.25*D$3,0.5)</f>
        <v>0.5</v>
      </c>
      <c r="E26" s="1765">
        <v>0</v>
      </c>
      <c r="F26" s="1766">
        <v>0</v>
      </c>
      <c r="G26" s="21">
        <f xml:space="preserve"> SUM(D26:F26)</f>
        <v>0.5</v>
      </c>
    </row>
    <row r="27" spans="1:7" ht="15.75" thickBot="1" x14ac:dyDescent="0.3">
      <c r="A27" s="1938"/>
      <c r="B27" s="886" t="s">
        <v>34</v>
      </c>
      <c r="C27" s="1920"/>
      <c r="D27" s="1767">
        <f>IF(D$3&gt;1,0.25*D$3,0.5)</f>
        <v>0.5</v>
      </c>
      <c r="E27" s="1768">
        <v>0</v>
      </c>
      <c r="F27" s="1769">
        <v>0</v>
      </c>
      <c r="G27" s="21">
        <f t="shared" ref="G27:G55" si="2" xml:space="preserve"> SUM(D27:F27) + $C27</f>
        <v>0.5</v>
      </c>
    </row>
    <row r="28" spans="1:7" x14ac:dyDescent="0.25">
      <c r="A28" s="1934" t="s">
        <v>15</v>
      </c>
      <c r="B28" s="517" t="s">
        <v>33</v>
      </c>
      <c r="C28" s="1920"/>
      <c r="D28" s="1777">
        <v>2</v>
      </c>
      <c r="E28" s="1771">
        <f>IF(E$3&gt;1,0.25*E$3,0.5)</f>
        <v>0.5</v>
      </c>
      <c r="F28" s="1774">
        <f>IF(F$3=1,D28+2,0)</f>
        <v>0</v>
      </c>
      <c r="G28" s="21">
        <f t="shared" si="2"/>
        <v>2.5</v>
      </c>
    </row>
    <row r="29" spans="1:7" ht="15.75" thickBot="1" x14ac:dyDescent="0.3">
      <c r="A29" s="1935"/>
      <c r="B29" s="886" t="s">
        <v>34</v>
      </c>
      <c r="C29" s="1920"/>
      <c r="D29" s="1778">
        <v>4</v>
      </c>
      <c r="E29" s="1735">
        <f>IF(E$3&gt;1,0.25*E$3,0.5)</f>
        <v>0.5</v>
      </c>
      <c r="F29" s="1775">
        <f>IF(F$3=1,D29+2,0)</f>
        <v>0</v>
      </c>
      <c r="G29" s="21">
        <f t="shared" si="2"/>
        <v>4.5</v>
      </c>
    </row>
    <row r="30" spans="1:7" x14ac:dyDescent="0.25">
      <c r="A30" s="1934" t="s">
        <v>555</v>
      </c>
      <c r="B30" s="517" t="s">
        <v>33</v>
      </c>
      <c r="C30" s="1920"/>
      <c r="D30" s="1764">
        <f>IF(D$3&gt;1,D$3*0.25,0.5)</f>
        <v>0.5</v>
      </c>
      <c r="E30" s="496">
        <v>0</v>
      </c>
      <c r="F30" s="1772">
        <f t="shared" ref="F30:F35" si="3">IF(F$3=1,D30+E30+0.5,0)</f>
        <v>0</v>
      </c>
      <c r="G30" s="21">
        <f t="shared" si="2"/>
        <v>0.5</v>
      </c>
    </row>
    <row r="31" spans="1:7" ht="15.75" thickBot="1" x14ac:dyDescent="0.3">
      <c r="A31" s="1935"/>
      <c r="B31" s="886" t="s">
        <v>34</v>
      </c>
      <c r="C31" s="1920"/>
      <c r="D31" s="1767">
        <f>IF(D$3&gt;1,D$3*0.25,0.5)</f>
        <v>0.5</v>
      </c>
      <c r="E31" s="492">
        <v>0</v>
      </c>
      <c r="F31" s="1694">
        <f t="shared" si="3"/>
        <v>0</v>
      </c>
      <c r="G31" s="21">
        <f t="shared" si="2"/>
        <v>0.5</v>
      </c>
    </row>
    <row r="32" spans="1:7" x14ac:dyDescent="0.25">
      <c r="A32" s="1934" t="s">
        <v>556</v>
      </c>
      <c r="B32" s="517" t="s">
        <v>33</v>
      </c>
      <c r="C32" s="1920"/>
      <c r="D32" s="1764">
        <f>IF(D$3&gt;1,D$3*0.25,0.5)</f>
        <v>0.5</v>
      </c>
      <c r="E32" s="496">
        <v>0</v>
      </c>
      <c r="F32" s="1772">
        <f t="shared" si="3"/>
        <v>0</v>
      </c>
      <c r="G32" s="21">
        <f t="shared" si="2"/>
        <v>0.5</v>
      </c>
    </row>
    <row r="33" spans="1:7" ht="15.75" thickBot="1" x14ac:dyDescent="0.3">
      <c r="A33" s="1935"/>
      <c r="B33" s="886" t="s">
        <v>34</v>
      </c>
      <c r="C33" s="1920"/>
      <c r="D33" s="1767">
        <f>IF(D$3&gt;1,D$3*0.25,0.5)</f>
        <v>0.5</v>
      </c>
      <c r="E33" s="492">
        <v>0</v>
      </c>
      <c r="F33" s="1694">
        <f t="shared" si="3"/>
        <v>0</v>
      </c>
      <c r="G33" s="21">
        <f t="shared" si="2"/>
        <v>0.5</v>
      </c>
    </row>
    <row r="34" spans="1:7" x14ac:dyDescent="0.25">
      <c r="A34" s="1934" t="s">
        <v>557</v>
      </c>
      <c r="B34" s="517" t="s">
        <v>33</v>
      </c>
      <c r="C34" s="1920"/>
      <c r="D34" s="1764">
        <f>IF(D$3&gt;1,D$3*0.25,0.25)</f>
        <v>0.25</v>
      </c>
      <c r="E34" s="496">
        <v>0</v>
      </c>
      <c r="F34" s="1772">
        <f t="shared" si="3"/>
        <v>0</v>
      </c>
      <c r="G34" s="21">
        <f t="shared" si="2"/>
        <v>0.25</v>
      </c>
    </row>
    <row r="35" spans="1:7" ht="15.75" thickBot="1" x14ac:dyDescent="0.3">
      <c r="A35" s="1935"/>
      <c r="B35" s="886" t="s">
        <v>34</v>
      </c>
      <c r="C35" s="1920"/>
      <c r="D35" s="1767">
        <f>IF(D$3&gt;1,D$3*0.25,0.25)</f>
        <v>0.25</v>
      </c>
      <c r="E35" s="492">
        <v>0</v>
      </c>
      <c r="F35" s="1694">
        <f t="shared" si="3"/>
        <v>0</v>
      </c>
      <c r="G35" s="21">
        <f t="shared" si="2"/>
        <v>0.25</v>
      </c>
    </row>
    <row r="36" spans="1:7" x14ac:dyDescent="0.25">
      <c r="A36" s="1934" t="s">
        <v>19</v>
      </c>
      <c r="B36" s="517" t="s">
        <v>33</v>
      </c>
      <c r="C36" s="1920"/>
      <c r="D36" s="1770">
        <v>2</v>
      </c>
      <c r="E36" s="1771">
        <f>IF(E$3&gt;1,0.5*E$3,1)</f>
        <v>1</v>
      </c>
      <c r="F36" s="1772">
        <f>IF(F$3=1,D36+E36+10,0)</f>
        <v>0</v>
      </c>
      <c r="G36" s="21">
        <f t="shared" si="2"/>
        <v>3</v>
      </c>
    </row>
    <row r="37" spans="1:7" ht="15.75" thickBot="1" x14ac:dyDescent="0.3">
      <c r="A37" s="1935"/>
      <c r="B37" s="886" t="s">
        <v>34</v>
      </c>
      <c r="C37" s="1920"/>
      <c r="D37" s="1773">
        <v>4</v>
      </c>
      <c r="E37" s="1735">
        <f>IF(E$3&gt;1,0.5*E$3,1)</f>
        <v>1</v>
      </c>
      <c r="F37" s="1694">
        <f>IF(F$3=1,D37+E37+24,0)</f>
        <v>0</v>
      </c>
      <c r="G37" s="21">
        <f t="shared" si="2"/>
        <v>5</v>
      </c>
    </row>
    <row r="38" spans="1:7" ht="15.75" customHeight="1" x14ac:dyDescent="0.25">
      <c r="A38" s="1934" t="s">
        <v>20</v>
      </c>
      <c r="B38" s="517" t="s">
        <v>33</v>
      </c>
      <c r="C38" s="1920"/>
      <c r="D38" s="1760">
        <v>1</v>
      </c>
      <c r="E38" s="1771">
        <f>IF(E$3&gt;1,0.25*E$3,0.5)</f>
        <v>0.5</v>
      </c>
      <c r="F38" s="1772">
        <f>IF(F$3=1,D38+E38+4,0)</f>
        <v>0</v>
      </c>
      <c r="G38" s="21">
        <f t="shared" si="2"/>
        <v>1.5</v>
      </c>
    </row>
    <row r="39" spans="1:7" ht="15.75" thickBot="1" x14ac:dyDescent="0.3">
      <c r="A39" s="1935"/>
      <c r="B39" s="886" t="s">
        <v>34</v>
      </c>
      <c r="C39" s="1920"/>
      <c r="D39" s="507">
        <v>2</v>
      </c>
      <c r="E39" s="1735">
        <f>IF(E$3&gt;1,0.25*E$3,0.5)</f>
        <v>0.5</v>
      </c>
      <c r="F39" s="1694">
        <f>IF(F$3=1,D39+E39+6,0)</f>
        <v>0</v>
      </c>
      <c r="G39" s="21">
        <f t="shared" si="2"/>
        <v>2.5</v>
      </c>
    </row>
    <row r="40" spans="1:7" ht="15.6" customHeight="1" x14ac:dyDescent="0.25">
      <c r="A40" s="1934" t="s">
        <v>451</v>
      </c>
      <c r="B40" s="517" t="s">
        <v>33</v>
      </c>
      <c r="C40" s="1920"/>
      <c r="D40" s="1760" t="s">
        <v>1770</v>
      </c>
      <c r="E40" s="505" t="s">
        <v>1770</v>
      </c>
      <c r="F40" s="1761" t="s">
        <v>1770</v>
      </c>
      <c r="G40" s="21">
        <f t="shared" si="2"/>
        <v>0</v>
      </c>
    </row>
    <row r="41" spans="1:7" ht="15.6" customHeight="1" thickBot="1" x14ac:dyDescent="0.3">
      <c r="A41" s="1935"/>
      <c r="B41" s="886" t="s">
        <v>34</v>
      </c>
      <c r="C41" s="1920"/>
      <c r="D41" s="507" t="s">
        <v>1770</v>
      </c>
      <c r="E41" s="491" t="s">
        <v>1770</v>
      </c>
      <c r="F41" s="1762" t="s">
        <v>1770</v>
      </c>
      <c r="G41" s="21">
        <f t="shared" si="2"/>
        <v>0</v>
      </c>
    </row>
    <row r="42" spans="1:7" ht="15.6" customHeight="1" x14ac:dyDescent="0.25">
      <c r="A42" s="1934" t="s">
        <v>452</v>
      </c>
      <c r="B42" s="517" t="s">
        <v>33</v>
      </c>
      <c r="C42" s="1920"/>
      <c r="D42" s="1764">
        <f>IF(D$3&gt;1,D$3*0.25,0.25)</f>
        <v>0.25</v>
      </c>
      <c r="E42" s="1779">
        <v>0</v>
      </c>
      <c r="F42" s="1772">
        <f>IF(F$3=1,D42+E42+0.5,0)</f>
        <v>0</v>
      </c>
      <c r="G42" s="21">
        <f t="shared" si="2"/>
        <v>0.25</v>
      </c>
    </row>
    <row r="43" spans="1:7" ht="15.6" customHeight="1" thickBot="1" x14ac:dyDescent="0.3">
      <c r="A43" s="1935"/>
      <c r="B43" s="886" t="s">
        <v>34</v>
      </c>
      <c r="C43" s="1920"/>
      <c r="D43" s="1767">
        <f>IF(D$3&gt;1,D$3*0.25,0.25)</f>
        <v>0.25</v>
      </c>
      <c r="E43" s="1780">
        <v>0</v>
      </c>
      <c r="F43" s="1694">
        <f>IF(F$3=1,D43+E43+0.5,0)</f>
        <v>0</v>
      </c>
      <c r="G43" s="21">
        <f t="shared" si="2"/>
        <v>0.25</v>
      </c>
    </row>
    <row r="44" spans="1:7" ht="15.6" customHeight="1" x14ac:dyDescent="0.25">
      <c r="A44" s="1942" t="s">
        <v>533</v>
      </c>
      <c r="B44" s="517" t="s">
        <v>33</v>
      </c>
      <c r="C44" s="1920"/>
      <c r="D44" s="1760" t="s">
        <v>1770</v>
      </c>
      <c r="E44" s="505" t="s">
        <v>1770</v>
      </c>
      <c r="F44" s="1761" t="s">
        <v>1770</v>
      </c>
      <c r="G44" s="21">
        <f t="shared" si="2"/>
        <v>0</v>
      </c>
    </row>
    <row r="45" spans="1:7" ht="15.6" customHeight="1" thickBot="1" x14ac:dyDescent="0.3">
      <c r="A45" s="1943"/>
      <c r="B45" s="886" t="s">
        <v>34</v>
      </c>
      <c r="C45" s="1920"/>
      <c r="D45" s="507" t="s">
        <v>1770</v>
      </c>
      <c r="E45" s="491" t="s">
        <v>1770</v>
      </c>
      <c r="F45" s="1762" t="s">
        <v>1770</v>
      </c>
      <c r="G45" s="21">
        <f t="shared" si="2"/>
        <v>0</v>
      </c>
    </row>
    <row r="46" spans="1:7" ht="15.6" customHeight="1" x14ac:dyDescent="0.25">
      <c r="A46" s="1934" t="s">
        <v>534</v>
      </c>
      <c r="B46" s="517" t="s">
        <v>33</v>
      </c>
      <c r="C46" s="1920"/>
      <c r="D46" s="1760" t="s">
        <v>1770</v>
      </c>
      <c r="E46" s="505" t="s">
        <v>1770</v>
      </c>
      <c r="F46" s="1761" t="s">
        <v>1770</v>
      </c>
      <c r="G46" s="21">
        <f t="shared" si="2"/>
        <v>0</v>
      </c>
    </row>
    <row r="47" spans="1:7" ht="15.6" customHeight="1" thickBot="1" x14ac:dyDescent="0.3">
      <c r="A47" s="1935"/>
      <c r="B47" s="886" t="s">
        <v>34</v>
      </c>
      <c r="C47" s="1920"/>
      <c r="D47" s="507" t="s">
        <v>1770</v>
      </c>
      <c r="E47" s="491" t="s">
        <v>1770</v>
      </c>
      <c r="F47" s="1762" t="s">
        <v>1770</v>
      </c>
      <c r="G47" s="21">
        <f t="shared" si="2"/>
        <v>0</v>
      </c>
    </row>
    <row r="48" spans="1:7" x14ac:dyDescent="0.25">
      <c r="A48" s="1934" t="s">
        <v>21</v>
      </c>
      <c r="B48" s="517" t="s">
        <v>33</v>
      </c>
      <c r="C48" s="1920"/>
      <c r="D48" s="541" t="s">
        <v>90</v>
      </c>
      <c r="E48" s="479" t="s">
        <v>90</v>
      </c>
      <c r="F48" s="525" t="s">
        <v>90</v>
      </c>
      <c r="G48" s="21">
        <f t="shared" si="2"/>
        <v>0</v>
      </c>
    </row>
    <row r="49" spans="1:7" ht="15.75" thickBot="1" x14ac:dyDescent="0.3">
      <c r="A49" s="1935"/>
      <c r="B49" s="886" t="s">
        <v>34</v>
      </c>
      <c r="C49" s="1920"/>
      <c r="D49" s="826" t="s">
        <v>90</v>
      </c>
      <c r="E49" s="752" t="s">
        <v>90</v>
      </c>
      <c r="F49" s="197" t="s">
        <v>90</v>
      </c>
      <c r="G49" s="77">
        <f t="shared" si="2"/>
        <v>0</v>
      </c>
    </row>
    <row r="50" spans="1:7" x14ac:dyDescent="0.25">
      <c r="A50" s="1934" t="s">
        <v>181</v>
      </c>
      <c r="B50" s="517" t="s">
        <v>33</v>
      </c>
      <c r="C50" s="1920"/>
      <c r="D50" s="1759">
        <f>IF(D$3&gt;1,D$3*0.25,0.5)</f>
        <v>0.5</v>
      </c>
      <c r="E50" s="918">
        <v>0</v>
      </c>
      <c r="F50" s="674">
        <f t="shared" ref="F50:F55" si="4">IF(F$3=1,D50+E50+0.5,0)</f>
        <v>0</v>
      </c>
      <c r="G50" s="77">
        <f t="shared" si="2"/>
        <v>0.5</v>
      </c>
    </row>
    <row r="51" spans="1:7" ht="15.75" thickBot="1" x14ac:dyDescent="0.3">
      <c r="A51" s="1935"/>
      <c r="B51" s="886" t="s">
        <v>34</v>
      </c>
      <c r="C51" s="1920"/>
      <c r="D51" s="493">
        <f>IF(D$3&gt;1,D$3*0.25,0.5)</f>
        <v>0.5</v>
      </c>
      <c r="E51" s="814">
        <v>0</v>
      </c>
      <c r="F51" s="630">
        <f t="shared" si="4"/>
        <v>0</v>
      </c>
      <c r="G51" s="77">
        <f t="shared" si="2"/>
        <v>0.5</v>
      </c>
    </row>
    <row r="52" spans="1:7" x14ac:dyDescent="0.25">
      <c r="A52" s="1934" t="s">
        <v>182</v>
      </c>
      <c r="B52" s="517" t="s">
        <v>33</v>
      </c>
      <c r="C52" s="1920"/>
      <c r="D52" s="1734">
        <f>IF(D$3&gt;1,D$3*0.25,0.5)</f>
        <v>0.5</v>
      </c>
      <c r="E52" s="489">
        <v>0</v>
      </c>
      <c r="F52" s="229">
        <f t="shared" si="4"/>
        <v>0</v>
      </c>
      <c r="G52" s="77">
        <f t="shared" si="2"/>
        <v>0.5</v>
      </c>
    </row>
    <row r="53" spans="1:7" ht="15.75" thickBot="1" x14ac:dyDescent="0.3">
      <c r="A53" s="1935"/>
      <c r="B53" s="886" t="s">
        <v>34</v>
      </c>
      <c r="C53" s="1920"/>
      <c r="D53" s="1767">
        <f>IF(D$3&gt;1,D$3*0.25,0.5)</f>
        <v>0.5</v>
      </c>
      <c r="E53" s="492">
        <v>0</v>
      </c>
      <c r="F53" s="1694">
        <f t="shared" si="4"/>
        <v>0</v>
      </c>
      <c r="G53" s="77">
        <f t="shared" si="2"/>
        <v>0.5</v>
      </c>
    </row>
    <row r="54" spans="1:7" x14ac:dyDescent="0.25">
      <c r="A54" s="1941" t="s">
        <v>183</v>
      </c>
      <c r="B54" s="404" t="s">
        <v>33</v>
      </c>
      <c r="C54" s="1920"/>
      <c r="D54" s="1764">
        <f>IF(D$3&gt;1,D$3*0.25,0.25)</f>
        <v>0.25</v>
      </c>
      <c r="E54" s="479">
        <v>0</v>
      </c>
      <c r="F54" s="1772">
        <f t="shared" si="4"/>
        <v>0</v>
      </c>
      <c r="G54" s="77">
        <f t="shared" si="2"/>
        <v>0.25</v>
      </c>
    </row>
    <row r="55" spans="1:7" ht="15.75" thickBot="1" x14ac:dyDescent="0.3">
      <c r="A55" s="1941"/>
      <c r="B55" s="13" t="s">
        <v>34</v>
      </c>
      <c r="C55" s="1921"/>
      <c r="D55" s="1767">
        <f>IF(D$3&gt;1,D$3*0.25,0.25)</f>
        <v>0.25</v>
      </c>
      <c r="E55" s="752">
        <v>0</v>
      </c>
      <c r="F55" s="1694">
        <f t="shared" si="4"/>
        <v>0</v>
      </c>
      <c r="G55" s="24">
        <f t="shared" si="2"/>
        <v>0.25</v>
      </c>
    </row>
    <row r="56" spans="1:7" x14ac:dyDescent="0.25">
      <c r="A56" s="1937" t="s">
        <v>23</v>
      </c>
      <c r="B56" s="517" t="s">
        <v>33</v>
      </c>
      <c r="C56" s="1920" t="s">
        <v>22</v>
      </c>
      <c r="D56" s="1760" t="s">
        <v>1770</v>
      </c>
      <c r="E56" s="505" t="s">
        <v>1770</v>
      </c>
      <c r="F56" s="1761" t="s">
        <v>1770</v>
      </c>
      <c r="G56" s="21">
        <f xml:space="preserve"> SUM(D56:F56)</f>
        <v>0</v>
      </c>
    </row>
    <row r="57" spans="1:7" ht="15.75" thickBot="1" x14ac:dyDescent="0.3">
      <c r="A57" s="1938"/>
      <c r="B57" s="886" t="s">
        <v>34</v>
      </c>
      <c r="C57" s="1920"/>
      <c r="D57" s="507" t="s">
        <v>1770</v>
      </c>
      <c r="E57" s="491" t="s">
        <v>1770</v>
      </c>
      <c r="F57" s="1762" t="s">
        <v>1770</v>
      </c>
      <c r="G57" s="21">
        <f t="shared" ref="G57:G59" si="5" xml:space="preserve"> SUM(D57:F57) + $C57</f>
        <v>0</v>
      </c>
    </row>
    <row r="58" spans="1:7" x14ac:dyDescent="0.25">
      <c r="A58" s="1934" t="s">
        <v>24</v>
      </c>
      <c r="B58" s="517" t="s">
        <v>33</v>
      </c>
      <c r="C58" s="1920"/>
      <c r="D58" s="1760">
        <v>1</v>
      </c>
      <c r="E58" s="1771">
        <f>IF(E$3&gt;1,0.25*E$3,0.5)</f>
        <v>0.5</v>
      </c>
      <c r="F58" s="1772">
        <f>IF(F$3=1,D58+E58+6,0)</f>
        <v>0</v>
      </c>
      <c r="G58" s="21">
        <f t="shared" si="5"/>
        <v>1.5</v>
      </c>
    </row>
    <row r="59" spans="1:7" ht="15.75" thickBot="1" x14ac:dyDescent="0.3">
      <c r="A59" s="1935"/>
      <c r="B59" s="886" t="s">
        <v>34</v>
      </c>
      <c r="C59" s="1920"/>
      <c r="D59" s="507">
        <v>2</v>
      </c>
      <c r="E59" s="1735">
        <f>IF(E$3&gt;1,0.25*E$3,0.5)</f>
        <v>0.5</v>
      </c>
      <c r="F59" s="1694">
        <f>IF(F$3=1,D59+E59+8,0)</f>
        <v>0</v>
      </c>
      <c r="G59" s="21">
        <f t="shared" si="5"/>
        <v>2.5</v>
      </c>
    </row>
    <row r="60" spans="1:7" x14ac:dyDescent="0.25">
      <c r="A60" s="1934" t="s">
        <v>25</v>
      </c>
      <c r="B60" s="517" t="s">
        <v>33</v>
      </c>
      <c r="C60" s="1920"/>
      <c r="D60" s="1760">
        <v>1</v>
      </c>
      <c r="E60" s="1771">
        <f>IF(E$3&gt;1,0.25*E$3,0.5)</f>
        <v>0.5</v>
      </c>
      <c r="F60" s="1772">
        <f>IF(F$3=1,D60+E60+6,0)</f>
        <v>0</v>
      </c>
      <c r="G60" s="21">
        <f t="shared" ref="G60:G65" si="6" xml:space="preserve"> SUM(D60:F60) + $C60</f>
        <v>1.5</v>
      </c>
    </row>
    <row r="61" spans="1:7" ht="15.75" thickBot="1" x14ac:dyDescent="0.3">
      <c r="A61" s="1935"/>
      <c r="B61" s="886" t="s">
        <v>34</v>
      </c>
      <c r="C61" s="1920"/>
      <c r="D61" s="507">
        <v>2</v>
      </c>
      <c r="E61" s="1735">
        <f>IF(E$3&gt;1,0.25*E$3,0.5)</f>
        <v>0.5</v>
      </c>
      <c r="F61" s="1694">
        <f>IF(F$3=1,D61+E61+8,0)</f>
        <v>0</v>
      </c>
      <c r="G61" s="21">
        <f t="shared" si="6"/>
        <v>2.5</v>
      </c>
    </row>
    <row r="62" spans="1:7" x14ac:dyDescent="0.25">
      <c r="A62" s="1934" t="s">
        <v>26</v>
      </c>
      <c r="B62" s="517" t="s">
        <v>33</v>
      </c>
      <c r="C62" s="1920"/>
      <c r="D62" s="1760">
        <v>1</v>
      </c>
      <c r="E62" s="509">
        <v>0</v>
      </c>
      <c r="F62" s="1772">
        <f>IF(F$3=1,D62+E62+4,0)</f>
        <v>0</v>
      </c>
      <c r="G62" s="21">
        <f t="shared" si="6"/>
        <v>1</v>
      </c>
    </row>
    <row r="63" spans="1:7" ht="15.75" thickBot="1" x14ac:dyDescent="0.3">
      <c r="A63" s="1935"/>
      <c r="B63" s="886" t="s">
        <v>34</v>
      </c>
      <c r="C63" s="1920"/>
      <c r="D63" s="507">
        <v>2</v>
      </c>
      <c r="E63" s="514">
        <v>0</v>
      </c>
      <c r="F63" s="1694">
        <f>IF(F$3=1,D63+E63+6,0)</f>
        <v>0</v>
      </c>
      <c r="G63" s="21">
        <f t="shared" si="6"/>
        <v>2</v>
      </c>
    </row>
    <row r="64" spans="1:7" x14ac:dyDescent="0.25">
      <c r="A64" s="1934" t="s">
        <v>27</v>
      </c>
      <c r="B64" s="517" t="s">
        <v>33</v>
      </c>
      <c r="C64" s="1920"/>
      <c r="D64" s="1764">
        <f>IF(D$3&gt;1,D$3*0.25+1,1)</f>
        <v>1</v>
      </c>
      <c r="E64" s="505">
        <v>0</v>
      </c>
      <c r="F64" s="1772">
        <f>IF(F$3=1,D64+E64+4,0)</f>
        <v>0</v>
      </c>
      <c r="G64" s="21">
        <f t="shared" si="6"/>
        <v>1</v>
      </c>
    </row>
    <row r="65" spans="1:7" ht="15.75" thickBot="1" x14ac:dyDescent="0.3">
      <c r="A65" s="1935"/>
      <c r="B65" s="886" t="s">
        <v>34</v>
      </c>
      <c r="C65" s="1920"/>
      <c r="D65" s="1767">
        <f>IF(D$3&gt;1,D$3*0.25+2,2)</f>
        <v>2</v>
      </c>
      <c r="E65" s="491">
        <v>0</v>
      </c>
      <c r="F65" s="1694">
        <f>IF(F$3=1,D65+E65+6,0)</f>
        <v>0</v>
      </c>
      <c r="G65" s="21">
        <f t="shared" si="6"/>
        <v>2</v>
      </c>
    </row>
    <row r="66" spans="1:7" x14ac:dyDescent="0.25">
      <c r="A66" s="1940" t="s">
        <v>28</v>
      </c>
      <c r="B66" s="404" t="s">
        <v>33</v>
      </c>
      <c r="C66" s="1920"/>
      <c r="D66" s="483">
        <v>1</v>
      </c>
      <c r="E66" s="483">
        <v>0</v>
      </c>
      <c r="F66" s="674">
        <f>IF(F$3=1,D66+E66+4,0)</f>
        <v>0</v>
      </c>
      <c r="G66" s="21">
        <f xml:space="preserve"> SUM(D66:F66) + $C66</f>
        <v>1</v>
      </c>
    </row>
    <row r="67" spans="1:7" ht="15.75" thickBot="1" x14ac:dyDescent="0.3">
      <c r="A67" s="1938"/>
      <c r="B67" s="20" t="s">
        <v>34</v>
      </c>
      <c r="C67" s="1921"/>
      <c r="D67" s="507">
        <v>2</v>
      </c>
      <c r="E67" s="491">
        <v>0</v>
      </c>
      <c r="F67" s="1694">
        <f>IF(F$3=1,D67+E67+6,0)</f>
        <v>0</v>
      </c>
      <c r="G67" s="24">
        <f xml:space="preserve"> SUM(D67:F67) + $C67</f>
        <v>2</v>
      </c>
    </row>
  </sheetData>
  <autoFilter ref="A2:G67" xr:uid="{00000000-0001-0000-0B00-000000000000}"/>
  <customSheetViews>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41">
    <mergeCell ref="A40:A41"/>
    <mergeCell ref="A42:A43"/>
    <mergeCell ref="A44:A45"/>
    <mergeCell ref="A46:A47"/>
    <mergeCell ref="A62:A63"/>
    <mergeCell ref="A64:A65"/>
    <mergeCell ref="A66:A67"/>
    <mergeCell ref="A48:A49"/>
    <mergeCell ref="A56:A57"/>
    <mergeCell ref="A58:A59"/>
    <mergeCell ref="A60:A61"/>
    <mergeCell ref="A50:A51"/>
    <mergeCell ref="A52:A53"/>
    <mergeCell ref="A54:A55"/>
    <mergeCell ref="A32:A33"/>
    <mergeCell ref="A34:A35"/>
    <mergeCell ref="A36:A37"/>
    <mergeCell ref="A4:A5"/>
    <mergeCell ref="A38:A39"/>
    <mergeCell ref="A8:A9"/>
    <mergeCell ref="A30:A31"/>
    <mergeCell ref="A26:A27"/>
    <mergeCell ref="A28:A29"/>
    <mergeCell ref="A16:A17"/>
    <mergeCell ref="A18:A19"/>
    <mergeCell ref="A20:A21"/>
    <mergeCell ref="A22:A23"/>
    <mergeCell ref="A24:A25"/>
    <mergeCell ref="A6:A7"/>
    <mergeCell ref="A12:A13"/>
    <mergeCell ref="A14:A15"/>
    <mergeCell ref="A10:A11"/>
    <mergeCell ref="C2:C3"/>
    <mergeCell ref="C4:C7"/>
    <mergeCell ref="C10:C23"/>
    <mergeCell ref="C24:C25"/>
    <mergeCell ref="C26:C55"/>
    <mergeCell ref="C56:C67"/>
    <mergeCell ref="D1:G1"/>
    <mergeCell ref="G2:G3"/>
    <mergeCell ref="C8:C9"/>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44" t="s">
        <v>211</v>
      </c>
      <c r="B1" s="1944"/>
      <c r="C1" s="1944"/>
      <c r="D1" s="1944"/>
      <c r="E1" s="1944"/>
      <c r="F1" s="1944"/>
      <c r="G1" s="1944"/>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52" t="s">
        <v>147</v>
      </c>
      <c r="B2" s="1959" t="s">
        <v>272</v>
      </c>
      <c r="C2" s="1954" t="s">
        <v>148</v>
      </c>
      <c r="D2" s="1954" t="s">
        <v>149</v>
      </c>
      <c r="E2" s="1956" t="s">
        <v>150</v>
      </c>
      <c r="F2" s="1957"/>
      <c r="G2" s="1957"/>
      <c r="H2" s="1957"/>
      <c r="I2" s="1957"/>
      <c r="J2" s="1958" t="s">
        <v>151</v>
      </c>
      <c r="K2" s="1958"/>
      <c r="L2" s="1958"/>
      <c r="M2" s="1958"/>
      <c r="N2" s="1958"/>
      <c r="O2" s="1945" t="s">
        <v>152</v>
      </c>
      <c r="P2" s="1946"/>
      <c r="Q2" s="1946"/>
      <c r="R2" s="1946"/>
      <c r="S2" s="1946"/>
      <c r="T2" s="1946"/>
      <c r="U2" s="1946"/>
      <c r="V2" s="1946"/>
      <c r="W2" s="1946"/>
      <c r="X2" s="1946"/>
      <c r="Y2" s="1946"/>
      <c r="Z2" s="1946"/>
      <c r="AA2" s="1946"/>
      <c r="AB2" s="1946"/>
      <c r="AC2" s="1946"/>
      <c r="AD2" s="1946"/>
      <c r="AE2" s="1946"/>
      <c r="AF2" s="1946"/>
      <c r="AG2" s="1947"/>
      <c r="AH2" s="1948" t="s">
        <v>252</v>
      </c>
      <c r="AI2" s="1949"/>
      <c r="AJ2" s="1949"/>
      <c r="AK2" s="1950" t="s">
        <v>253</v>
      </c>
      <c r="AL2" s="1950"/>
      <c r="AM2" s="1951" t="s">
        <v>271</v>
      </c>
      <c r="AN2" s="1951"/>
      <c r="AO2" s="1951"/>
      <c r="AP2" s="1951"/>
      <c r="AQ2" s="1951"/>
      <c r="AR2" s="1951"/>
      <c r="AS2" s="1951"/>
      <c r="AT2" s="1951"/>
      <c r="AU2" s="1951"/>
      <c r="AV2" s="1951"/>
      <c r="AW2" s="1951"/>
      <c r="AX2" s="1951"/>
      <c r="AY2" s="151"/>
    </row>
    <row r="3" spans="1:51" ht="120.75" thickBot="1" x14ac:dyDescent="0.3">
      <c r="A3" s="1953"/>
      <c r="B3" s="1960"/>
      <c r="C3" s="1955"/>
      <c r="D3" s="1955"/>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7" priority="8" operator="greaterThan">
      <formula>0</formula>
    </cfRule>
  </conditionalFormatting>
  <conditionalFormatting sqref="D4:D42 E5:I27 K4:R42 T4:AY42">
    <cfRule type="cellIs" dxfId="6" priority="7" operator="greaterThan">
      <formula>0</formula>
    </cfRule>
  </conditionalFormatting>
  <conditionalFormatting sqref="AZ43:BA43">
    <cfRule type="cellIs" dxfId="5" priority="6" operator="greaterThan">
      <formula>0</formula>
    </cfRule>
  </conditionalFormatting>
  <conditionalFormatting sqref="J5:J42 E4:J4">
    <cfRule type="cellIs" dxfId="4" priority="5" operator="greaterThan">
      <formula>0</formula>
    </cfRule>
  </conditionalFormatting>
  <conditionalFormatting sqref="C28:C42">
    <cfRule type="cellIs" dxfId="3" priority="4" operator="greaterThan">
      <formula>0</formula>
    </cfRule>
  </conditionalFormatting>
  <conditionalFormatting sqref="E38:I42">
    <cfRule type="cellIs" dxfId="2" priority="3" operator="greaterThan">
      <formula>0</formula>
    </cfRule>
  </conditionalFormatting>
  <conditionalFormatting sqref="E28:I37">
    <cfRule type="cellIs" dxfId="1" priority="2" operator="greaterThan">
      <formula>0</formula>
    </cfRule>
  </conditionalFormatting>
  <conditionalFormatting sqref="S4:S42">
    <cfRule type="cellIs" dxfId="0"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64" t="s">
        <v>512</v>
      </c>
      <c r="B1" s="1965"/>
      <c r="C1" s="1966"/>
      <c r="D1" s="281" t="s">
        <v>302</v>
      </c>
      <c r="E1" s="271" t="s">
        <v>301</v>
      </c>
    </row>
    <row r="2" spans="1:5" ht="16.5" thickBot="1" x14ac:dyDescent="0.3">
      <c r="A2" s="1961" t="s">
        <v>448</v>
      </c>
      <c r="B2" s="1962"/>
      <c r="C2" s="1962"/>
      <c r="D2" s="1962"/>
      <c r="E2" s="1963"/>
    </row>
    <row r="3" spans="1:5" ht="45" x14ac:dyDescent="0.25">
      <c r="A3" s="358" t="s">
        <v>0</v>
      </c>
      <c r="B3" s="359" t="s">
        <v>75</v>
      </c>
      <c r="C3" s="360" t="s">
        <v>293</v>
      </c>
      <c r="D3" s="1967" t="s">
        <v>312</v>
      </c>
      <c r="E3" s="276"/>
    </row>
    <row r="4" spans="1:5" ht="30.75" thickBot="1" x14ac:dyDescent="0.3">
      <c r="A4" s="361" t="s">
        <v>449</v>
      </c>
      <c r="B4" s="362" t="s">
        <v>75</v>
      </c>
      <c r="C4" s="363" t="s">
        <v>513</v>
      </c>
      <c r="D4" s="1968"/>
      <c r="E4" s="272"/>
    </row>
    <row r="5" spans="1:5" ht="16.5" thickBot="1" x14ac:dyDescent="0.3">
      <c r="A5" s="1961" t="s">
        <v>1</v>
      </c>
      <c r="B5" s="1962"/>
      <c r="C5" s="1962"/>
      <c r="D5" s="1962"/>
      <c r="E5" s="1963"/>
    </row>
    <row r="6" spans="1:5" ht="30.75" thickBot="1" x14ac:dyDescent="0.3">
      <c r="A6" s="364" t="s">
        <v>2</v>
      </c>
      <c r="B6" s="359" t="s">
        <v>75</v>
      </c>
      <c r="C6" s="365" t="s">
        <v>319</v>
      </c>
      <c r="D6" s="282" t="s">
        <v>306</v>
      </c>
      <c r="E6" s="272"/>
    </row>
    <row r="7" spans="1:5" ht="16.5" thickBot="1" x14ac:dyDescent="0.3">
      <c r="A7" s="1961" t="s">
        <v>3</v>
      </c>
      <c r="B7" s="1962"/>
      <c r="C7" s="1962"/>
      <c r="D7" s="1962"/>
      <c r="E7" s="1963"/>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61" t="s">
        <v>291</v>
      </c>
      <c r="B18" s="1962"/>
      <c r="C18" s="1962"/>
      <c r="D18" s="1962"/>
      <c r="E18" s="1963"/>
    </row>
    <row r="19" spans="1:5" ht="45.75" thickBot="1" x14ac:dyDescent="0.3">
      <c r="A19" s="376" t="s">
        <v>6</v>
      </c>
      <c r="B19" s="359" t="s">
        <v>75</v>
      </c>
      <c r="C19" s="367" t="s">
        <v>320</v>
      </c>
      <c r="D19" s="377" t="s">
        <v>3</v>
      </c>
      <c r="E19" s="273"/>
    </row>
    <row r="20" spans="1:5" ht="16.5" thickBot="1" x14ac:dyDescent="0.3">
      <c r="A20" s="1961" t="s">
        <v>13</v>
      </c>
      <c r="B20" s="1962"/>
      <c r="C20" s="1962"/>
      <c r="D20" s="1962"/>
      <c r="E20" s="1963"/>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61" t="s">
        <v>22</v>
      </c>
      <c r="B36" s="1962"/>
      <c r="C36" s="1962"/>
      <c r="D36" s="1962"/>
      <c r="E36" s="1963"/>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594</v>
      </c>
      <c r="C2" t="s">
        <v>280</v>
      </c>
    </row>
    <row r="3" spans="1:27" x14ac:dyDescent="0.25">
      <c r="A3" s="118" t="s">
        <v>132</v>
      </c>
      <c r="B3" t="s">
        <v>595</v>
      </c>
      <c r="C3" t="s">
        <v>276</v>
      </c>
    </row>
    <row r="4" spans="1:27" x14ac:dyDescent="0.25">
      <c r="A4" s="118" t="s">
        <v>112</v>
      </c>
      <c r="B4" t="s">
        <v>596</v>
      </c>
      <c r="C4" t="s">
        <v>277</v>
      </c>
    </row>
    <row r="5" spans="1:27" x14ac:dyDescent="0.25">
      <c r="A5" s="118" t="s">
        <v>133</v>
      </c>
      <c r="B5" t="s">
        <v>591</v>
      </c>
      <c r="C5" t="s">
        <v>278</v>
      </c>
    </row>
    <row r="6" spans="1:27" x14ac:dyDescent="0.25">
      <c r="A6" s="118" t="s">
        <v>568</v>
      </c>
      <c r="B6" t="s">
        <v>592</v>
      </c>
      <c r="C6" t="s">
        <v>279</v>
      </c>
    </row>
    <row r="7" spans="1:27" ht="30" x14ac:dyDescent="0.25">
      <c r="A7" s="118" t="s">
        <v>134</v>
      </c>
      <c r="B7" t="s">
        <v>593</v>
      </c>
    </row>
    <row r="8" spans="1:27" x14ac:dyDescent="0.25">
      <c r="A8" s="118" t="s">
        <v>135</v>
      </c>
      <c r="B8" t="s">
        <v>137</v>
      </c>
    </row>
    <row r="9" spans="1:27" x14ac:dyDescent="0.25">
      <c r="A9" s="118" t="s">
        <v>138</v>
      </c>
      <c r="B9" t="s">
        <v>597</v>
      </c>
    </row>
    <row r="10" spans="1:27" x14ac:dyDescent="0.25">
      <c r="A10" s="118" t="s">
        <v>113</v>
      </c>
      <c r="B10" t="s">
        <v>136</v>
      </c>
    </row>
    <row r="11" spans="1:27" x14ac:dyDescent="0.25">
      <c r="A11" s="118" t="s">
        <v>140</v>
      </c>
      <c r="B11" t="s">
        <v>1223</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621</v>
      </c>
    </row>
    <row r="16" spans="1:27" x14ac:dyDescent="0.25">
      <c r="B16" t="s">
        <v>622</v>
      </c>
    </row>
    <row r="17" spans="2:2" x14ac:dyDescent="0.25">
      <c r="B17" t="s">
        <v>623</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69" t="s">
        <v>360</v>
      </c>
      <c r="E1" s="1969"/>
      <c r="F1" s="1969"/>
      <c r="G1" s="1969"/>
      <c r="H1" s="1969" t="s">
        <v>361</v>
      </c>
      <c r="I1" s="1969"/>
      <c r="J1" s="1969"/>
      <c r="K1" s="1969"/>
      <c r="L1" s="1969" t="s">
        <v>362</v>
      </c>
      <c r="M1" s="1969"/>
      <c r="N1" s="1969"/>
      <c r="O1" s="1969"/>
    </row>
    <row r="2" spans="1:15" ht="31.5" x14ac:dyDescent="0.25">
      <c r="B2" s="41" t="s">
        <v>37</v>
      </c>
      <c r="C2" s="1932" t="s">
        <v>35</v>
      </c>
      <c r="D2" s="547" t="s">
        <v>94</v>
      </c>
      <c r="E2" s="548" t="s">
        <v>203</v>
      </c>
      <c r="F2" s="438" t="s">
        <v>571</v>
      </c>
      <c r="G2" s="1925" t="s">
        <v>38</v>
      </c>
      <c r="H2" s="547" t="s">
        <v>94</v>
      </c>
      <c r="I2" s="548" t="s">
        <v>203</v>
      </c>
      <c r="J2" s="548" t="s">
        <v>571</v>
      </c>
      <c r="K2" s="1925" t="s">
        <v>38</v>
      </c>
      <c r="L2" s="547" t="s">
        <v>94</v>
      </c>
      <c r="M2" s="548" t="s">
        <v>203</v>
      </c>
      <c r="N2" s="548" t="s">
        <v>571</v>
      </c>
      <c r="O2" s="1925" t="s">
        <v>38</v>
      </c>
    </row>
    <row r="3" spans="1:15" ht="16.5" thickBot="1" x14ac:dyDescent="0.3">
      <c r="A3" s="12" t="s">
        <v>36</v>
      </c>
      <c r="B3" s="42">
        <f xml:space="preserve"> 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row>
    <row r="4" spans="1:15" ht="16.5" thickBot="1" x14ac:dyDescent="0.3">
      <c r="A4" s="326" t="s">
        <v>448</v>
      </c>
      <c r="B4" s="327"/>
      <c r="C4" s="327"/>
      <c r="D4" s="327"/>
      <c r="E4" s="327"/>
      <c r="F4" s="327"/>
      <c r="G4" s="327"/>
      <c r="H4" s="327"/>
      <c r="I4" s="327"/>
      <c r="J4" s="327"/>
      <c r="K4" s="327"/>
      <c r="L4" s="327"/>
      <c r="M4" s="327"/>
      <c r="N4" s="327"/>
      <c r="O4" s="396"/>
    </row>
    <row r="5" spans="1:15" x14ac:dyDescent="0.25">
      <c r="A5" s="1940"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40"/>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75"/>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40"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40"/>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40"/>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40"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40"/>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40"/>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36"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72"/>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72"/>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72"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72"/>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72"/>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72"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72"/>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72"/>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72"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72"/>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72"/>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72"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72"/>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72"/>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72"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72"/>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72"/>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72"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72"/>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39"/>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40"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40"/>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40"/>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40"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40"/>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40"/>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71"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71"/>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71"/>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71"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71"/>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71"/>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71"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71"/>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71"/>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71"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71"/>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71"/>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71"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71"/>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71"/>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71"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71"/>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71"/>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71"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71"/>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71"/>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71"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71"/>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71"/>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74"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74"/>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74"/>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71"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71"/>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71"/>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71"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71"/>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71"/>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71"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71"/>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71"/>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71"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71"/>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71"/>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41"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41"/>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41"/>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912"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912"/>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912"/>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70"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70"/>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70"/>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70"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70"/>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70"/>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70"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70"/>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70"/>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70"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70"/>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70"/>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912"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912"/>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73"/>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39">
    <mergeCell ref="A51:A53"/>
    <mergeCell ref="A16:A18"/>
    <mergeCell ref="D1:G1"/>
    <mergeCell ref="C2:C3"/>
    <mergeCell ref="G2:G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22" t="s">
        <v>357</v>
      </c>
      <c r="E1" s="1923"/>
      <c r="F1" s="1923"/>
      <c r="G1" s="1924"/>
      <c r="H1" s="1922" t="s">
        <v>358</v>
      </c>
      <c r="I1" s="1923"/>
      <c r="J1" s="1923"/>
      <c r="K1" s="1924"/>
      <c r="L1" s="1922" t="s">
        <v>356</v>
      </c>
      <c r="M1" s="1923"/>
      <c r="N1" s="1923"/>
      <c r="O1" s="1924"/>
      <c r="P1" s="1922" t="s">
        <v>283</v>
      </c>
      <c r="Q1" s="1923"/>
      <c r="R1" s="1923"/>
      <c r="S1" s="1924"/>
    </row>
    <row r="2" spans="1:19" ht="31.5" x14ac:dyDescent="0.25">
      <c r="B2" s="41" t="s">
        <v>37</v>
      </c>
      <c r="C2" s="1932" t="s">
        <v>35</v>
      </c>
      <c r="D2" s="547" t="s">
        <v>184</v>
      </c>
      <c r="E2" s="548" t="s">
        <v>185</v>
      </c>
      <c r="F2" s="548" t="s">
        <v>186</v>
      </c>
      <c r="G2" s="1925" t="s">
        <v>38</v>
      </c>
      <c r="H2" s="547" t="s">
        <v>184</v>
      </c>
      <c r="I2" s="548" t="s">
        <v>185</v>
      </c>
      <c r="J2" s="548" t="s">
        <v>186</v>
      </c>
      <c r="K2" s="1925" t="s">
        <v>38</v>
      </c>
      <c r="L2" s="547" t="s">
        <v>184</v>
      </c>
      <c r="M2" s="548" t="s">
        <v>185</v>
      </c>
      <c r="N2" s="548" t="s">
        <v>186</v>
      </c>
      <c r="O2" s="1925" t="s">
        <v>38</v>
      </c>
      <c r="P2" s="547" t="s">
        <v>184</v>
      </c>
      <c r="Q2" s="548" t="s">
        <v>185</v>
      </c>
      <c r="R2" s="548" t="s">
        <v>186</v>
      </c>
      <c r="S2" s="1925" t="s">
        <v>38</v>
      </c>
    </row>
    <row r="3" spans="1:19" ht="16.5" thickBot="1" x14ac:dyDescent="0.3">
      <c r="A3" s="12" t="s">
        <v>36</v>
      </c>
      <c r="B3" s="42">
        <f>ТрЗ_ОП!F5</f>
        <v>1</v>
      </c>
      <c r="C3" s="1933"/>
      <c r="D3" s="40">
        <f>INDEX(ТрЗ_ОП!$P$11:$P$102,MATCH(D2,ТрЗ_ОП!$O$11:$O$102,0))</f>
        <v>0</v>
      </c>
      <c r="E3" s="40">
        <f>INDEX(ТрЗ_ОП!$P$11:$P$102,MATCH(E2,ТрЗ_ОП!$O$11:$O$102,0))</f>
        <v>0</v>
      </c>
      <c r="F3" s="40">
        <f>INDEX(ТрЗ_ОП!$P$11:$P$102,MATCH(F2,ТрЗ_ОП!$O$11:$O$102,0))</f>
        <v>0</v>
      </c>
      <c r="G3" s="1925"/>
      <c r="H3" s="40">
        <f>INDEX(ТрЗ_ОП!$P$11:$P$102,MATCH(H2,ТрЗ_ОП!$O$11:$O$102,0))</f>
        <v>0</v>
      </c>
      <c r="I3" s="40">
        <f>INDEX(ТрЗ_ОП!$P$11:$P$102,MATCH(I2,ТрЗ_ОП!$O$11:$O$102,0))</f>
        <v>0</v>
      </c>
      <c r="J3" s="40">
        <f>INDEX(ТрЗ_ОП!$P$11:$P$102,MATCH(J2,ТрЗ_ОП!$O$11:$O$102,0))</f>
        <v>0</v>
      </c>
      <c r="K3" s="1925"/>
      <c r="L3" s="40">
        <f>INDEX(ТрЗ_ОП!$P$11:$P$102,MATCH(L2,ТрЗ_ОП!$O$11:$O$102,0))</f>
        <v>0</v>
      </c>
      <c r="M3" s="40">
        <f>INDEX(ТрЗ_ОП!$P$11:$P$102,MATCH(M2,ТрЗ_ОП!$O$11:$O$102,0))</f>
        <v>0</v>
      </c>
      <c r="N3" s="40">
        <f>INDEX(ТрЗ_ОП!$P$11:$P$102,MATCH(N2,ТрЗ_ОП!$O$11:$O$102,0))</f>
        <v>0</v>
      </c>
      <c r="O3" s="1925"/>
      <c r="P3" s="40">
        <f>INDEX(ТрЗ_ОП!$P$11:$P$102,MATCH(P2,ТрЗ_ОП!$O$11:$O$102,0))</f>
        <v>0</v>
      </c>
      <c r="Q3" s="40">
        <f>INDEX(ТрЗ_ОП!$P$11:$P$102,MATCH(Q2,ТрЗ_ОП!$O$11:$O$102,0))</f>
        <v>0</v>
      </c>
      <c r="R3" s="40">
        <f>INDEX(ТрЗ_ОП!$P$11:$P$102,MATCH(R2,ТрЗ_ОП!$O$11:$O$102,0))</f>
        <v>0</v>
      </c>
      <c r="S3" s="1976"/>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27"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27"/>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36"/>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40"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40"/>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40"/>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40"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40"/>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40"/>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36"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72"/>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72"/>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72"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72"/>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72"/>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72"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72"/>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72"/>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72"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72"/>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72"/>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72"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72"/>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72"/>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72"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72"/>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72"/>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72"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72"/>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39"/>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40"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40"/>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40"/>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40"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40"/>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40"/>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71"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71"/>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71"/>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71"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71"/>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71"/>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71"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71"/>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71"/>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71"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71"/>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71"/>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71"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71"/>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71"/>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71"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71"/>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71"/>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71"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71"/>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71"/>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71"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71"/>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71"/>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74"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74"/>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74"/>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71"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71"/>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71"/>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70"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70"/>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70"/>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71"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71"/>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71"/>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71"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71"/>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71"/>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41"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41"/>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41"/>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40"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40"/>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40"/>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70"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70"/>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70"/>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70"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70"/>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70"/>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70"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70"/>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70"/>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70"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70"/>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70"/>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912"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912"/>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73"/>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18A094BB-EA3E-4938-9069-21F549B37E23}"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B91A3F61-3B23-46E3-9B55-19B17EB6638A}" state="hidden" topLeftCell="B1">
      <selection activeCell="F4" sqref="F4"/>
      <pageMargins left="0.7" right="0.7" top="0.75" bottom="0.75" header="0.3" footer="0.3"/>
    </customSheetView>
  </customSheetViews>
  <mergeCells count="41">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P1:S1"/>
    <mergeCell ref="S2:S3"/>
    <mergeCell ref="H1:K1"/>
    <mergeCell ref="K2:K3"/>
    <mergeCell ref="L1:O1"/>
    <mergeCell ref="O2:O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79" t="s">
        <v>288</v>
      </c>
      <c r="E1" s="1969"/>
      <c r="F1" s="1969"/>
      <c r="G1" s="1980"/>
      <c r="H1" s="1922" t="s">
        <v>371</v>
      </c>
      <c r="I1" s="1923"/>
      <c r="J1" s="1923"/>
      <c r="K1" s="1924"/>
    </row>
    <row r="2" spans="1:11" ht="15.75" x14ac:dyDescent="0.25">
      <c r="B2" s="41" t="s">
        <v>37</v>
      </c>
      <c r="C2" s="1932" t="s">
        <v>35</v>
      </c>
      <c r="D2" s="684" t="s">
        <v>573</v>
      </c>
      <c r="E2" s="645" t="s">
        <v>92</v>
      </c>
      <c r="F2" s="645" t="s">
        <v>572</v>
      </c>
      <c r="G2" s="1978" t="s">
        <v>38</v>
      </c>
      <c r="H2" s="684" t="s">
        <v>573</v>
      </c>
      <c r="I2" s="645" t="s">
        <v>92</v>
      </c>
      <c r="J2" s="645" t="s">
        <v>572</v>
      </c>
      <c r="K2" s="1977" t="s">
        <v>38</v>
      </c>
    </row>
    <row r="3" spans="1:11" ht="16.5" thickBot="1" x14ac:dyDescent="0.3">
      <c r="A3" s="12" t="s">
        <v>36</v>
      </c>
      <c r="B3" s="42">
        <f>ТрЗ_ОП!F5</f>
        <v>1</v>
      </c>
      <c r="C3" s="1933"/>
      <c r="D3" s="40">
        <f>INDEX(ТрЗ_ОП!$P$11:$P$102,MATCH(D2,ТрЗ_ОП!$O$11:$O$102,0))</f>
        <v>0</v>
      </c>
      <c r="E3" s="40">
        <f>INDEX(ТрЗ_ОП!$P$11:$P$102,MATCH(E2,ТрЗ_ОП!$O$11:$O$102,0))</f>
        <v>0</v>
      </c>
      <c r="F3" s="40">
        <f>INDEX(ТрЗ_ОП!$P$11:$P$102,MATCH(F2,ТрЗ_ОП!$O$11:$O$102,0))</f>
        <v>0</v>
      </c>
      <c r="G3" s="1978"/>
      <c r="H3" s="40">
        <f>INDEX(ТрЗ_ОП!$P$11:$P$102,MATCH(H2,ТрЗ_ОП!$O$11:$O$102,0))</f>
        <v>0</v>
      </c>
      <c r="I3" s="40">
        <f>INDEX(ТрЗ_ОП!$P$11:$P$102,MATCH(I2,ТрЗ_ОП!$O$11:$O$102,0))</f>
        <v>0</v>
      </c>
      <c r="J3" s="40">
        <f>INDEX(ТрЗ_ОП!$P$11:$P$102,MATCH(J2,ТрЗ_ОП!$O$11:$O$102,0))</f>
        <v>0</v>
      </c>
      <c r="K3" s="1978"/>
    </row>
    <row r="4" spans="1:11" ht="16.5" thickBot="1" x14ac:dyDescent="0.3">
      <c r="A4" s="326" t="s">
        <v>448</v>
      </c>
      <c r="B4" s="327"/>
      <c r="C4" s="327"/>
      <c r="D4" s="327"/>
      <c r="E4" s="327"/>
      <c r="F4" s="327"/>
      <c r="G4" s="327"/>
      <c r="H4" s="327"/>
      <c r="I4" s="327"/>
      <c r="J4" s="327"/>
      <c r="K4" s="396"/>
    </row>
    <row r="5" spans="1:11" x14ac:dyDescent="0.25">
      <c r="A5" s="1937"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40"/>
      <c r="B6" s="19" t="s">
        <v>33</v>
      </c>
      <c r="C6" s="198"/>
      <c r="D6" s="647">
        <v>2</v>
      </c>
      <c r="E6" s="615">
        <v>0.5</v>
      </c>
      <c r="F6" s="655">
        <v>0</v>
      </c>
      <c r="G6" s="21">
        <f xml:space="preserve"> SUM(D6:F6) + $C6</f>
        <v>2.5</v>
      </c>
      <c r="H6" s="647">
        <v>2</v>
      </c>
      <c r="I6" s="615">
        <v>0.5</v>
      </c>
      <c r="J6" s="655">
        <v>0</v>
      </c>
      <c r="K6" s="21">
        <f t="shared" si="0"/>
        <v>2.5</v>
      </c>
    </row>
    <row r="7" spans="1:11" x14ac:dyDescent="0.25">
      <c r="A7" s="1975"/>
      <c r="B7" s="19" t="s">
        <v>34</v>
      </c>
      <c r="C7" s="198"/>
      <c r="D7" s="647">
        <v>2.5</v>
      </c>
      <c r="E7" s="615">
        <v>0.5</v>
      </c>
      <c r="F7" s="655">
        <v>0</v>
      </c>
      <c r="G7" s="21">
        <f xml:space="preserve"> SUM(D7:F7) + $C7</f>
        <v>3</v>
      </c>
      <c r="H7" s="647">
        <v>2.5</v>
      </c>
      <c r="I7" s="615">
        <v>0.5</v>
      </c>
      <c r="J7" s="655">
        <v>0</v>
      </c>
      <c r="K7" s="21">
        <f t="shared" si="0"/>
        <v>3</v>
      </c>
    </row>
    <row r="8" spans="1:11" x14ac:dyDescent="0.25">
      <c r="A8" s="1940" t="s">
        <v>449</v>
      </c>
      <c r="B8" s="404" t="s">
        <v>32</v>
      </c>
      <c r="C8" s="420"/>
      <c r="D8" s="681">
        <v>1.5</v>
      </c>
      <c r="E8" s="661">
        <v>0.4</v>
      </c>
      <c r="F8" s="686">
        <v>0</v>
      </c>
      <c r="G8" s="230">
        <f xml:space="preserve"> SUM(D8:F8) + $C8</f>
        <v>1.9</v>
      </c>
      <c r="H8" s="681">
        <v>1.5</v>
      </c>
      <c r="I8" s="661">
        <v>0.4</v>
      </c>
      <c r="J8" s="686">
        <v>0</v>
      </c>
      <c r="K8" s="21">
        <f t="shared" si="0"/>
        <v>1.9</v>
      </c>
    </row>
    <row r="9" spans="1:11" x14ac:dyDescent="0.25">
      <c r="A9" s="1940"/>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40"/>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40"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40"/>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40"/>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36"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72"/>
      <c r="B17" s="18" t="s">
        <v>33</v>
      </c>
      <c r="C17" s="198"/>
      <c r="D17" s="648">
        <f>0.5+0.5*D$3</f>
        <v>0.5</v>
      </c>
      <c r="E17" s="616">
        <v>0</v>
      </c>
      <c r="F17" s="646">
        <v>0</v>
      </c>
      <c r="G17" s="21">
        <f t="shared" si="1"/>
        <v>0.5</v>
      </c>
      <c r="H17" s="640">
        <v>1</v>
      </c>
      <c r="I17" s="616">
        <v>0</v>
      </c>
      <c r="J17" s="646">
        <v>0</v>
      </c>
      <c r="K17" s="21">
        <f t="shared" si="2"/>
        <v>1</v>
      </c>
    </row>
    <row r="18" spans="1:11" x14ac:dyDescent="0.25">
      <c r="A18" s="1972"/>
      <c r="B18" s="18" t="s">
        <v>34</v>
      </c>
      <c r="C18" s="198"/>
      <c r="D18" s="648">
        <f>1+0.5*D$3</f>
        <v>1</v>
      </c>
      <c r="E18" s="616">
        <v>0</v>
      </c>
      <c r="F18" s="646">
        <v>0</v>
      </c>
      <c r="G18" s="21">
        <f t="shared" si="1"/>
        <v>1</v>
      </c>
      <c r="H18" s="640">
        <v>1</v>
      </c>
      <c r="I18" s="616">
        <v>0</v>
      </c>
      <c r="J18" s="646">
        <v>0</v>
      </c>
      <c r="K18" s="21">
        <f t="shared" si="2"/>
        <v>1</v>
      </c>
    </row>
    <row r="19" spans="1:11" x14ac:dyDescent="0.25">
      <c r="A19" s="1972" t="s">
        <v>5</v>
      </c>
      <c r="B19" s="19" t="s">
        <v>32</v>
      </c>
      <c r="C19" s="198"/>
      <c r="D19" s="695">
        <v>1</v>
      </c>
      <c r="E19" s="616">
        <v>0</v>
      </c>
      <c r="F19" s="646">
        <v>0</v>
      </c>
      <c r="G19" s="21">
        <f t="shared" si="1"/>
        <v>1</v>
      </c>
      <c r="H19" s="695">
        <v>1</v>
      </c>
      <c r="I19" s="616">
        <v>0</v>
      </c>
      <c r="J19" s="646">
        <v>0</v>
      </c>
      <c r="K19" s="21">
        <f t="shared" si="2"/>
        <v>1</v>
      </c>
    </row>
    <row r="20" spans="1:11" x14ac:dyDescent="0.25">
      <c r="A20" s="1972"/>
      <c r="B20" s="19" t="s">
        <v>33</v>
      </c>
      <c r="C20" s="198"/>
      <c r="D20" s="695">
        <v>1</v>
      </c>
      <c r="E20" s="616">
        <v>0</v>
      </c>
      <c r="F20" s="646">
        <v>0</v>
      </c>
      <c r="G20" s="21">
        <f t="shared" si="1"/>
        <v>1</v>
      </c>
      <c r="H20" s="695">
        <v>1</v>
      </c>
      <c r="I20" s="616">
        <v>0</v>
      </c>
      <c r="J20" s="646">
        <v>0</v>
      </c>
      <c r="K20" s="21">
        <f t="shared" si="2"/>
        <v>1</v>
      </c>
    </row>
    <row r="21" spans="1:11" x14ac:dyDescent="0.25">
      <c r="A21" s="1972"/>
      <c r="B21" s="19" t="s">
        <v>34</v>
      </c>
      <c r="C21" s="198"/>
      <c r="D21" s="695">
        <v>1</v>
      </c>
      <c r="E21" s="616">
        <v>0</v>
      </c>
      <c r="F21" s="646">
        <v>0</v>
      </c>
      <c r="G21" s="21">
        <f t="shared" si="1"/>
        <v>1</v>
      </c>
      <c r="H21" s="695">
        <v>1</v>
      </c>
      <c r="I21" s="616">
        <v>0</v>
      </c>
      <c r="J21" s="646">
        <v>0</v>
      </c>
      <c r="K21" s="21">
        <f t="shared" si="2"/>
        <v>1</v>
      </c>
    </row>
    <row r="22" spans="1:11" x14ac:dyDescent="0.25">
      <c r="A22" s="1972" t="s">
        <v>6</v>
      </c>
      <c r="B22" s="19" t="s">
        <v>32</v>
      </c>
      <c r="C22" s="198"/>
      <c r="D22" s="647">
        <v>4.5</v>
      </c>
      <c r="E22" s="615">
        <v>0.5</v>
      </c>
      <c r="F22" s="655">
        <v>0.5</v>
      </c>
      <c r="G22" s="21">
        <f t="shared" si="1"/>
        <v>5.5</v>
      </c>
      <c r="H22" s="647">
        <v>4.5</v>
      </c>
      <c r="I22" s="615">
        <v>0.5</v>
      </c>
      <c r="J22" s="655">
        <v>0.5</v>
      </c>
      <c r="K22" s="21">
        <f t="shared" si="2"/>
        <v>5.5</v>
      </c>
    </row>
    <row r="23" spans="1:11" x14ac:dyDescent="0.25">
      <c r="A23" s="1972"/>
      <c r="B23" s="19" t="s">
        <v>33</v>
      </c>
      <c r="C23" s="198"/>
      <c r="D23" s="647">
        <v>5</v>
      </c>
      <c r="E23" s="615">
        <v>0.7</v>
      </c>
      <c r="F23" s="655">
        <v>1</v>
      </c>
      <c r="G23" s="21">
        <f t="shared" si="1"/>
        <v>6.7</v>
      </c>
      <c r="H23" s="647">
        <v>5</v>
      </c>
      <c r="I23" s="615">
        <v>0.7</v>
      </c>
      <c r="J23" s="655">
        <v>1</v>
      </c>
      <c r="K23" s="21">
        <f t="shared" si="2"/>
        <v>6.7</v>
      </c>
    </row>
    <row r="24" spans="1:11" x14ac:dyDescent="0.25">
      <c r="A24" s="1972"/>
      <c r="B24" s="19" t="s">
        <v>34</v>
      </c>
      <c r="C24" s="198"/>
      <c r="D24" s="647">
        <v>5.5</v>
      </c>
      <c r="E24" s="615">
        <v>0.7</v>
      </c>
      <c r="F24" s="655">
        <v>1.5</v>
      </c>
      <c r="G24" s="21">
        <f t="shared" si="1"/>
        <v>7.7</v>
      </c>
      <c r="H24" s="647">
        <v>5.5</v>
      </c>
      <c r="I24" s="615">
        <v>0.7</v>
      </c>
      <c r="J24" s="655">
        <v>1.5</v>
      </c>
      <c r="K24" s="21">
        <f t="shared" si="2"/>
        <v>7.7</v>
      </c>
    </row>
    <row r="25" spans="1:11" x14ac:dyDescent="0.25">
      <c r="A25" s="1972" t="s">
        <v>7</v>
      </c>
      <c r="B25" s="19" t="s">
        <v>32</v>
      </c>
      <c r="C25" s="198"/>
      <c r="D25" s="656">
        <f>3+D$3</f>
        <v>3</v>
      </c>
      <c r="E25" s="616">
        <v>0</v>
      </c>
      <c r="F25" s="646">
        <v>1</v>
      </c>
      <c r="G25" s="21">
        <f t="shared" si="1"/>
        <v>4</v>
      </c>
      <c r="H25" s="656">
        <f>3+H$3</f>
        <v>3</v>
      </c>
      <c r="I25" s="616">
        <v>0</v>
      </c>
      <c r="J25" s="646">
        <v>1</v>
      </c>
      <c r="K25" s="21">
        <f t="shared" si="2"/>
        <v>4</v>
      </c>
    </row>
    <row r="26" spans="1:11" x14ac:dyDescent="0.25">
      <c r="A26" s="1972"/>
      <c r="B26" s="19" t="s">
        <v>33</v>
      </c>
      <c r="C26" s="198"/>
      <c r="D26" s="656">
        <f>4+D$3</f>
        <v>4</v>
      </c>
      <c r="E26" s="616">
        <v>0</v>
      </c>
      <c r="F26" s="646">
        <v>1</v>
      </c>
      <c r="G26" s="21">
        <f t="shared" si="1"/>
        <v>5</v>
      </c>
      <c r="H26" s="656">
        <f>4+H$3</f>
        <v>4</v>
      </c>
      <c r="I26" s="616">
        <v>0</v>
      </c>
      <c r="J26" s="646">
        <v>1</v>
      </c>
      <c r="K26" s="21">
        <f t="shared" si="2"/>
        <v>5</v>
      </c>
    </row>
    <row r="27" spans="1:11" x14ac:dyDescent="0.25">
      <c r="A27" s="1972"/>
      <c r="B27" s="19" t="s">
        <v>34</v>
      </c>
      <c r="C27" s="198"/>
      <c r="D27" s="656">
        <f>5+D$3</f>
        <v>5</v>
      </c>
      <c r="E27" s="616">
        <v>0</v>
      </c>
      <c r="F27" s="646">
        <v>2</v>
      </c>
      <c r="G27" s="21">
        <f t="shared" si="1"/>
        <v>7</v>
      </c>
      <c r="H27" s="656">
        <f>5+H$3</f>
        <v>5</v>
      </c>
      <c r="I27" s="616">
        <v>0</v>
      </c>
      <c r="J27" s="646">
        <v>2</v>
      </c>
      <c r="K27" s="21">
        <f t="shared" si="2"/>
        <v>7</v>
      </c>
    </row>
    <row r="28" spans="1:11" x14ac:dyDescent="0.25">
      <c r="A28" s="1972" t="s">
        <v>8</v>
      </c>
      <c r="B28" s="19" t="s">
        <v>32</v>
      </c>
      <c r="C28" s="198"/>
      <c r="D28" s="640">
        <v>4</v>
      </c>
      <c r="E28" s="616">
        <v>0</v>
      </c>
      <c r="F28" s="646">
        <v>0</v>
      </c>
      <c r="G28" s="21">
        <f t="shared" si="1"/>
        <v>4</v>
      </c>
      <c r="H28" s="640">
        <v>4</v>
      </c>
      <c r="I28" s="616">
        <v>0</v>
      </c>
      <c r="J28" s="646">
        <v>0</v>
      </c>
      <c r="K28" s="21">
        <f t="shared" si="2"/>
        <v>4</v>
      </c>
    </row>
    <row r="29" spans="1:11" x14ac:dyDescent="0.25">
      <c r="A29" s="1972"/>
      <c r="B29" s="19" t="s">
        <v>33</v>
      </c>
      <c r="C29" s="198"/>
      <c r="D29" s="640">
        <v>4</v>
      </c>
      <c r="E29" s="616">
        <v>0</v>
      </c>
      <c r="F29" s="646">
        <v>0</v>
      </c>
      <c r="G29" s="21">
        <f t="shared" si="1"/>
        <v>4</v>
      </c>
      <c r="H29" s="640">
        <v>4</v>
      </c>
      <c r="I29" s="616">
        <v>0</v>
      </c>
      <c r="J29" s="646">
        <v>0</v>
      </c>
      <c r="K29" s="21">
        <f t="shared" si="2"/>
        <v>4</v>
      </c>
    </row>
    <row r="30" spans="1:11" x14ac:dyDescent="0.25">
      <c r="A30" s="1972"/>
      <c r="B30" s="19" t="s">
        <v>34</v>
      </c>
      <c r="C30" s="198"/>
      <c r="D30" s="640">
        <v>4</v>
      </c>
      <c r="E30" s="616">
        <v>0</v>
      </c>
      <c r="F30" s="646">
        <v>0</v>
      </c>
      <c r="G30" s="21">
        <f t="shared" si="1"/>
        <v>4</v>
      </c>
      <c r="H30" s="640">
        <v>4</v>
      </c>
      <c r="I30" s="616">
        <v>0</v>
      </c>
      <c r="J30" s="646">
        <v>0</v>
      </c>
      <c r="K30" s="21">
        <f t="shared" si="2"/>
        <v>4</v>
      </c>
    </row>
    <row r="31" spans="1:11" x14ac:dyDescent="0.25">
      <c r="A31" s="1972"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72"/>
      <c r="B32" s="19" t="s">
        <v>33</v>
      </c>
      <c r="C32" s="198"/>
      <c r="D32" s="648">
        <f>1+0.5*D$3</f>
        <v>1</v>
      </c>
      <c r="E32" s="616">
        <v>0</v>
      </c>
      <c r="F32" s="646">
        <v>0.5</v>
      </c>
      <c r="G32" s="21">
        <f t="shared" si="1"/>
        <v>1.5</v>
      </c>
      <c r="H32" s="648">
        <f>1+0.5*H$3</f>
        <v>1</v>
      </c>
      <c r="I32" s="616">
        <v>0</v>
      </c>
      <c r="J32" s="646">
        <v>0.5</v>
      </c>
      <c r="K32" s="21">
        <f t="shared" si="2"/>
        <v>1.5</v>
      </c>
    </row>
    <row r="33" spans="1:11" x14ac:dyDescent="0.25">
      <c r="A33" s="1972"/>
      <c r="B33" s="19" t="s">
        <v>34</v>
      </c>
      <c r="C33" s="198"/>
      <c r="D33" s="648">
        <f>2+0.5*D$3</f>
        <v>2</v>
      </c>
      <c r="E33" s="616">
        <v>0</v>
      </c>
      <c r="F33" s="646">
        <v>0.5</v>
      </c>
      <c r="G33" s="21">
        <f t="shared" si="1"/>
        <v>2.5</v>
      </c>
      <c r="H33" s="648">
        <f>2+0.5*H$3</f>
        <v>2</v>
      </c>
      <c r="I33" s="616">
        <v>0</v>
      </c>
      <c r="J33" s="646">
        <v>0.5</v>
      </c>
      <c r="K33" s="21">
        <f t="shared" si="2"/>
        <v>2.5</v>
      </c>
    </row>
    <row r="34" spans="1:11" x14ac:dyDescent="0.25">
      <c r="A34" s="1972" t="s">
        <v>10</v>
      </c>
      <c r="B34" s="19" t="s">
        <v>32</v>
      </c>
      <c r="C34" s="198"/>
      <c r="D34" s="640">
        <v>1.3</v>
      </c>
      <c r="E34" s="616">
        <v>0</v>
      </c>
      <c r="F34" s="646">
        <v>0</v>
      </c>
      <c r="G34" s="21">
        <f t="shared" si="1"/>
        <v>1.3</v>
      </c>
      <c r="H34" s="640">
        <v>1.3</v>
      </c>
      <c r="I34" s="616">
        <v>0</v>
      </c>
      <c r="J34" s="646">
        <v>0</v>
      </c>
      <c r="K34" s="21">
        <f t="shared" si="2"/>
        <v>1.3</v>
      </c>
    </row>
    <row r="35" spans="1:11" x14ac:dyDescent="0.25">
      <c r="A35" s="1972"/>
      <c r="B35" s="19" t="s">
        <v>33</v>
      </c>
      <c r="C35" s="198"/>
      <c r="D35" s="640">
        <v>1.5</v>
      </c>
      <c r="E35" s="616">
        <v>0</v>
      </c>
      <c r="F35" s="646">
        <v>0</v>
      </c>
      <c r="G35" s="21">
        <f t="shared" si="1"/>
        <v>1.5</v>
      </c>
      <c r="H35" s="640">
        <v>1.5</v>
      </c>
      <c r="I35" s="616">
        <v>0</v>
      </c>
      <c r="J35" s="646">
        <v>0</v>
      </c>
      <c r="K35" s="21">
        <f t="shared" si="2"/>
        <v>1.5</v>
      </c>
    </row>
    <row r="36" spans="1:11" ht="15.75" thickBot="1" x14ac:dyDescent="0.3">
      <c r="A36" s="1939"/>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40"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40"/>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40"/>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40"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40"/>
      <c r="B43" s="19" t="s">
        <v>33</v>
      </c>
      <c r="C43" s="198"/>
      <c r="D43" s="648">
        <f>0.5+0.5*D$3</f>
        <v>0.5</v>
      </c>
      <c r="E43" s="616">
        <v>0</v>
      </c>
      <c r="F43" s="646">
        <v>0</v>
      </c>
      <c r="G43" s="21">
        <f t="shared" si="1"/>
        <v>0.5</v>
      </c>
      <c r="H43" s="648">
        <f>0.5+0.5*H$3</f>
        <v>0.5</v>
      </c>
      <c r="I43" s="616">
        <v>0</v>
      </c>
      <c r="J43" s="646">
        <v>0</v>
      </c>
      <c r="K43" s="21">
        <f t="shared" si="3"/>
        <v>0.5</v>
      </c>
    </row>
    <row r="44" spans="1:11" x14ac:dyDescent="0.25">
      <c r="A44" s="1940"/>
      <c r="B44" s="19" t="s">
        <v>34</v>
      </c>
      <c r="C44" s="198"/>
      <c r="D44" s="648">
        <f>1+0.5*D$3</f>
        <v>1</v>
      </c>
      <c r="E44" s="616">
        <v>0</v>
      </c>
      <c r="F44" s="646">
        <v>0</v>
      </c>
      <c r="G44" s="21">
        <f t="shared" si="1"/>
        <v>1</v>
      </c>
      <c r="H44" s="648">
        <f>1+0.5*H$3</f>
        <v>1</v>
      </c>
      <c r="I44" s="616">
        <v>0</v>
      </c>
      <c r="J44" s="646">
        <v>0</v>
      </c>
      <c r="K44" s="21">
        <f t="shared" si="3"/>
        <v>1</v>
      </c>
    </row>
    <row r="45" spans="1:11" x14ac:dyDescent="0.25">
      <c r="A45" s="1971"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71"/>
      <c r="B46" s="19" t="s">
        <v>33</v>
      </c>
      <c r="C46" s="198"/>
      <c r="D46" s="640">
        <v>2.5</v>
      </c>
      <c r="E46" s="616">
        <v>0</v>
      </c>
      <c r="F46" s="646">
        <v>0</v>
      </c>
      <c r="G46" s="21">
        <f t="shared" si="1"/>
        <v>2.5</v>
      </c>
      <c r="H46" s="640">
        <v>2.5</v>
      </c>
      <c r="I46" s="616">
        <v>0</v>
      </c>
      <c r="J46" s="646">
        <v>0</v>
      </c>
      <c r="K46" s="21">
        <f t="shared" si="3"/>
        <v>2.5</v>
      </c>
    </row>
    <row r="47" spans="1:11" x14ac:dyDescent="0.25">
      <c r="A47" s="1971"/>
      <c r="B47" s="19" t="s">
        <v>34</v>
      </c>
      <c r="C47" s="198"/>
      <c r="D47" s="640">
        <v>2.5</v>
      </c>
      <c r="E47" s="616">
        <v>0</v>
      </c>
      <c r="F47" s="646">
        <v>0</v>
      </c>
      <c r="G47" s="21">
        <f t="shared" si="1"/>
        <v>2.5</v>
      </c>
      <c r="H47" s="640">
        <v>2.5</v>
      </c>
      <c r="I47" s="616">
        <v>0</v>
      </c>
      <c r="J47" s="646">
        <v>0</v>
      </c>
      <c r="K47" s="21">
        <f t="shared" si="3"/>
        <v>2.5</v>
      </c>
    </row>
    <row r="48" spans="1:11" x14ac:dyDescent="0.25">
      <c r="A48" s="1971"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71"/>
      <c r="B49" s="19" t="s">
        <v>33</v>
      </c>
      <c r="C49" s="198"/>
      <c r="D49" s="656">
        <f>IF(D$3=0,0,1)</f>
        <v>0</v>
      </c>
      <c r="E49" s="616">
        <v>0</v>
      </c>
      <c r="F49" s="646">
        <v>0</v>
      </c>
      <c r="G49" s="21">
        <f t="shared" si="1"/>
        <v>0</v>
      </c>
      <c r="H49" s="656">
        <f>IF(H$3=0,0,1)</f>
        <v>0</v>
      </c>
      <c r="I49" s="616">
        <v>0</v>
      </c>
      <c r="J49" s="646">
        <v>0</v>
      </c>
      <c r="K49" s="21">
        <f t="shared" si="3"/>
        <v>0</v>
      </c>
    </row>
    <row r="50" spans="1:13" x14ac:dyDescent="0.25">
      <c r="A50" s="1971"/>
      <c r="B50" s="19" t="s">
        <v>34</v>
      </c>
      <c r="C50" s="198"/>
      <c r="D50" s="656">
        <f>IF(D$3=0,0,1)</f>
        <v>0</v>
      </c>
      <c r="E50" s="616">
        <v>0</v>
      </c>
      <c r="F50" s="646">
        <v>0</v>
      </c>
      <c r="G50" s="21">
        <f t="shared" si="1"/>
        <v>0</v>
      </c>
      <c r="H50" s="656">
        <f>IF(H$3=0,0,1)</f>
        <v>0</v>
      </c>
      <c r="I50" s="616">
        <v>0</v>
      </c>
      <c r="J50" s="646">
        <v>0</v>
      </c>
      <c r="K50" s="21">
        <f t="shared" si="3"/>
        <v>0</v>
      </c>
    </row>
    <row r="51" spans="1:13" x14ac:dyDescent="0.25">
      <c r="A51" s="1971" t="s">
        <v>17</v>
      </c>
      <c r="B51" s="19" t="s">
        <v>32</v>
      </c>
      <c r="C51" s="198"/>
      <c r="D51" s="640">
        <v>0.8</v>
      </c>
      <c r="E51" s="616">
        <v>0</v>
      </c>
      <c r="F51" s="646">
        <v>0</v>
      </c>
      <c r="G51" s="21">
        <f t="shared" si="1"/>
        <v>0.8</v>
      </c>
      <c r="H51" s="640">
        <v>0.8</v>
      </c>
      <c r="I51" s="616">
        <v>0</v>
      </c>
      <c r="J51" s="646">
        <v>0</v>
      </c>
      <c r="K51" s="21">
        <f t="shared" si="3"/>
        <v>0.8</v>
      </c>
    </row>
    <row r="52" spans="1:13" x14ac:dyDescent="0.25">
      <c r="A52" s="1971"/>
      <c r="B52" s="19" t="s">
        <v>33</v>
      </c>
      <c r="C52" s="198"/>
      <c r="D52" s="640">
        <v>1</v>
      </c>
      <c r="E52" s="616">
        <v>0</v>
      </c>
      <c r="F52" s="646">
        <v>0</v>
      </c>
      <c r="G52" s="21">
        <f t="shared" si="1"/>
        <v>1</v>
      </c>
      <c r="H52" s="640">
        <v>1</v>
      </c>
      <c r="I52" s="616">
        <v>0</v>
      </c>
      <c r="J52" s="646">
        <v>0</v>
      </c>
      <c r="K52" s="21">
        <f t="shared" si="3"/>
        <v>1</v>
      </c>
    </row>
    <row r="53" spans="1:13" x14ac:dyDescent="0.25">
      <c r="A53" s="1971"/>
      <c r="B53" s="19" t="s">
        <v>34</v>
      </c>
      <c r="C53" s="198"/>
      <c r="D53" s="640">
        <v>1</v>
      </c>
      <c r="E53" s="616">
        <v>0</v>
      </c>
      <c r="F53" s="646">
        <v>0</v>
      </c>
      <c r="G53" s="21">
        <f t="shared" si="1"/>
        <v>1</v>
      </c>
      <c r="H53" s="640">
        <v>1</v>
      </c>
      <c r="I53" s="616">
        <v>0</v>
      </c>
      <c r="J53" s="646">
        <v>0</v>
      </c>
      <c r="K53" s="21">
        <f t="shared" si="3"/>
        <v>1</v>
      </c>
    </row>
    <row r="54" spans="1:13" x14ac:dyDescent="0.25">
      <c r="A54" s="1971" t="s">
        <v>18</v>
      </c>
      <c r="B54" s="19" t="s">
        <v>32</v>
      </c>
      <c r="C54" s="198"/>
      <c r="D54" s="648">
        <f>0.6*D$3</f>
        <v>0</v>
      </c>
      <c r="E54" s="616">
        <v>0</v>
      </c>
      <c r="F54" s="646">
        <v>0</v>
      </c>
      <c r="G54" s="21">
        <f t="shared" si="1"/>
        <v>0</v>
      </c>
      <c r="H54" s="648">
        <f>0.6*H$3</f>
        <v>0</v>
      </c>
      <c r="I54" s="616">
        <v>0</v>
      </c>
      <c r="J54" s="646">
        <v>0</v>
      </c>
      <c r="K54" s="21">
        <f t="shared" si="3"/>
        <v>0</v>
      </c>
    </row>
    <row r="55" spans="1:13" x14ac:dyDescent="0.25">
      <c r="A55" s="1971"/>
      <c r="B55" s="19" t="s">
        <v>33</v>
      </c>
      <c r="C55" s="198"/>
      <c r="D55" s="648">
        <f>0.8*D$3</f>
        <v>0</v>
      </c>
      <c r="E55" s="616">
        <v>0</v>
      </c>
      <c r="F55" s="646">
        <v>0</v>
      </c>
      <c r="G55" s="21">
        <f t="shared" si="1"/>
        <v>0</v>
      </c>
      <c r="H55" s="648">
        <f>0.8*H$3</f>
        <v>0</v>
      </c>
      <c r="I55" s="616">
        <v>0</v>
      </c>
      <c r="J55" s="646">
        <v>0</v>
      </c>
      <c r="K55" s="21">
        <f t="shared" si="3"/>
        <v>0</v>
      </c>
    </row>
    <row r="56" spans="1:13" x14ac:dyDescent="0.25">
      <c r="A56" s="1971"/>
      <c r="B56" s="19" t="s">
        <v>34</v>
      </c>
      <c r="C56" s="198"/>
      <c r="D56" s="648">
        <f>0.8*D$3</f>
        <v>0</v>
      </c>
      <c r="E56" s="616">
        <v>0</v>
      </c>
      <c r="F56" s="646">
        <v>0</v>
      </c>
      <c r="G56" s="21">
        <f t="shared" si="1"/>
        <v>0</v>
      </c>
      <c r="H56" s="648">
        <f>0.8*H$3</f>
        <v>0</v>
      </c>
      <c r="I56" s="616">
        <v>0</v>
      </c>
      <c r="J56" s="646">
        <v>0</v>
      </c>
      <c r="K56" s="21">
        <f t="shared" si="3"/>
        <v>0</v>
      </c>
    </row>
    <row r="57" spans="1:13" x14ac:dyDescent="0.25">
      <c r="A57" s="1971" t="s">
        <v>19</v>
      </c>
      <c r="B57" s="19" t="s">
        <v>32</v>
      </c>
      <c r="C57" s="198"/>
      <c r="D57" s="640">
        <v>1</v>
      </c>
      <c r="E57" s="616">
        <v>0</v>
      </c>
      <c r="F57" s="646">
        <v>0</v>
      </c>
      <c r="G57" s="21">
        <f t="shared" si="1"/>
        <v>1</v>
      </c>
      <c r="H57" s="640">
        <v>1</v>
      </c>
      <c r="I57" s="616">
        <v>0</v>
      </c>
      <c r="J57" s="646">
        <v>0</v>
      </c>
      <c r="K57" s="21">
        <f t="shared" si="3"/>
        <v>1</v>
      </c>
    </row>
    <row r="58" spans="1:13" x14ac:dyDescent="0.25">
      <c r="A58" s="1971"/>
      <c r="B58" s="19" t="s">
        <v>33</v>
      </c>
      <c r="C58" s="198"/>
      <c r="D58" s="640">
        <v>2</v>
      </c>
      <c r="E58" s="616">
        <v>0</v>
      </c>
      <c r="F58" s="646">
        <v>0</v>
      </c>
      <c r="G58" s="21">
        <f t="shared" si="1"/>
        <v>2</v>
      </c>
      <c r="H58" s="640">
        <v>2</v>
      </c>
      <c r="I58" s="616">
        <v>0</v>
      </c>
      <c r="J58" s="646">
        <v>0</v>
      </c>
      <c r="K58" s="21">
        <f t="shared" si="3"/>
        <v>2</v>
      </c>
    </row>
    <row r="59" spans="1:13" x14ac:dyDescent="0.25">
      <c r="A59" s="1971"/>
      <c r="B59" s="19" t="s">
        <v>34</v>
      </c>
      <c r="C59" s="198"/>
      <c r="D59" s="640">
        <v>4</v>
      </c>
      <c r="E59" s="616">
        <v>0</v>
      </c>
      <c r="F59" s="646">
        <v>0</v>
      </c>
      <c r="G59" s="21">
        <f t="shared" si="1"/>
        <v>4</v>
      </c>
      <c r="H59" s="640">
        <v>4</v>
      </c>
      <c r="I59" s="616">
        <v>0</v>
      </c>
      <c r="J59" s="646">
        <v>0</v>
      </c>
      <c r="K59" s="21">
        <f t="shared" si="3"/>
        <v>4</v>
      </c>
    </row>
    <row r="60" spans="1:13" x14ac:dyDescent="0.25">
      <c r="A60" s="1971"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71"/>
      <c r="B61" s="19" t="s">
        <v>33</v>
      </c>
      <c r="C61" s="198"/>
      <c r="D61" s="640">
        <v>4</v>
      </c>
      <c r="E61" s="630">
        <f>0.5*E$3</f>
        <v>0</v>
      </c>
      <c r="F61" s="646">
        <v>0</v>
      </c>
      <c r="G61" s="21">
        <f t="shared" si="1"/>
        <v>4</v>
      </c>
      <c r="H61" s="640">
        <v>4</v>
      </c>
      <c r="I61" s="630">
        <f>0.5*I$3</f>
        <v>0</v>
      </c>
      <c r="J61" s="646">
        <v>0</v>
      </c>
      <c r="K61" s="21">
        <f t="shared" si="3"/>
        <v>4</v>
      </c>
    </row>
    <row r="62" spans="1:13" x14ac:dyDescent="0.25">
      <c r="A62" s="1971"/>
      <c r="B62" s="19" t="s">
        <v>34</v>
      </c>
      <c r="C62" s="198"/>
      <c r="D62" s="640">
        <v>5</v>
      </c>
      <c r="E62" s="630">
        <f>0.5*E$3</f>
        <v>0</v>
      </c>
      <c r="F62" s="646">
        <v>0</v>
      </c>
      <c r="G62" s="21">
        <f t="shared" si="1"/>
        <v>5</v>
      </c>
      <c r="H62" s="640">
        <v>5</v>
      </c>
      <c r="I62" s="630">
        <f>0.5*I$3</f>
        <v>0</v>
      </c>
      <c r="J62" s="646">
        <v>0</v>
      </c>
      <c r="K62" s="21">
        <f t="shared" si="3"/>
        <v>5</v>
      </c>
    </row>
    <row r="63" spans="1:13" x14ac:dyDescent="0.25">
      <c r="A63" s="1971" t="s">
        <v>451</v>
      </c>
      <c r="B63" s="19" t="s">
        <v>32</v>
      </c>
      <c r="C63" s="198"/>
      <c r="D63" s="640">
        <v>2</v>
      </c>
      <c r="E63" s="616">
        <v>0</v>
      </c>
      <c r="F63" s="617">
        <v>0</v>
      </c>
      <c r="G63" s="21">
        <f t="shared" si="1"/>
        <v>2</v>
      </c>
      <c r="H63" s="640">
        <v>2</v>
      </c>
      <c r="I63" s="616">
        <v>0</v>
      </c>
      <c r="J63" s="617">
        <v>0</v>
      </c>
      <c r="K63" s="21">
        <f t="shared" si="3"/>
        <v>2</v>
      </c>
    </row>
    <row r="64" spans="1:13" x14ac:dyDescent="0.25">
      <c r="A64" s="1971"/>
      <c r="B64" s="19" t="s">
        <v>33</v>
      </c>
      <c r="C64" s="198"/>
      <c r="D64" s="640">
        <v>2</v>
      </c>
      <c r="E64" s="616">
        <v>0</v>
      </c>
      <c r="F64" s="617">
        <v>0</v>
      </c>
      <c r="G64" s="21">
        <f t="shared" si="1"/>
        <v>2</v>
      </c>
      <c r="H64" s="640">
        <v>2</v>
      </c>
      <c r="I64" s="616">
        <v>0</v>
      </c>
      <c r="J64" s="617">
        <v>0</v>
      </c>
      <c r="K64" s="21">
        <f t="shared" si="3"/>
        <v>2</v>
      </c>
    </row>
    <row r="65" spans="1:11" x14ac:dyDescent="0.25">
      <c r="A65" s="1971"/>
      <c r="B65" s="19" t="s">
        <v>34</v>
      </c>
      <c r="C65" s="198"/>
      <c r="D65" s="640">
        <v>2</v>
      </c>
      <c r="E65" s="616">
        <v>0</v>
      </c>
      <c r="F65" s="617">
        <v>0</v>
      </c>
      <c r="G65" s="21">
        <f t="shared" si="1"/>
        <v>2</v>
      </c>
      <c r="H65" s="640">
        <v>2</v>
      </c>
      <c r="I65" s="616">
        <v>0</v>
      </c>
      <c r="J65" s="617">
        <v>0</v>
      </c>
      <c r="K65" s="21">
        <f t="shared" si="3"/>
        <v>2</v>
      </c>
    </row>
    <row r="66" spans="1:11" x14ac:dyDescent="0.25">
      <c r="A66" s="1971" t="s">
        <v>452</v>
      </c>
      <c r="B66" s="19" t="s">
        <v>32</v>
      </c>
      <c r="C66" s="198"/>
      <c r="D66" s="640">
        <v>1</v>
      </c>
      <c r="E66" s="616">
        <v>0</v>
      </c>
      <c r="F66" s="617">
        <v>0.5</v>
      </c>
      <c r="G66" s="21">
        <f t="shared" si="1"/>
        <v>1.5</v>
      </c>
      <c r="H66" s="640">
        <v>1</v>
      </c>
      <c r="I66" s="616">
        <v>0</v>
      </c>
      <c r="J66" s="617">
        <v>0.5</v>
      </c>
      <c r="K66" s="21">
        <f t="shared" si="3"/>
        <v>1.5</v>
      </c>
    </row>
    <row r="67" spans="1:11" x14ac:dyDescent="0.25">
      <c r="A67" s="1971"/>
      <c r="B67" s="19" t="s">
        <v>33</v>
      </c>
      <c r="C67" s="198"/>
      <c r="D67" s="640">
        <v>1</v>
      </c>
      <c r="E67" s="616">
        <v>0</v>
      </c>
      <c r="F67" s="617">
        <v>0.5</v>
      </c>
      <c r="G67" s="21">
        <f t="shared" si="1"/>
        <v>1.5</v>
      </c>
      <c r="H67" s="640">
        <v>1</v>
      </c>
      <c r="I67" s="616">
        <v>0</v>
      </c>
      <c r="J67" s="617">
        <v>0.5</v>
      </c>
      <c r="K67" s="21">
        <f t="shared" si="3"/>
        <v>1.5</v>
      </c>
    </row>
    <row r="68" spans="1:11" x14ac:dyDescent="0.25">
      <c r="A68" s="1971"/>
      <c r="B68" s="19" t="s">
        <v>34</v>
      </c>
      <c r="C68" s="198"/>
      <c r="D68" s="640">
        <v>1</v>
      </c>
      <c r="E68" s="616">
        <v>0</v>
      </c>
      <c r="F68" s="617">
        <v>0.5</v>
      </c>
      <c r="G68" s="21">
        <f t="shared" si="1"/>
        <v>1.5</v>
      </c>
      <c r="H68" s="640">
        <v>1</v>
      </c>
      <c r="I68" s="616">
        <v>0</v>
      </c>
      <c r="J68" s="617">
        <v>0.5</v>
      </c>
      <c r="K68" s="21">
        <f t="shared" si="3"/>
        <v>1.5</v>
      </c>
    </row>
    <row r="69" spans="1:11" x14ac:dyDescent="0.25">
      <c r="A69" s="1974" t="s">
        <v>533</v>
      </c>
      <c r="B69" s="19" t="s">
        <v>32</v>
      </c>
      <c r="C69" s="198"/>
      <c r="D69" s="640">
        <v>2</v>
      </c>
      <c r="E69" s="616">
        <v>0</v>
      </c>
      <c r="F69" s="617">
        <v>1</v>
      </c>
      <c r="G69" s="21">
        <f t="shared" si="1"/>
        <v>3</v>
      </c>
      <c r="H69" s="640">
        <v>2</v>
      </c>
      <c r="I69" s="616">
        <v>0</v>
      </c>
      <c r="J69" s="617">
        <v>1</v>
      </c>
      <c r="K69" s="21">
        <f t="shared" si="3"/>
        <v>3</v>
      </c>
    </row>
    <row r="70" spans="1:11" x14ac:dyDescent="0.25">
      <c r="A70" s="1974"/>
      <c r="B70" s="19" t="s">
        <v>33</v>
      </c>
      <c r="C70" s="198"/>
      <c r="D70" s="640">
        <v>3</v>
      </c>
      <c r="E70" s="616">
        <v>0</v>
      </c>
      <c r="F70" s="617">
        <v>1</v>
      </c>
      <c r="G70" s="21">
        <f t="shared" si="1"/>
        <v>4</v>
      </c>
      <c r="H70" s="640">
        <v>3</v>
      </c>
      <c r="I70" s="616">
        <v>0</v>
      </c>
      <c r="J70" s="617">
        <v>1</v>
      </c>
      <c r="K70" s="21">
        <f t="shared" si="3"/>
        <v>4</v>
      </c>
    </row>
    <row r="71" spans="1:11" x14ac:dyDescent="0.25">
      <c r="A71" s="1974"/>
      <c r="B71" s="19" t="s">
        <v>34</v>
      </c>
      <c r="C71" s="198"/>
      <c r="D71" s="640">
        <v>4</v>
      </c>
      <c r="E71" s="616">
        <v>0</v>
      </c>
      <c r="F71" s="617">
        <v>2</v>
      </c>
      <c r="G71" s="21">
        <f t="shared" si="1"/>
        <v>6</v>
      </c>
      <c r="H71" s="640">
        <v>4</v>
      </c>
      <c r="I71" s="616">
        <v>0</v>
      </c>
      <c r="J71" s="617">
        <v>2</v>
      </c>
      <c r="K71" s="21">
        <f t="shared" si="3"/>
        <v>6</v>
      </c>
    </row>
    <row r="72" spans="1:11" x14ac:dyDescent="0.25">
      <c r="A72" s="1971" t="s">
        <v>534</v>
      </c>
      <c r="B72" s="19" t="s">
        <v>32</v>
      </c>
      <c r="C72" s="198"/>
      <c r="D72" s="640">
        <v>2</v>
      </c>
      <c r="E72" s="616">
        <v>0</v>
      </c>
      <c r="F72" s="617">
        <v>1</v>
      </c>
      <c r="G72" s="21">
        <f t="shared" si="1"/>
        <v>3</v>
      </c>
      <c r="H72" s="640">
        <v>2</v>
      </c>
      <c r="I72" s="616">
        <v>0</v>
      </c>
      <c r="J72" s="617">
        <v>1</v>
      </c>
      <c r="K72" s="21">
        <f t="shared" si="3"/>
        <v>3</v>
      </c>
    </row>
    <row r="73" spans="1:11" x14ac:dyDescent="0.25">
      <c r="A73" s="1971"/>
      <c r="B73" s="19" t="s">
        <v>33</v>
      </c>
      <c r="C73" s="198"/>
      <c r="D73" s="640">
        <v>3</v>
      </c>
      <c r="E73" s="616">
        <v>0</v>
      </c>
      <c r="F73" s="617">
        <v>1</v>
      </c>
      <c r="G73" s="21">
        <f t="shared" si="1"/>
        <v>4</v>
      </c>
      <c r="H73" s="640">
        <v>3</v>
      </c>
      <c r="I73" s="616">
        <v>0</v>
      </c>
      <c r="J73" s="617">
        <v>1</v>
      </c>
      <c r="K73" s="21">
        <f t="shared" si="3"/>
        <v>4</v>
      </c>
    </row>
    <row r="74" spans="1:11" x14ac:dyDescent="0.25">
      <c r="A74" s="1971"/>
      <c r="B74" s="19" t="s">
        <v>34</v>
      </c>
      <c r="C74" s="198"/>
      <c r="D74" s="640">
        <v>4</v>
      </c>
      <c r="E74" s="616">
        <v>0</v>
      </c>
      <c r="F74" s="617">
        <v>2</v>
      </c>
      <c r="G74" s="21">
        <f t="shared" si="1"/>
        <v>6</v>
      </c>
      <c r="H74" s="640">
        <v>4</v>
      </c>
      <c r="I74" s="616">
        <v>0</v>
      </c>
      <c r="J74" s="617">
        <v>2</v>
      </c>
      <c r="K74" s="21">
        <f t="shared" si="3"/>
        <v>6</v>
      </c>
    </row>
    <row r="75" spans="1:11" x14ac:dyDescent="0.25">
      <c r="A75" s="1971"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71"/>
      <c r="B76" s="19" t="s">
        <v>33</v>
      </c>
      <c r="C76" s="198"/>
      <c r="D76" s="190" t="s">
        <v>90</v>
      </c>
      <c r="E76" s="38" t="s">
        <v>90</v>
      </c>
      <c r="F76" s="16" t="s">
        <v>90</v>
      </c>
      <c r="G76" s="21">
        <f t="shared" si="1"/>
        <v>0</v>
      </c>
      <c r="H76" s="190" t="s">
        <v>90</v>
      </c>
      <c r="I76" s="38" t="s">
        <v>90</v>
      </c>
      <c r="J76" s="16" t="s">
        <v>90</v>
      </c>
      <c r="K76" s="21">
        <f t="shared" si="3"/>
        <v>0</v>
      </c>
    </row>
    <row r="77" spans="1:11" x14ac:dyDescent="0.25">
      <c r="A77" s="1971"/>
      <c r="B77" s="13" t="s">
        <v>34</v>
      </c>
      <c r="C77" s="220"/>
      <c r="D77" s="190" t="s">
        <v>90</v>
      </c>
      <c r="E77" s="38" t="s">
        <v>90</v>
      </c>
      <c r="F77" s="16" t="s">
        <v>90</v>
      </c>
      <c r="G77" s="21">
        <f t="shared" si="1"/>
        <v>0</v>
      </c>
      <c r="H77" s="190" t="s">
        <v>90</v>
      </c>
      <c r="I77" s="38" t="s">
        <v>90</v>
      </c>
      <c r="J77" s="16" t="s">
        <v>90</v>
      </c>
      <c r="K77" s="21">
        <f t="shared" si="3"/>
        <v>0</v>
      </c>
    </row>
    <row r="78" spans="1:11" x14ac:dyDescent="0.25">
      <c r="A78" s="1971"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71"/>
      <c r="B79" s="19" t="s">
        <v>33</v>
      </c>
      <c r="C79" s="198"/>
      <c r="D79" s="656">
        <f>IF(D$3=0,0,2.6)</f>
        <v>0</v>
      </c>
      <c r="E79" s="616">
        <v>0</v>
      </c>
      <c r="F79" s="646">
        <v>0.7</v>
      </c>
      <c r="G79" s="21">
        <f t="shared" si="1"/>
        <v>0.7</v>
      </c>
      <c r="H79" s="656">
        <f>IF(H$3=0,0,2.6)</f>
        <v>0</v>
      </c>
      <c r="I79" s="616">
        <v>0</v>
      </c>
      <c r="J79" s="646">
        <v>0.7</v>
      </c>
      <c r="K79" s="21">
        <f t="shared" si="3"/>
        <v>0.7</v>
      </c>
    </row>
    <row r="80" spans="1:11" x14ac:dyDescent="0.25">
      <c r="A80" s="1971"/>
      <c r="B80" s="19" t="s">
        <v>34</v>
      </c>
      <c r="C80" s="198"/>
      <c r="D80" s="656">
        <f>IF(D$3=0,0,2.6)</f>
        <v>0</v>
      </c>
      <c r="E80" s="616">
        <v>0</v>
      </c>
      <c r="F80" s="646">
        <v>1</v>
      </c>
      <c r="G80" s="21">
        <f t="shared" si="1"/>
        <v>1</v>
      </c>
      <c r="H80" s="656">
        <f>IF(H$3=0,0,2.6)</f>
        <v>0</v>
      </c>
      <c r="I80" s="616">
        <v>0</v>
      </c>
      <c r="J80" s="646">
        <v>1</v>
      </c>
      <c r="K80" s="21">
        <f t="shared" si="3"/>
        <v>1</v>
      </c>
    </row>
    <row r="81" spans="1:11" x14ac:dyDescent="0.25">
      <c r="A81" s="1971"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71"/>
      <c r="B82" s="19" t="s">
        <v>33</v>
      </c>
      <c r="C82" s="198"/>
      <c r="D82" s="656">
        <f>IF(D$3=0,0,2.4)</f>
        <v>0</v>
      </c>
      <c r="E82" s="616">
        <v>0</v>
      </c>
      <c r="F82" s="646">
        <v>0.7</v>
      </c>
      <c r="G82" s="21">
        <f t="shared" si="1"/>
        <v>0.7</v>
      </c>
      <c r="H82" s="656">
        <f>IF(H$3=0,0,2.4)</f>
        <v>0</v>
      </c>
      <c r="I82" s="616">
        <v>0</v>
      </c>
      <c r="J82" s="646">
        <v>0.7</v>
      </c>
      <c r="K82" s="21">
        <f t="shared" si="4"/>
        <v>0.7</v>
      </c>
    </row>
    <row r="83" spans="1:11" x14ac:dyDescent="0.25">
      <c r="A83" s="1971"/>
      <c r="B83" s="19" t="s">
        <v>34</v>
      </c>
      <c r="C83" s="198"/>
      <c r="D83" s="656">
        <f>IF(D$3=0,0,2.4)</f>
        <v>0</v>
      </c>
      <c r="E83" s="616">
        <v>0</v>
      </c>
      <c r="F83" s="646">
        <v>1</v>
      </c>
      <c r="G83" s="21">
        <f t="shared" si="1"/>
        <v>1</v>
      </c>
      <c r="H83" s="656">
        <f>IF(H$3=0,0,2.4)</f>
        <v>0</v>
      </c>
      <c r="I83" s="616">
        <v>0</v>
      </c>
      <c r="J83" s="646">
        <v>1</v>
      </c>
      <c r="K83" s="21">
        <f t="shared" si="4"/>
        <v>1</v>
      </c>
    </row>
    <row r="84" spans="1:11" x14ac:dyDescent="0.25">
      <c r="A84" s="1941"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41"/>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41"/>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912"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912"/>
      <c r="B89" s="19" t="s">
        <v>33</v>
      </c>
      <c r="C89" s="198"/>
      <c r="D89" s="640">
        <v>1</v>
      </c>
      <c r="E89" s="616">
        <v>0</v>
      </c>
      <c r="F89" s="646">
        <v>0</v>
      </c>
      <c r="G89" s="21">
        <f t="shared" si="1"/>
        <v>1</v>
      </c>
      <c r="H89" s="640">
        <v>1</v>
      </c>
      <c r="I89" s="616">
        <v>0</v>
      </c>
      <c r="J89" s="646">
        <v>0</v>
      </c>
      <c r="K89" s="21">
        <f t="shared" si="5"/>
        <v>1</v>
      </c>
    </row>
    <row r="90" spans="1:11" x14ac:dyDescent="0.25">
      <c r="A90" s="1912"/>
      <c r="B90" s="19" t="s">
        <v>34</v>
      </c>
      <c r="C90" s="198"/>
      <c r="D90" s="640">
        <v>1</v>
      </c>
      <c r="E90" s="616">
        <v>0</v>
      </c>
      <c r="F90" s="646">
        <v>0</v>
      </c>
      <c r="G90" s="21">
        <f t="shared" si="1"/>
        <v>1</v>
      </c>
      <c r="H90" s="640">
        <v>1</v>
      </c>
      <c r="I90" s="616">
        <v>0</v>
      </c>
      <c r="J90" s="646">
        <v>0</v>
      </c>
      <c r="K90" s="21">
        <f t="shared" si="5"/>
        <v>1</v>
      </c>
    </row>
    <row r="91" spans="1:11" x14ac:dyDescent="0.25">
      <c r="A91" s="1970" t="s">
        <v>24</v>
      </c>
      <c r="B91" s="19" t="s">
        <v>32</v>
      </c>
      <c r="C91" s="198"/>
      <c r="D91" s="640">
        <v>4</v>
      </c>
      <c r="E91" s="616">
        <v>0</v>
      </c>
      <c r="F91" s="646">
        <v>0.5</v>
      </c>
      <c r="G91" s="21">
        <f t="shared" si="1"/>
        <v>4.5</v>
      </c>
      <c r="H91" s="640">
        <v>4</v>
      </c>
      <c r="I91" s="616">
        <v>0</v>
      </c>
      <c r="J91" s="646">
        <v>0.5</v>
      </c>
      <c r="K91" s="21">
        <f t="shared" si="5"/>
        <v>4.5</v>
      </c>
    </row>
    <row r="92" spans="1:11" x14ac:dyDescent="0.25">
      <c r="A92" s="1970"/>
      <c r="B92" s="19" t="s">
        <v>33</v>
      </c>
      <c r="C92" s="198"/>
      <c r="D92" s="640">
        <v>5</v>
      </c>
      <c r="E92" s="616">
        <v>0</v>
      </c>
      <c r="F92" s="646">
        <v>1</v>
      </c>
      <c r="G92" s="21">
        <f t="shared" si="1"/>
        <v>6</v>
      </c>
      <c r="H92" s="640">
        <v>5</v>
      </c>
      <c r="I92" s="616">
        <v>0</v>
      </c>
      <c r="J92" s="646">
        <v>1</v>
      </c>
      <c r="K92" s="21">
        <f t="shared" si="5"/>
        <v>6</v>
      </c>
    </row>
    <row r="93" spans="1:11" x14ac:dyDescent="0.25">
      <c r="A93" s="1970"/>
      <c r="B93" s="19" t="s">
        <v>34</v>
      </c>
      <c r="C93" s="198"/>
      <c r="D93" s="640">
        <v>5</v>
      </c>
      <c r="E93" s="616">
        <v>0</v>
      </c>
      <c r="F93" s="646">
        <v>1.5</v>
      </c>
      <c r="G93" s="21">
        <f t="shared" si="1"/>
        <v>6.5</v>
      </c>
      <c r="H93" s="640">
        <v>5</v>
      </c>
      <c r="I93" s="616">
        <v>0</v>
      </c>
      <c r="J93" s="646">
        <v>1.5</v>
      </c>
      <c r="K93" s="21">
        <f t="shared" si="5"/>
        <v>6.5</v>
      </c>
    </row>
    <row r="94" spans="1:11" x14ac:dyDescent="0.25">
      <c r="A94" s="1970"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70"/>
      <c r="B95" s="19" t="s">
        <v>33</v>
      </c>
      <c r="C95" s="198"/>
      <c r="D95" s="640">
        <v>2.5</v>
      </c>
      <c r="E95" s="616">
        <v>0</v>
      </c>
      <c r="F95" s="646">
        <v>1</v>
      </c>
      <c r="G95" s="21">
        <f t="shared" si="6"/>
        <v>3.5</v>
      </c>
      <c r="H95" s="640">
        <v>2.5</v>
      </c>
      <c r="I95" s="616">
        <v>0</v>
      </c>
      <c r="J95" s="646">
        <v>1</v>
      </c>
      <c r="K95" s="21">
        <f t="shared" si="7"/>
        <v>3.5</v>
      </c>
    </row>
    <row r="96" spans="1:11" x14ac:dyDescent="0.25">
      <c r="A96" s="1970"/>
      <c r="B96" s="19" t="s">
        <v>34</v>
      </c>
      <c r="C96" s="198"/>
      <c r="D96" s="640">
        <v>2.5</v>
      </c>
      <c r="E96" s="616">
        <v>0</v>
      </c>
      <c r="F96" s="646">
        <v>1.5</v>
      </c>
      <c r="G96" s="21">
        <f t="shared" si="6"/>
        <v>4</v>
      </c>
      <c r="H96" s="640">
        <v>2.5</v>
      </c>
      <c r="I96" s="616">
        <v>0</v>
      </c>
      <c r="J96" s="646">
        <v>1.5</v>
      </c>
      <c r="K96" s="21">
        <f t="shared" si="7"/>
        <v>4</v>
      </c>
    </row>
    <row r="97" spans="1:11" x14ac:dyDescent="0.25">
      <c r="A97" s="1970" t="s">
        <v>26</v>
      </c>
      <c r="B97" s="19" t="s">
        <v>32</v>
      </c>
      <c r="C97" s="198"/>
      <c r="D97" s="640">
        <v>1</v>
      </c>
      <c r="E97" s="616">
        <v>0</v>
      </c>
      <c r="F97" s="646">
        <v>0.5</v>
      </c>
      <c r="G97" s="21">
        <f t="shared" si="6"/>
        <v>1.5</v>
      </c>
      <c r="H97" s="640">
        <v>1</v>
      </c>
      <c r="I97" s="616">
        <v>0</v>
      </c>
      <c r="J97" s="646">
        <v>0.5</v>
      </c>
      <c r="K97" s="21">
        <f t="shared" si="7"/>
        <v>1.5</v>
      </c>
    </row>
    <row r="98" spans="1:11" x14ac:dyDescent="0.25">
      <c r="A98" s="1970"/>
      <c r="B98" s="19" t="s">
        <v>33</v>
      </c>
      <c r="C98" s="198"/>
      <c r="D98" s="640">
        <v>1.5</v>
      </c>
      <c r="E98" s="616">
        <v>0</v>
      </c>
      <c r="F98" s="646">
        <v>0.5</v>
      </c>
      <c r="G98" s="21">
        <f t="shared" si="6"/>
        <v>2</v>
      </c>
      <c r="H98" s="640">
        <v>1.5</v>
      </c>
      <c r="I98" s="616">
        <v>0</v>
      </c>
      <c r="J98" s="646">
        <v>0.5</v>
      </c>
      <c r="K98" s="21">
        <f t="shared" si="7"/>
        <v>2</v>
      </c>
    </row>
    <row r="99" spans="1:11" x14ac:dyDescent="0.25">
      <c r="A99" s="1970"/>
      <c r="B99" s="19" t="s">
        <v>34</v>
      </c>
      <c r="C99" s="198"/>
      <c r="D99" s="640">
        <v>1.5</v>
      </c>
      <c r="E99" s="616">
        <v>0</v>
      </c>
      <c r="F99" s="646">
        <v>0.5</v>
      </c>
      <c r="G99" s="21">
        <f t="shared" si="6"/>
        <v>2</v>
      </c>
      <c r="H99" s="640">
        <v>1.5</v>
      </c>
      <c r="I99" s="616">
        <v>0</v>
      </c>
      <c r="J99" s="646">
        <v>0.5</v>
      </c>
      <c r="K99" s="21">
        <f t="shared" si="7"/>
        <v>2</v>
      </c>
    </row>
    <row r="100" spans="1:11" x14ac:dyDescent="0.25">
      <c r="A100" s="1970"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70"/>
      <c r="B101" s="19" t="s">
        <v>33</v>
      </c>
      <c r="C101" s="198"/>
      <c r="D101" s="648">
        <f>0.5*D$3</f>
        <v>0</v>
      </c>
      <c r="E101" s="625">
        <v>0</v>
      </c>
      <c r="F101" s="617">
        <v>0</v>
      </c>
      <c r="G101" s="21">
        <f t="shared" si="6"/>
        <v>0</v>
      </c>
      <c r="H101" s="648">
        <f>0.5*H$3</f>
        <v>0</v>
      </c>
      <c r="I101" s="625">
        <v>0</v>
      </c>
      <c r="J101" s="617">
        <v>0</v>
      </c>
      <c r="K101" s="21">
        <f t="shared" si="7"/>
        <v>0</v>
      </c>
    </row>
    <row r="102" spans="1:11" x14ac:dyDescent="0.25">
      <c r="A102" s="1970"/>
      <c r="B102" s="19" t="s">
        <v>34</v>
      </c>
      <c r="C102" s="198"/>
      <c r="D102" s="648">
        <f>0.6*D$3</f>
        <v>0</v>
      </c>
      <c r="E102" s="625">
        <v>0</v>
      </c>
      <c r="F102" s="617">
        <v>0</v>
      </c>
      <c r="G102" s="21">
        <f t="shared" si="6"/>
        <v>0</v>
      </c>
      <c r="H102" s="648">
        <f>0.6*H$3</f>
        <v>0</v>
      </c>
      <c r="I102" s="625">
        <v>0</v>
      </c>
      <c r="J102" s="617">
        <v>0</v>
      </c>
      <c r="K102" s="21">
        <f t="shared" si="7"/>
        <v>0</v>
      </c>
    </row>
    <row r="103" spans="1:11" x14ac:dyDescent="0.25">
      <c r="A103" s="1912"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912"/>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73"/>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37">
    <mergeCell ref="A51:A53"/>
    <mergeCell ref="A16:A18"/>
    <mergeCell ref="C2:C3"/>
    <mergeCell ref="A8:A10"/>
    <mergeCell ref="A12:A14"/>
    <mergeCell ref="A5:A7"/>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82" t="s">
        <v>372</v>
      </c>
      <c r="E1" s="1983"/>
      <c r="F1" s="1983"/>
      <c r="G1" s="1984"/>
      <c r="H1" s="1982" t="s">
        <v>373</v>
      </c>
      <c r="I1" s="1983"/>
      <c r="J1" s="1983"/>
      <c r="K1" s="1984"/>
      <c r="L1" s="1982" t="s">
        <v>374</v>
      </c>
      <c r="M1" s="1983"/>
      <c r="N1" s="1983"/>
      <c r="O1" s="1984"/>
    </row>
    <row r="2" spans="1:15" ht="15.75" x14ac:dyDescent="0.25">
      <c r="B2" s="41" t="s">
        <v>37</v>
      </c>
      <c r="C2" s="1932" t="s">
        <v>35</v>
      </c>
      <c r="D2" s="684" t="s">
        <v>581</v>
      </c>
      <c r="E2" s="645" t="s">
        <v>580</v>
      </c>
      <c r="F2" s="645" t="s">
        <v>206</v>
      </c>
      <c r="G2" s="1981" t="s">
        <v>38</v>
      </c>
      <c r="H2" s="684" t="s">
        <v>581</v>
      </c>
      <c r="I2" s="645" t="s">
        <v>580</v>
      </c>
      <c r="J2" s="645" t="s">
        <v>206</v>
      </c>
      <c r="K2" s="1981" t="s">
        <v>38</v>
      </c>
      <c r="L2" s="684" t="s">
        <v>581</v>
      </c>
      <c r="M2" s="645" t="s">
        <v>580</v>
      </c>
      <c r="N2" s="645" t="s">
        <v>206</v>
      </c>
      <c r="O2" s="1981" t="s">
        <v>38</v>
      </c>
    </row>
    <row r="3" spans="1:15" ht="16.5" thickBot="1" x14ac:dyDescent="0.3">
      <c r="A3" s="12" t="s">
        <v>36</v>
      </c>
      <c r="B3" s="42">
        <f>ТрЗ_ОП!F5</f>
        <v>1</v>
      </c>
      <c r="C3" s="1933"/>
      <c r="D3" s="40">
        <f>INDEX(ТрЗ_ОП!$P$11:$P$102,MATCH(D2,ТрЗ_ОП!$O$11:$O$102,0))</f>
        <v>0</v>
      </c>
      <c r="E3" s="40">
        <f>INDEX(ТрЗ_ОП!$P$11:$P$102,MATCH(E2,ТрЗ_ОП!$O$11:$O$102,0))</f>
        <v>0</v>
      </c>
      <c r="F3" s="40">
        <f>INDEX(ТрЗ_ОП!$P$11:$P$102,MATCH(F2,ТрЗ_ОП!$O$11:$O$102,0))</f>
        <v>0</v>
      </c>
      <c r="G3" s="1981"/>
      <c r="H3" s="40">
        <f>INDEX(ТрЗ_ОП!$P$11:$P$102,MATCH(H2,ТрЗ_ОП!$O$11:$O$102,0))</f>
        <v>0</v>
      </c>
      <c r="I3" s="40">
        <f>INDEX(ТрЗ_ОП!$P$11:$P$102,MATCH(I2,ТрЗ_ОП!$O$11:$O$102,0))</f>
        <v>0</v>
      </c>
      <c r="J3" s="40">
        <f>INDEX(ТрЗ_ОП!$P$11:$P$102,MATCH(J2,ТрЗ_ОП!$O$11:$O$102,0))</f>
        <v>0</v>
      </c>
      <c r="K3" s="1981"/>
      <c r="L3" s="40">
        <f>INDEX(ТрЗ_ОП!$P$11:$P$102,MATCH(L2,ТрЗ_ОП!$O$11:$O$102,0))</f>
        <v>0</v>
      </c>
      <c r="M3" s="40">
        <f>INDEX(ТрЗ_ОП!$P$11:$P$102,MATCH(M2,ТрЗ_ОП!$O$11:$O$102,0))</f>
        <v>0</v>
      </c>
      <c r="N3" s="40">
        <f>INDEX(ТрЗ_ОП!$P$11:$P$102,MATCH(N2,ТрЗ_ОП!$O$11:$O$102,0))</f>
        <v>0</v>
      </c>
      <c r="O3" s="1981"/>
    </row>
    <row r="4" spans="1:15" ht="16.5" thickBot="1" x14ac:dyDescent="0.3">
      <c r="A4" s="326" t="s">
        <v>448</v>
      </c>
      <c r="B4" s="327"/>
      <c r="C4" s="327"/>
      <c r="D4" s="327"/>
      <c r="E4" s="327"/>
      <c r="F4" s="327"/>
      <c r="G4" s="327"/>
      <c r="H4" s="327"/>
      <c r="I4" s="327"/>
      <c r="J4" s="327"/>
      <c r="K4" s="327"/>
      <c r="L4" s="327"/>
      <c r="M4" s="327"/>
      <c r="N4" s="327"/>
      <c r="O4" s="396"/>
    </row>
    <row r="5" spans="1:15" x14ac:dyDescent="0.25">
      <c r="A5" s="1937"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40"/>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75"/>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40"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40"/>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40"/>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40"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40"/>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40"/>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36"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72"/>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72"/>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72"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72"/>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72"/>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72"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72"/>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72"/>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72"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72"/>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72"/>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72"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72"/>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72"/>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72"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72"/>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72"/>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72"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72"/>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39"/>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40"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40"/>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40"/>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85"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71"/>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71"/>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71"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71"/>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71"/>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71"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71"/>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71"/>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71"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71"/>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71"/>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71"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71"/>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71"/>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71"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71"/>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71"/>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71"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71"/>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71"/>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71"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71"/>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71"/>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71"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71"/>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71"/>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74"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74"/>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74"/>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71"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71"/>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71"/>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70"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70"/>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70"/>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71"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71"/>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71"/>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71"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71"/>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71"/>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41"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41"/>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41"/>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36"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72"/>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72"/>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72"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72"/>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72"/>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72"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72"/>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72"/>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72"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72"/>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72"/>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72"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72"/>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72"/>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72"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72"/>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29"/>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18A094BB-EA3E-4938-9069-21F549B37E23}"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B91A3F61-3B23-46E3-9B55-19B17EB6638A}" state="hidden" topLeftCell="H1">
      <pageMargins left="0.7" right="0.7" top="0.75" bottom="0.75" header="0.3" footer="0.3"/>
    </customSheetView>
  </customSheetViews>
  <mergeCells count="39">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G2:G3"/>
    <mergeCell ref="A8:A10"/>
    <mergeCell ref="A12:A14"/>
    <mergeCell ref="A16:A18"/>
    <mergeCell ref="A78:A80"/>
    <mergeCell ref="A22:A24"/>
    <mergeCell ref="A25:A27"/>
    <mergeCell ref="A5:A7"/>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22" t="s">
        <v>377</v>
      </c>
      <c r="E1" s="1923"/>
      <c r="F1" s="1923"/>
      <c r="G1" s="1924"/>
      <c r="H1" s="1922" t="s">
        <v>378</v>
      </c>
      <c r="I1" s="1923"/>
      <c r="J1" s="1923"/>
      <c r="K1" s="1924"/>
      <c r="N1" s="208">
        <v>3</v>
      </c>
    </row>
    <row r="2" spans="1:18" ht="15.75" x14ac:dyDescent="0.25">
      <c r="B2" s="41" t="s">
        <v>37</v>
      </c>
      <c r="C2" s="1932" t="s">
        <v>35</v>
      </c>
      <c r="D2" s="36" t="s">
        <v>697</v>
      </c>
      <c r="E2" s="10" t="s">
        <v>698</v>
      </c>
      <c r="F2" s="10" t="s">
        <v>699</v>
      </c>
      <c r="G2" s="1925" t="s">
        <v>38</v>
      </c>
      <c r="H2" s="36" t="s">
        <v>697</v>
      </c>
      <c r="I2" s="10" t="s">
        <v>698</v>
      </c>
      <c r="J2" s="10" t="s">
        <v>699</v>
      </c>
      <c r="K2" s="1925" t="s">
        <v>38</v>
      </c>
      <c r="L2" s="207">
        <v>1</v>
      </c>
      <c r="M2" t="s">
        <v>201</v>
      </c>
      <c r="N2" s="54">
        <v>0.2</v>
      </c>
    </row>
    <row r="3" spans="1:18" ht="16.5" thickBot="1" x14ac:dyDescent="0.3">
      <c r="A3" s="12" t="s">
        <v>36</v>
      </c>
      <c r="B3" s="922">
        <v>2</v>
      </c>
      <c r="C3" s="1933"/>
      <c r="D3" s="40">
        <f>INDEX(ТрЗ_ОП!$P$11:$P$102,MATCH(D2,ТрЗ_ОП!$O$11:$O$102,0))</f>
        <v>0</v>
      </c>
      <c r="E3" s="40">
        <f>INDEX(ТрЗ_ОП!$P$11:$P$102,MATCH(E2,ТрЗ_ОП!$O$11:$O$102,0))</f>
        <v>0</v>
      </c>
      <c r="F3" s="40">
        <f>INDEX(ТрЗ_ОП!$P$11:$P$102,MATCH(F2,ТрЗ_ОП!$O$11:$O$102,0))</f>
        <v>0</v>
      </c>
      <c r="G3" s="1925"/>
      <c r="H3" s="40">
        <f>INDEX(ТрЗ_ОП!$P$11:$P$102,MATCH(H2,ТрЗ_ОП!$O$11:$O$102,0))</f>
        <v>0</v>
      </c>
      <c r="I3" s="40">
        <f>INDEX(ТрЗ_ОП!$P$11:$P$102,MATCH(I2,ТрЗ_ОП!$O$11:$O$102,0))</f>
        <v>0</v>
      </c>
      <c r="J3" s="40">
        <f>INDEX(ТрЗ_ОП!$P$11:$P$102,MATCH(J2,ТрЗ_ОП!$O$11:$O$102,0))</f>
        <v>0</v>
      </c>
      <c r="K3" s="1925"/>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912"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912"/>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894"/>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912"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912"/>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912"/>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912"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91" t="s">
        <v>197</v>
      </c>
      <c r="N12" s="1991"/>
      <c r="O12" s="1991"/>
      <c r="P12" s="1991"/>
      <c r="Q12" s="1991"/>
      <c r="R12" t="s">
        <v>192</v>
      </c>
    </row>
    <row r="13" spans="1:18" x14ac:dyDescent="0.25">
      <c r="A13" s="1912"/>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91"/>
      <c r="N13" s="1991"/>
      <c r="O13" s="1991"/>
      <c r="P13" s="1991"/>
      <c r="Q13" s="1991"/>
    </row>
    <row r="14" spans="1:18" ht="15.75" thickBot="1" x14ac:dyDescent="0.3">
      <c r="A14" s="1912"/>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91"/>
      <c r="N14" s="1991"/>
      <c r="O14" s="1991"/>
      <c r="P14" s="1991"/>
      <c r="Q14" s="1991"/>
    </row>
    <row r="15" spans="1:18" ht="16.5" thickBot="1" x14ac:dyDescent="0.3">
      <c r="A15" s="330" t="s">
        <v>3</v>
      </c>
      <c r="B15" s="329"/>
      <c r="C15" s="329"/>
      <c r="D15" s="329"/>
      <c r="E15" s="329"/>
      <c r="F15" s="327"/>
      <c r="G15" s="327"/>
      <c r="H15" s="329"/>
      <c r="I15" s="329"/>
      <c r="J15" s="327"/>
      <c r="K15" s="327"/>
    </row>
    <row r="16" spans="1:18" x14ac:dyDescent="0.25">
      <c r="A16" s="1992"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88"/>
      <c r="B17" s="18" t="s">
        <v>33</v>
      </c>
      <c r="C17" s="817"/>
      <c r="D17" s="760">
        <v>0.25</v>
      </c>
      <c r="E17" s="814">
        <v>0</v>
      </c>
      <c r="F17" s="819">
        <v>0</v>
      </c>
      <c r="G17" s="619">
        <f t="shared" si="2"/>
        <v>0.25</v>
      </c>
      <c r="H17" s="760">
        <v>0.25</v>
      </c>
      <c r="I17" s="814">
        <v>0</v>
      </c>
      <c r="J17" s="819">
        <v>0</v>
      </c>
      <c r="K17" s="619">
        <f t="shared" si="3"/>
        <v>0.25</v>
      </c>
    </row>
    <row r="18" spans="1:17" x14ac:dyDescent="0.25">
      <c r="A18" s="1988"/>
      <c r="B18" s="18" t="s">
        <v>34</v>
      </c>
      <c r="C18" s="817"/>
      <c r="D18" s="760">
        <v>0.25</v>
      </c>
      <c r="E18" s="814">
        <v>0</v>
      </c>
      <c r="F18" s="819">
        <v>0</v>
      </c>
      <c r="G18" s="619">
        <f t="shared" si="2"/>
        <v>0.25</v>
      </c>
      <c r="H18" s="760">
        <v>0.25</v>
      </c>
      <c r="I18" s="814">
        <v>0</v>
      </c>
      <c r="J18" s="819">
        <v>0</v>
      </c>
      <c r="K18" s="619">
        <f t="shared" si="3"/>
        <v>0.25</v>
      </c>
    </row>
    <row r="19" spans="1:17" x14ac:dyDescent="0.25">
      <c r="A19" s="1988"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88"/>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88"/>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88"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88"/>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88"/>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88"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88"/>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88"/>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88"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90" t="s">
        <v>196</v>
      </c>
      <c r="N28" s="1990"/>
      <c r="O28" s="1990"/>
      <c r="P28" s="1990"/>
      <c r="Q28" s="1990"/>
    </row>
    <row r="29" spans="1:17" x14ac:dyDescent="0.25">
      <c r="A29" s="1988"/>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90"/>
      <c r="N29" s="1990"/>
      <c r="O29" s="1990"/>
      <c r="P29" s="1990"/>
      <c r="Q29" s="1990"/>
    </row>
    <row r="30" spans="1:17" x14ac:dyDescent="0.25">
      <c r="A30" s="1988"/>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90"/>
      <c r="N30" s="1990"/>
      <c r="O30" s="1990"/>
      <c r="P30" s="1990"/>
      <c r="Q30" s="1990"/>
    </row>
    <row r="31" spans="1:17" x14ac:dyDescent="0.25">
      <c r="A31" s="1988"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88"/>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88"/>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88"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88"/>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89"/>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912"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912"/>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912"/>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912"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912"/>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912"/>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70"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90" t="s">
        <v>195</v>
      </c>
      <c r="N45" s="1990"/>
      <c r="O45" s="1990"/>
      <c r="P45" s="1990"/>
      <c r="Q45" s="1990"/>
    </row>
    <row r="46" spans="1:17" x14ac:dyDescent="0.25">
      <c r="A46" s="1970"/>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90"/>
      <c r="N46" s="1990"/>
      <c r="O46" s="1990"/>
      <c r="P46" s="1990"/>
      <c r="Q46" s="1990"/>
    </row>
    <row r="47" spans="1:17" x14ac:dyDescent="0.25">
      <c r="A47" s="1970"/>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90"/>
      <c r="N47" s="1990"/>
      <c r="O47" s="1990"/>
      <c r="P47" s="1990"/>
      <c r="Q47" s="1990"/>
    </row>
    <row r="48" spans="1:17" x14ac:dyDescent="0.25">
      <c r="A48" s="1970"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70"/>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70"/>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70"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70"/>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70"/>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70"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70"/>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70"/>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70"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70"/>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70"/>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70"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70"/>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70"/>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70" t="s">
        <v>451</v>
      </c>
      <c r="B63" s="19" t="s">
        <v>32</v>
      </c>
      <c r="C63" s="817"/>
      <c r="D63" s="638">
        <v>0.5</v>
      </c>
      <c r="E63" s="637">
        <v>0</v>
      </c>
      <c r="F63" s="714">
        <v>0</v>
      </c>
      <c r="G63" s="619">
        <f t="shared" si="4"/>
        <v>0.5</v>
      </c>
      <c r="H63" s="638">
        <v>0.5</v>
      </c>
      <c r="I63" s="637">
        <v>0</v>
      </c>
      <c r="J63" s="714">
        <v>0</v>
      </c>
      <c r="K63" s="619">
        <f t="shared" si="5"/>
        <v>0.5</v>
      </c>
    </row>
    <row r="64" spans="1:13" x14ac:dyDescent="0.25">
      <c r="A64" s="1970"/>
      <c r="B64" s="19" t="s">
        <v>33</v>
      </c>
      <c r="C64" s="817"/>
      <c r="D64" s="638">
        <v>1</v>
      </c>
      <c r="E64" s="637">
        <v>0</v>
      </c>
      <c r="F64" s="714">
        <v>0</v>
      </c>
      <c r="G64" s="619">
        <f t="shared" si="4"/>
        <v>1</v>
      </c>
      <c r="H64" s="638">
        <v>1</v>
      </c>
      <c r="I64" s="637">
        <v>0</v>
      </c>
      <c r="J64" s="714">
        <v>0</v>
      </c>
      <c r="K64" s="619">
        <f t="shared" si="5"/>
        <v>1</v>
      </c>
    </row>
    <row r="65" spans="1:11" x14ac:dyDescent="0.25">
      <c r="A65" s="1970"/>
      <c r="B65" s="19" t="s">
        <v>34</v>
      </c>
      <c r="C65" s="817"/>
      <c r="D65" s="638">
        <v>1.5</v>
      </c>
      <c r="E65" s="637">
        <v>0</v>
      </c>
      <c r="F65" s="714">
        <v>0</v>
      </c>
      <c r="G65" s="619">
        <f t="shared" si="4"/>
        <v>1.5</v>
      </c>
      <c r="H65" s="638">
        <v>1.5</v>
      </c>
      <c r="I65" s="637">
        <v>0</v>
      </c>
      <c r="J65" s="714">
        <v>0</v>
      </c>
      <c r="K65" s="619">
        <f t="shared" si="5"/>
        <v>1.5</v>
      </c>
    </row>
    <row r="66" spans="1:11" x14ac:dyDescent="0.25">
      <c r="A66" s="1970" t="s">
        <v>452</v>
      </c>
      <c r="B66" s="19" t="s">
        <v>32</v>
      </c>
      <c r="C66" s="817"/>
      <c r="D66" s="638">
        <v>0.5</v>
      </c>
      <c r="E66" s="637">
        <v>0</v>
      </c>
      <c r="F66" s="714">
        <v>0</v>
      </c>
      <c r="G66" s="619">
        <f t="shared" si="4"/>
        <v>0.5</v>
      </c>
      <c r="H66" s="638">
        <v>0.5</v>
      </c>
      <c r="I66" s="637">
        <v>0</v>
      </c>
      <c r="J66" s="714">
        <v>0</v>
      </c>
      <c r="K66" s="619">
        <f t="shared" si="5"/>
        <v>0.5</v>
      </c>
    </row>
    <row r="67" spans="1:11" x14ac:dyDescent="0.25">
      <c r="A67" s="1970"/>
      <c r="B67" s="19" t="s">
        <v>33</v>
      </c>
      <c r="C67" s="817"/>
      <c r="D67" s="638">
        <v>1</v>
      </c>
      <c r="E67" s="637">
        <v>0</v>
      </c>
      <c r="F67" s="714">
        <v>0</v>
      </c>
      <c r="G67" s="619">
        <f t="shared" si="4"/>
        <v>1</v>
      </c>
      <c r="H67" s="638">
        <v>1</v>
      </c>
      <c r="I67" s="637">
        <v>0</v>
      </c>
      <c r="J67" s="714">
        <v>0</v>
      </c>
      <c r="K67" s="619">
        <f t="shared" si="5"/>
        <v>1</v>
      </c>
    </row>
    <row r="68" spans="1:11" x14ac:dyDescent="0.25">
      <c r="A68" s="1970"/>
      <c r="B68" s="19" t="s">
        <v>34</v>
      </c>
      <c r="C68" s="817"/>
      <c r="D68" s="638">
        <v>1.5</v>
      </c>
      <c r="E68" s="637">
        <v>0</v>
      </c>
      <c r="F68" s="714">
        <v>0</v>
      </c>
      <c r="G68" s="619">
        <f t="shared" si="4"/>
        <v>1.5</v>
      </c>
      <c r="H68" s="638">
        <v>1.5</v>
      </c>
      <c r="I68" s="637">
        <v>0</v>
      </c>
      <c r="J68" s="714">
        <v>0</v>
      </c>
      <c r="K68" s="619">
        <f t="shared" si="5"/>
        <v>1.5</v>
      </c>
    </row>
    <row r="69" spans="1:11" x14ac:dyDescent="0.25">
      <c r="A69" s="1986" t="s">
        <v>533</v>
      </c>
      <c r="B69" s="19" t="s">
        <v>32</v>
      </c>
      <c r="C69" s="817"/>
      <c r="D69" s="638">
        <v>0</v>
      </c>
      <c r="E69" s="636">
        <v>0</v>
      </c>
      <c r="F69" s="635">
        <v>0</v>
      </c>
      <c r="G69" s="619">
        <f t="shared" si="4"/>
        <v>0</v>
      </c>
      <c r="H69" s="638">
        <v>0</v>
      </c>
      <c r="I69" s="636">
        <v>0</v>
      </c>
      <c r="J69" s="635">
        <v>0</v>
      </c>
      <c r="K69" s="619">
        <f t="shared" si="5"/>
        <v>0</v>
      </c>
    </row>
    <row r="70" spans="1:11" x14ac:dyDescent="0.25">
      <c r="A70" s="1986"/>
      <c r="B70" s="19" t="s">
        <v>33</v>
      </c>
      <c r="C70" s="817"/>
      <c r="D70" s="638">
        <v>0</v>
      </c>
      <c r="E70" s="636">
        <v>0</v>
      </c>
      <c r="F70" s="635">
        <v>0</v>
      </c>
      <c r="G70" s="619">
        <f t="shared" si="4"/>
        <v>0</v>
      </c>
      <c r="H70" s="638">
        <v>0</v>
      </c>
      <c r="I70" s="636">
        <v>0</v>
      </c>
      <c r="J70" s="635">
        <v>0</v>
      </c>
      <c r="K70" s="619">
        <f t="shared" si="5"/>
        <v>0</v>
      </c>
    </row>
    <row r="71" spans="1:11" x14ac:dyDescent="0.25">
      <c r="A71" s="1986"/>
      <c r="B71" s="19" t="s">
        <v>34</v>
      </c>
      <c r="C71" s="817"/>
      <c r="D71" s="638">
        <v>0</v>
      </c>
      <c r="E71" s="636">
        <v>0</v>
      </c>
      <c r="F71" s="635">
        <v>0</v>
      </c>
      <c r="G71" s="619">
        <f t="shared" si="4"/>
        <v>0</v>
      </c>
      <c r="H71" s="638">
        <v>0</v>
      </c>
      <c r="I71" s="636">
        <v>0</v>
      </c>
      <c r="J71" s="635">
        <v>0</v>
      </c>
      <c r="K71" s="619">
        <f t="shared" si="5"/>
        <v>0</v>
      </c>
    </row>
    <row r="72" spans="1:11" x14ac:dyDescent="0.25">
      <c r="A72" s="1970" t="s">
        <v>534</v>
      </c>
      <c r="B72" s="19" t="s">
        <v>32</v>
      </c>
      <c r="C72" s="817"/>
      <c r="D72" s="638">
        <v>0</v>
      </c>
      <c r="E72" s="636">
        <v>0</v>
      </c>
      <c r="F72" s="635">
        <v>0</v>
      </c>
      <c r="G72" s="619">
        <f t="shared" si="4"/>
        <v>0</v>
      </c>
      <c r="H72" s="638">
        <v>0</v>
      </c>
      <c r="I72" s="636">
        <v>0</v>
      </c>
      <c r="J72" s="635">
        <v>0</v>
      </c>
      <c r="K72" s="619">
        <f t="shared" si="5"/>
        <v>0</v>
      </c>
    </row>
    <row r="73" spans="1:11" x14ac:dyDescent="0.25">
      <c r="A73" s="1970"/>
      <c r="B73" s="19" t="s">
        <v>33</v>
      </c>
      <c r="C73" s="817"/>
      <c r="D73" s="638">
        <v>0</v>
      </c>
      <c r="E73" s="636">
        <v>0</v>
      </c>
      <c r="F73" s="635">
        <v>0</v>
      </c>
      <c r="G73" s="619">
        <f t="shared" si="4"/>
        <v>0</v>
      </c>
      <c r="H73" s="638">
        <v>0</v>
      </c>
      <c r="I73" s="636">
        <v>0</v>
      </c>
      <c r="J73" s="635">
        <v>0</v>
      </c>
      <c r="K73" s="619">
        <f t="shared" si="5"/>
        <v>0</v>
      </c>
    </row>
    <row r="74" spans="1:11" x14ac:dyDescent="0.25">
      <c r="A74" s="1970"/>
      <c r="B74" s="19" t="s">
        <v>34</v>
      </c>
      <c r="C74" s="817"/>
      <c r="D74" s="638">
        <v>0</v>
      </c>
      <c r="E74" s="636">
        <v>0</v>
      </c>
      <c r="F74" s="635">
        <v>0</v>
      </c>
      <c r="G74" s="619">
        <f t="shared" si="4"/>
        <v>0</v>
      </c>
      <c r="H74" s="638">
        <v>0</v>
      </c>
      <c r="I74" s="636">
        <v>0</v>
      </c>
      <c r="J74" s="635">
        <v>0</v>
      </c>
      <c r="K74" s="619">
        <f t="shared" si="5"/>
        <v>0</v>
      </c>
    </row>
    <row r="75" spans="1:11" x14ac:dyDescent="0.25">
      <c r="A75" s="1970"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70"/>
      <c r="B76" s="19" t="s">
        <v>33</v>
      </c>
      <c r="C76" s="817"/>
      <c r="D76" s="823" t="s">
        <v>90</v>
      </c>
      <c r="E76" s="821" t="s">
        <v>90</v>
      </c>
      <c r="F76" s="815" t="s">
        <v>90</v>
      </c>
      <c r="G76" s="619">
        <f t="shared" si="4"/>
        <v>0</v>
      </c>
      <c r="H76" s="823" t="s">
        <v>90</v>
      </c>
      <c r="I76" s="821" t="s">
        <v>90</v>
      </c>
      <c r="J76" s="815" t="s">
        <v>90</v>
      </c>
      <c r="K76" s="619">
        <f t="shared" si="5"/>
        <v>0</v>
      </c>
    </row>
    <row r="77" spans="1:11" x14ac:dyDescent="0.25">
      <c r="A77" s="1970"/>
      <c r="B77" s="13" t="s">
        <v>34</v>
      </c>
      <c r="C77" s="820"/>
      <c r="D77" s="823" t="s">
        <v>90</v>
      </c>
      <c r="E77" s="821" t="s">
        <v>90</v>
      </c>
      <c r="F77" s="815" t="s">
        <v>90</v>
      </c>
      <c r="G77" s="619">
        <f t="shared" si="4"/>
        <v>0</v>
      </c>
      <c r="H77" s="823" t="s">
        <v>90</v>
      </c>
      <c r="I77" s="821" t="s">
        <v>90</v>
      </c>
      <c r="J77" s="815" t="s">
        <v>90</v>
      </c>
      <c r="K77" s="619">
        <f t="shared" si="5"/>
        <v>0</v>
      </c>
    </row>
    <row r="78" spans="1:11" x14ac:dyDescent="0.25">
      <c r="A78" s="1970"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70"/>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70"/>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70"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70"/>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70"/>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87"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87"/>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87"/>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912"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912"/>
      <c r="B89" s="19" t="s">
        <v>33</v>
      </c>
      <c r="C89" s="817"/>
      <c r="D89" s="760">
        <v>0.25</v>
      </c>
      <c r="E89" s="814">
        <v>0</v>
      </c>
      <c r="F89" s="819">
        <v>0</v>
      </c>
      <c r="G89" s="619">
        <f t="shared" si="6"/>
        <v>0.25</v>
      </c>
      <c r="H89" s="760">
        <v>0.25</v>
      </c>
      <c r="I89" s="814">
        <v>0</v>
      </c>
      <c r="J89" s="819">
        <v>0</v>
      </c>
      <c r="K89" s="619">
        <f t="shared" si="7"/>
        <v>0.25</v>
      </c>
    </row>
    <row r="90" spans="1:13" x14ac:dyDescent="0.25">
      <c r="A90" s="1912"/>
      <c r="B90" s="19" t="s">
        <v>34</v>
      </c>
      <c r="C90" s="817"/>
      <c r="D90" s="760">
        <v>0.25</v>
      </c>
      <c r="E90" s="814">
        <v>0</v>
      </c>
      <c r="F90" s="819">
        <v>0</v>
      </c>
      <c r="G90" s="619">
        <f t="shared" si="6"/>
        <v>0.25</v>
      </c>
      <c r="H90" s="760">
        <v>0.25</v>
      </c>
      <c r="I90" s="814">
        <v>0</v>
      </c>
      <c r="J90" s="819">
        <v>0</v>
      </c>
      <c r="K90" s="619">
        <f t="shared" si="7"/>
        <v>0.25</v>
      </c>
    </row>
    <row r="91" spans="1:13" x14ac:dyDescent="0.25">
      <c r="A91" s="1970"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70"/>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70"/>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70"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70"/>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70"/>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70"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70"/>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70"/>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70"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70"/>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70"/>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912"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912"/>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73"/>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D1:G1"/>
    <mergeCell ref="H1:K1"/>
    <mergeCell ref="C2:C3"/>
    <mergeCell ref="G2:G3"/>
    <mergeCell ref="K2:K3"/>
    <mergeCell ref="A5:A7"/>
    <mergeCell ref="A8:A10"/>
    <mergeCell ref="A12:A14"/>
    <mergeCell ref="M12:Q14"/>
    <mergeCell ref="A16:A18"/>
    <mergeCell ref="M45:Q47"/>
    <mergeCell ref="A48:A50"/>
    <mergeCell ref="A19:A21"/>
    <mergeCell ref="A22:A24"/>
    <mergeCell ref="A25:A27"/>
    <mergeCell ref="A28:A30"/>
    <mergeCell ref="M28:Q30"/>
    <mergeCell ref="A31:A33"/>
    <mergeCell ref="A66:A68"/>
    <mergeCell ref="A34:A36"/>
    <mergeCell ref="A38:A40"/>
    <mergeCell ref="A42:A44"/>
    <mergeCell ref="A45:A47"/>
    <mergeCell ref="A51:A53"/>
    <mergeCell ref="A54:A56"/>
    <mergeCell ref="A57:A59"/>
    <mergeCell ref="A60:A62"/>
    <mergeCell ref="A63:A65"/>
    <mergeCell ref="A103:A105"/>
    <mergeCell ref="A69:A71"/>
    <mergeCell ref="A72:A74"/>
    <mergeCell ref="A75:A77"/>
    <mergeCell ref="A78:A80"/>
    <mergeCell ref="A81:A83"/>
    <mergeCell ref="A84:A86"/>
    <mergeCell ref="A88:A90"/>
    <mergeCell ref="A91:A93"/>
    <mergeCell ref="A94:A96"/>
    <mergeCell ref="A97:A99"/>
    <mergeCell ref="A100:A102"/>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22" t="s">
        <v>376</v>
      </c>
      <c r="E1" s="1923"/>
      <c r="F1" s="1923"/>
      <c r="G1" s="1924"/>
      <c r="H1" s="1922" t="s">
        <v>379</v>
      </c>
      <c r="I1" s="1923"/>
      <c r="J1" s="1923"/>
      <c r="K1" s="1924"/>
      <c r="L1" s="1922" t="s">
        <v>284</v>
      </c>
      <c r="M1" s="1923"/>
      <c r="N1" s="1923"/>
      <c r="O1" s="1924"/>
      <c r="R1" s="208">
        <v>3</v>
      </c>
    </row>
    <row r="2" spans="1:22" ht="15.75" x14ac:dyDescent="0.25">
      <c r="B2" s="41" t="s">
        <v>37</v>
      </c>
      <c r="C2" s="1932" t="s">
        <v>35</v>
      </c>
      <c r="D2" s="36" t="s">
        <v>96</v>
      </c>
      <c r="E2" s="10" t="s">
        <v>97</v>
      </c>
      <c r="F2" s="10" t="s">
        <v>202</v>
      </c>
      <c r="G2" s="1977" t="s">
        <v>38</v>
      </c>
      <c r="H2" s="36" t="s">
        <v>96</v>
      </c>
      <c r="I2" s="10" t="s">
        <v>97</v>
      </c>
      <c r="J2" s="10" t="s">
        <v>202</v>
      </c>
      <c r="K2" s="1925" t="s">
        <v>38</v>
      </c>
      <c r="L2" s="36" t="s">
        <v>96</v>
      </c>
      <c r="M2" s="10" t="s">
        <v>97</v>
      </c>
      <c r="N2" s="10" t="s">
        <v>202</v>
      </c>
      <c r="O2" s="1925" t="s">
        <v>38</v>
      </c>
      <c r="P2" s="207">
        <v>1</v>
      </c>
      <c r="Q2" t="s">
        <v>201</v>
      </c>
      <c r="R2" s="54">
        <v>0.2</v>
      </c>
    </row>
    <row r="3" spans="1:22" ht="16.5" thickBot="1" x14ac:dyDescent="0.3">
      <c r="A3" s="12" t="s">
        <v>36</v>
      </c>
      <c r="B3" s="42">
        <v>2</v>
      </c>
      <c r="C3" s="1933"/>
      <c r="D3" s="40">
        <f>INDEX(ТрЗ_ОП!$P$11:$P$102,MATCH(D2,ТрЗ_ОП!$O$11:$O$102,0))</f>
        <v>0</v>
      </c>
      <c r="E3" s="40">
        <f>INDEX(ТрЗ_ОП!$P$11:$P$102,MATCH(E2,ТрЗ_ОП!$O$11:$O$102,0))</f>
        <v>0</v>
      </c>
      <c r="F3" s="40">
        <f>INDEX(ТрЗ_ОП!$P$11:$P$102,MATCH(F2,ТрЗ_ОП!$O$11:$O$102,0))</f>
        <v>0</v>
      </c>
      <c r="G3" s="1978"/>
      <c r="H3" s="40">
        <f>INDEX(ТрЗ_ОП!$P$11:$P$102,MATCH(H2,ТрЗ_ОП!$O$11:$O$102,0))</f>
        <v>0</v>
      </c>
      <c r="I3" s="40">
        <f>INDEX(ТрЗ_ОП!$P$11:$P$102,MATCH(I2,ТрЗ_ОП!$O$11:$O$102,0))</f>
        <v>0</v>
      </c>
      <c r="J3" s="40">
        <f>INDEX(ТрЗ_ОП!$P$11:$P$102,MATCH(J2,ТрЗ_ОП!$O$11:$O$102,0))</f>
        <v>0</v>
      </c>
      <c r="K3" s="1925"/>
      <c r="L3" s="40">
        <f>INDEX(ТрЗ_ОП!$P$11:$P$102,MATCH(L2,ТрЗ_ОП!$O$11:$O$102,0))</f>
        <v>0</v>
      </c>
      <c r="M3" s="40">
        <f>INDEX(ТрЗ_ОП!$P$11:$P$102,MATCH(M2,ТрЗ_ОП!$O$11:$O$102,0))</f>
        <v>0</v>
      </c>
      <c r="N3" s="40">
        <f>INDEX(ТрЗ_ОП!$P$11:$P$102,MATCH(N2,ТрЗ_ОП!$O$11:$O$102,0))</f>
        <v>0</v>
      </c>
      <c r="O3" s="1925"/>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912"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912"/>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894"/>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912"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912"/>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912"/>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912"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91" t="s">
        <v>197</v>
      </c>
      <c r="R12" s="1991"/>
      <c r="S12" s="1991"/>
      <c r="T12" s="1991"/>
      <c r="U12" s="1991"/>
      <c r="V12" t="s">
        <v>192</v>
      </c>
    </row>
    <row r="13" spans="1:22" x14ac:dyDescent="0.25">
      <c r="A13" s="1912"/>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91"/>
      <c r="R13" s="1991"/>
      <c r="S13" s="1991"/>
      <c r="T13" s="1991"/>
      <c r="U13" s="1991"/>
    </row>
    <row r="14" spans="1:22" ht="15.75" thickBot="1" x14ac:dyDescent="0.3">
      <c r="A14" s="1912"/>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91"/>
      <c r="R14" s="1991"/>
      <c r="S14" s="1991"/>
      <c r="T14" s="1991"/>
      <c r="U14" s="1991"/>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92"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88"/>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88"/>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88"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88"/>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88"/>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88"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88"/>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88"/>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88"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88"/>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88"/>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88"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90" t="s">
        <v>196</v>
      </c>
      <c r="R28" s="1990"/>
      <c r="S28" s="1990"/>
      <c r="T28" s="1990"/>
      <c r="U28" s="1990"/>
    </row>
    <row r="29" spans="1:21" x14ac:dyDescent="0.25">
      <c r="A29" s="1988"/>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90"/>
      <c r="R29" s="1990"/>
      <c r="S29" s="1990"/>
      <c r="T29" s="1990"/>
      <c r="U29" s="1990"/>
    </row>
    <row r="30" spans="1:21" x14ac:dyDescent="0.25">
      <c r="A30" s="1988"/>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90"/>
      <c r="R30" s="1990"/>
      <c r="S30" s="1990"/>
      <c r="T30" s="1990"/>
      <c r="U30" s="1990"/>
    </row>
    <row r="31" spans="1:21" x14ac:dyDescent="0.25">
      <c r="A31" s="1988"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88"/>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88"/>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88"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88"/>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89"/>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912"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912"/>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912"/>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912"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912"/>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912"/>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70"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90" t="s">
        <v>195</v>
      </c>
      <c r="R45" s="1990"/>
      <c r="S45" s="1990"/>
      <c r="T45" s="1990"/>
      <c r="U45" s="1990"/>
    </row>
    <row r="46" spans="1:21" x14ac:dyDescent="0.25">
      <c r="A46" s="1970"/>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90"/>
      <c r="R46" s="1990"/>
      <c r="S46" s="1990"/>
      <c r="T46" s="1990"/>
      <c r="U46" s="1990"/>
    </row>
    <row r="47" spans="1:21" x14ac:dyDescent="0.25">
      <c r="A47" s="1970"/>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90"/>
      <c r="R47" s="1990"/>
      <c r="S47" s="1990"/>
      <c r="T47" s="1990"/>
      <c r="U47" s="1990"/>
    </row>
    <row r="48" spans="1:21" x14ac:dyDescent="0.25">
      <c r="A48" s="1970"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70"/>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70"/>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70"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70"/>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70"/>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70"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70"/>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70"/>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70"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70"/>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70"/>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70"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70"/>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70"/>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70"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70"/>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70"/>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70"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70"/>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70"/>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86"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86"/>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86"/>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70"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70"/>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70"/>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70"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70"/>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70"/>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70"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70"/>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70"/>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70"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70"/>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70"/>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87"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87"/>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87"/>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912"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912"/>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912"/>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70"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70"/>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70"/>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70"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70"/>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70"/>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70"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70"/>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70"/>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70"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70"/>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70"/>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912"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912"/>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73"/>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45:A47"/>
    <mergeCell ref="A48:A50"/>
    <mergeCell ref="C2:C3"/>
    <mergeCell ref="A8:A10"/>
    <mergeCell ref="A12:A14"/>
    <mergeCell ref="A5:A7"/>
    <mergeCell ref="G2:G3"/>
    <mergeCell ref="D1:G1"/>
    <mergeCell ref="L1:O1"/>
    <mergeCell ref="O2:O3"/>
    <mergeCell ref="H1:K1"/>
    <mergeCell ref="K2:K3"/>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164"/>
  <sheetViews>
    <sheetView showFormulas="1" topLeftCell="A34" zoomScale="85" zoomScaleNormal="85" workbookViewId="0">
      <selection activeCell="A4" sqref="A4:A67"/>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69" t="str">
        <f>'Служебный АСУТП'!X2</f>
        <v>Efros Defence Operations</v>
      </c>
      <c r="E1" s="1969"/>
      <c r="F1" s="1969"/>
      <c r="G1" s="1969"/>
    </row>
    <row r="2" spans="1:7" ht="15.75" x14ac:dyDescent="0.25">
      <c r="B2" s="41" t="s">
        <v>37</v>
      </c>
      <c r="C2" s="1932" t="s">
        <v>35</v>
      </c>
      <c r="D2" s="439" t="s">
        <v>1846</v>
      </c>
      <c r="E2" s="191" t="s">
        <v>1849</v>
      </c>
      <c r="F2" s="191" t="s">
        <v>1847</v>
      </c>
      <c r="G2" s="1925" t="s">
        <v>38</v>
      </c>
    </row>
    <row r="3" spans="1:7"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row>
    <row r="4" spans="1:7" ht="15" customHeight="1" x14ac:dyDescent="0.25">
      <c r="A4" s="1930" t="s">
        <v>0</v>
      </c>
      <c r="B4" s="19" t="s">
        <v>33</v>
      </c>
      <c r="C4" s="1920" t="s">
        <v>448</v>
      </c>
      <c r="D4" s="446">
        <v>1</v>
      </c>
      <c r="E4" s="478">
        <f>IF(E$3&gt;1,E$3*0.25,0.25)</f>
        <v>0.25</v>
      </c>
      <c r="F4" s="630">
        <f>IF(F$3=1,D4+E4+F4+F4+4,0)</f>
        <v>0</v>
      </c>
      <c r="G4" s="21" t="e">
        <f xml:space="preserve"> SUM(D4:F4) + $C4</f>
        <v>#VALUE!</v>
      </c>
    </row>
    <row r="5" spans="1:7" ht="15" customHeight="1" x14ac:dyDescent="0.25">
      <c r="A5" s="1936"/>
      <c r="B5" s="19" t="s">
        <v>34</v>
      </c>
      <c r="C5" s="1920"/>
      <c r="D5" s="446">
        <v>2</v>
      </c>
      <c r="E5" s="478">
        <f>IF(E$3&gt;1,E$3*0.25,0.25)</f>
        <v>0.25</v>
      </c>
      <c r="F5" s="630">
        <f>IF(F$3=1,D5+E5+8,0)</f>
        <v>0</v>
      </c>
      <c r="G5" s="21">
        <f xml:space="preserve"> SUM(D5:F5) + $C5</f>
        <v>2.25</v>
      </c>
    </row>
    <row r="6" spans="1:7" ht="15" customHeight="1" x14ac:dyDescent="0.25">
      <c r="A6" s="1927" t="s">
        <v>449</v>
      </c>
      <c r="B6" s="19" t="s">
        <v>33</v>
      </c>
      <c r="C6" s="1920"/>
      <c r="D6" s="446">
        <v>1</v>
      </c>
      <c r="E6" s="478">
        <f>IF(E$3&gt;1,E$3*0.25,0.25)</f>
        <v>0.25</v>
      </c>
      <c r="F6" s="630">
        <f>IF(F$3=1,D6+E6+4,0)</f>
        <v>0</v>
      </c>
      <c r="G6" s="21">
        <f t="shared" ref="G6:G59" si="0" xml:space="preserve"> SUM(D6:F6) + $C6</f>
        <v>1.25</v>
      </c>
    </row>
    <row r="7" spans="1:7" ht="15.75" customHeight="1" thickBot="1" x14ac:dyDescent="0.3">
      <c r="A7" s="1927"/>
      <c r="B7" s="13" t="s">
        <v>34</v>
      </c>
      <c r="C7" s="1921"/>
      <c r="D7" s="446">
        <v>2</v>
      </c>
      <c r="E7" s="478">
        <f>IF(E$3&gt;1,E$3*0.25,0.25)</f>
        <v>0.25</v>
      </c>
      <c r="F7" s="630">
        <f>IF(F$3=1,D7+E7+8,0)</f>
        <v>0</v>
      </c>
      <c r="G7" s="77">
        <f t="shared" si="0"/>
        <v>2.25</v>
      </c>
    </row>
    <row r="8" spans="1:7" ht="15" customHeight="1" x14ac:dyDescent="0.25">
      <c r="A8" s="1927" t="s">
        <v>2</v>
      </c>
      <c r="B8" s="19" t="s">
        <v>33</v>
      </c>
      <c r="C8" s="1926" t="s">
        <v>1</v>
      </c>
      <c r="D8" s="501">
        <v>2</v>
      </c>
      <c r="E8" s="478">
        <f>IF(E$3&gt;1,E$3*0.5,0.5)</f>
        <v>0.5</v>
      </c>
      <c r="F8" s="630">
        <f>IF(F$3=1,D8+E8+16,0)</f>
        <v>0</v>
      </c>
      <c r="G8" s="21" t="e">
        <f t="shared" si="0"/>
        <v>#VALUE!</v>
      </c>
    </row>
    <row r="9" spans="1:7" ht="15.75" customHeight="1" thickBot="1" x14ac:dyDescent="0.3">
      <c r="A9" s="1927"/>
      <c r="B9" s="13" t="s">
        <v>34</v>
      </c>
      <c r="C9" s="1921"/>
      <c r="D9" s="501">
        <v>4</v>
      </c>
      <c r="E9" s="478">
        <f>IF(E$3&gt;1,E$3*0.5,0.5)</f>
        <v>0.5</v>
      </c>
      <c r="F9" s="630">
        <f>IF(F$3=1,D9+E9+32,0)</f>
        <v>0</v>
      </c>
      <c r="G9" s="77">
        <f t="shared" si="0"/>
        <v>4.5</v>
      </c>
    </row>
    <row r="10" spans="1:7" ht="15" customHeight="1" x14ac:dyDescent="0.25">
      <c r="A10" s="1930" t="s">
        <v>4</v>
      </c>
      <c r="B10" s="18" t="s">
        <v>33</v>
      </c>
      <c r="C10" s="1920" t="s">
        <v>3</v>
      </c>
      <c r="D10" s="482" t="s">
        <v>1770</v>
      </c>
      <c r="E10" s="482" t="s">
        <v>1770</v>
      </c>
      <c r="F10" s="482" t="s">
        <v>1770</v>
      </c>
      <c r="G10" s="21" t="e">
        <f t="shared" si="0"/>
        <v>#VALUE!</v>
      </c>
    </row>
    <row r="11" spans="1:7" ht="15" customHeight="1" thickBot="1" x14ac:dyDescent="0.3">
      <c r="A11" s="1931"/>
      <c r="B11" s="18" t="s">
        <v>34</v>
      </c>
      <c r="C11" s="1920"/>
      <c r="D11" s="482" t="s">
        <v>1770</v>
      </c>
      <c r="E11" s="482" t="s">
        <v>1770</v>
      </c>
      <c r="F11" s="482" t="s">
        <v>1770</v>
      </c>
      <c r="G11" s="21">
        <f t="shared" si="0"/>
        <v>0</v>
      </c>
    </row>
    <row r="12" spans="1:7" ht="15" customHeight="1" x14ac:dyDescent="0.25">
      <c r="A12" s="1928" t="s">
        <v>5</v>
      </c>
      <c r="B12" s="19" t="s">
        <v>33</v>
      </c>
      <c r="C12" s="1920"/>
      <c r="D12" s="493">
        <f>IF(D$3&gt;0,0.25*D$3+1,1)</f>
        <v>1</v>
      </c>
      <c r="E12" s="478">
        <f>IF(E$3&gt;1,E$3*0.25,0.25)</f>
        <v>0.25</v>
      </c>
      <c r="F12" s="814">
        <v>0</v>
      </c>
      <c r="G12" s="21">
        <f t="shared" si="0"/>
        <v>1.25</v>
      </c>
    </row>
    <row r="13" spans="1:7" ht="15" customHeight="1" thickBot="1" x14ac:dyDescent="0.3">
      <c r="A13" s="1929"/>
      <c r="B13" s="19" t="s">
        <v>34</v>
      </c>
      <c r="C13" s="1920"/>
      <c r="D13" s="493">
        <f>IF(D$3&gt;0,0.25*D$3+1,1)</f>
        <v>1</v>
      </c>
      <c r="E13" s="478">
        <f>IF(E$3&gt;1,E$3*0.25,0.25)</f>
        <v>0.25</v>
      </c>
      <c r="F13" s="814">
        <v>0</v>
      </c>
      <c r="G13" s="21">
        <f t="shared" si="0"/>
        <v>1.25</v>
      </c>
    </row>
    <row r="14" spans="1:7" ht="15" customHeight="1" x14ac:dyDescent="0.25">
      <c r="A14" s="1928" t="s">
        <v>6</v>
      </c>
      <c r="B14" s="19" t="s">
        <v>33</v>
      </c>
      <c r="C14" s="1920"/>
      <c r="D14" s="501">
        <v>2</v>
      </c>
      <c r="E14" s="478">
        <f>IF(E$3&gt;1,E$3*0.5,0.5)</f>
        <v>0.5</v>
      </c>
      <c r="F14" s="630">
        <f>IF(F$3=1,D14+E14+16,0)</f>
        <v>0</v>
      </c>
      <c r="G14" s="21">
        <f t="shared" si="0"/>
        <v>2.5</v>
      </c>
    </row>
    <row r="15" spans="1:7" ht="15" customHeight="1" thickBot="1" x14ac:dyDescent="0.3">
      <c r="A15" s="1929"/>
      <c r="B15" s="19" t="s">
        <v>34</v>
      </c>
      <c r="C15" s="1920"/>
      <c r="D15" s="501">
        <v>4</v>
      </c>
      <c r="E15" s="478">
        <f>IF(E$3&gt;1,E$3*0.5,0.5)</f>
        <v>0.5</v>
      </c>
      <c r="F15" s="630">
        <f>IF(F$3=1,D15+E15+32,0)</f>
        <v>0</v>
      </c>
      <c r="G15" s="21">
        <f t="shared" si="0"/>
        <v>4.5</v>
      </c>
    </row>
    <row r="16" spans="1:7" ht="15" customHeight="1" x14ac:dyDescent="0.25">
      <c r="A16" s="1928" t="s">
        <v>1855</v>
      </c>
      <c r="B16" s="19" t="s">
        <v>33</v>
      </c>
      <c r="C16" s="1920"/>
      <c r="D16" s="821">
        <v>2</v>
      </c>
      <c r="E16" s="814">
        <v>0</v>
      </c>
      <c r="F16" s="630">
        <f>IF(F$3=1,12,0)</f>
        <v>0</v>
      </c>
      <c r="G16" s="21">
        <f t="shared" si="0"/>
        <v>2</v>
      </c>
    </row>
    <row r="17" spans="1:7" ht="15" customHeight="1" thickBot="1" x14ac:dyDescent="0.3">
      <c r="A17" s="1929"/>
      <c r="B17" s="19" t="s">
        <v>34</v>
      </c>
      <c r="C17" s="1920"/>
      <c r="D17" s="807">
        <v>4</v>
      </c>
      <c r="E17" s="814">
        <v>0</v>
      </c>
      <c r="F17" s="630">
        <f>IF(F$3=1,20,0)</f>
        <v>0</v>
      </c>
      <c r="G17" s="21">
        <f t="shared" si="0"/>
        <v>4</v>
      </c>
    </row>
    <row r="18" spans="1:7" ht="15" customHeight="1" x14ac:dyDescent="0.25">
      <c r="A18" s="1928" t="s">
        <v>8</v>
      </c>
      <c r="B18" s="19" t="s">
        <v>33</v>
      </c>
      <c r="C18" s="1920"/>
      <c r="D18" s="821">
        <v>4</v>
      </c>
      <c r="E18" s="478">
        <f>IF(E$3&gt;1,E$3*0.5,0.5)</f>
        <v>0.5</v>
      </c>
      <c r="F18" s="630">
        <f>IF(F$3=1,12,0)</f>
        <v>0</v>
      </c>
      <c r="G18" s="21">
        <f t="shared" si="0"/>
        <v>4.5</v>
      </c>
    </row>
    <row r="19" spans="1:7" ht="15" customHeight="1" thickBot="1" x14ac:dyDescent="0.3">
      <c r="A19" s="1929"/>
      <c r="B19" s="19" t="s">
        <v>34</v>
      </c>
      <c r="C19" s="1920"/>
      <c r="D19" s="807">
        <v>6</v>
      </c>
      <c r="E19" s="478">
        <f>IF(E$3&gt;1,E$3*0.5,0.5)</f>
        <v>0.5</v>
      </c>
      <c r="F19" s="630">
        <f>IF(F$3=1,20,0)</f>
        <v>0</v>
      </c>
      <c r="G19" s="21">
        <f t="shared" si="0"/>
        <v>6.5</v>
      </c>
    </row>
    <row r="20" spans="1:7" ht="15" customHeight="1" x14ac:dyDescent="0.25">
      <c r="A20" s="1928" t="s">
        <v>9</v>
      </c>
      <c r="B20" s="19" t="s">
        <v>33</v>
      </c>
      <c r="C20" s="1920"/>
      <c r="D20" s="501">
        <v>1</v>
      </c>
      <c r="E20" s="814">
        <v>0</v>
      </c>
      <c r="F20" s="630">
        <f>IF(F$3=1,4,0)</f>
        <v>0</v>
      </c>
      <c r="G20" s="21">
        <f t="shared" si="0"/>
        <v>1</v>
      </c>
    </row>
    <row r="21" spans="1:7" ht="15" customHeight="1" thickBot="1" x14ac:dyDescent="0.3">
      <c r="A21" s="1929"/>
      <c r="B21" s="19" t="s">
        <v>34</v>
      </c>
      <c r="C21" s="1920"/>
      <c r="D21" s="501">
        <v>2</v>
      </c>
      <c r="E21" s="814">
        <v>0</v>
      </c>
      <c r="F21" s="630">
        <f>IF(F$3=1,6,0)</f>
        <v>0</v>
      </c>
      <c r="G21" s="21">
        <f t="shared" si="0"/>
        <v>2</v>
      </c>
    </row>
    <row r="22" spans="1:7" ht="15" customHeight="1" x14ac:dyDescent="0.25">
      <c r="A22" s="1936" t="s">
        <v>10</v>
      </c>
      <c r="B22" s="19" t="s">
        <v>33</v>
      </c>
      <c r="C22" s="1920"/>
      <c r="D22" s="625">
        <v>2</v>
      </c>
      <c r="E22" s="478">
        <f>IF(E$3&gt;1,E$3*0.5,0.5)</f>
        <v>0.5</v>
      </c>
      <c r="F22" s="630">
        <f>IF(F$3=1,4,0)</f>
        <v>0</v>
      </c>
      <c r="G22" s="21">
        <f t="shared" si="0"/>
        <v>2.5</v>
      </c>
    </row>
    <row r="23" spans="1:7" ht="15.75" customHeight="1" thickBot="1" x14ac:dyDescent="0.3">
      <c r="A23" s="1939"/>
      <c r="B23" s="13" t="s">
        <v>34</v>
      </c>
      <c r="C23" s="1921"/>
      <c r="D23" s="626">
        <v>4</v>
      </c>
      <c r="E23" s="478">
        <f>IF(E$3&gt;1,E$3*0.5,0.5)</f>
        <v>0.5</v>
      </c>
      <c r="F23" s="630">
        <f>IF(F$3=1,6,0)</f>
        <v>0</v>
      </c>
      <c r="G23" s="77">
        <f t="shared" si="0"/>
        <v>4.5</v>
      </c>
    </row>
    <row r="24" spans="1:7" ht="15" customHeight="1" x14ac:dyDescent="0.25">
      <c r="A24" s="1940" t="s">
        <v>12</v>
      </c>
      <c r="B24" s="19" t="s">
        <v>33</v>
      </c>
      <c r="C24" s="1920" t="s">
        <v>11</v>
      </c>
      <c r="D24" s="615">
        <v>8</v>
      </c>
      <c r="E24" s="478">
        <f>IF(E$3&gt;1,E$3*0.5,0.5)</f>
        <v>0.5</v>
      </c>
      <c r="F24" s="630">
        <f>IF(F$3=1,16,0)</f>
        <v>0</v>
      </c>
      <c r="G24" s="21" t="e">
        <f t="shared" si="0"/>
        <v>#VALUE!</v>
      </c>
    </row>
    <row r="25" spans="1:7" ht="15.75" customHeight="1" thickBot="1" x14ac:dyDescent="0.3">
      <c r="A25" s="1940"/>
      <c r="B25" s="13" t="s">
        <v>34</v>
      </c>
      <c r="C25" s="1921"/>
      <c r="D25" s="673">
        <v>12</v>
      </c>
      <c r="E25" s="478">
        <f>IF(E$3&gt;1,E$3*0.5,0.5)</f>
        <v>0.5</v>
      </c>
      <c r="F25" s="630">
        <f>IF(F$3=1,24,0)</f>
        <v>0</v>
      </c>
      <c r="G25" s="77">
        <f t="shared" si="0"/>
        <v>12.5</v>
      </c>
    </row>
    <row r="26" spans="1:7" ht="15" customHeight="1" x14ac:dyDescent="0.25">
      <c r="A26" s="1937" t="s">
        <v>558</v>
      </c>
      <c r="B26" s="19" t="s">
        <v>33</v>
      </c>
      <c r="C26" s="1920" t="s">
        <v>13</v>
      </c>
      <c r="D26" s="493">
        <f>IF(D$3&gt;0,0.25*D$3+1,1)</f>
        <v>1</v>
      </c>
      <c r="E26" s="478">
        <f>IF(E$3&gt;1,E$3*0.25,0.25)</f>
        <v>0.25</v>
      </c>
      <c r="F26" s="814">
        <v>0</v>
      </c>
      <c r="G26" s="21" t="e">
        <f t="shared" si="0"/>
        <v>#VALUE!</v>
      </c>
    </row>
    <row r="27" spans="1:7" ht="15" customHeight="1" thickBot="1" x14ac:dyDescent="0.3">
      <c r="A27" s="1938"/>
      <c r="B27" s="19" t="s">
        <v>34</v>
      </c>
      <c r="C27" s="1920"/>
      <c r="D27" s="493">
        <f>IF(D$3&gt;0,0.25*D$3+1,1)</f>
        <v>1</v>
      </c>
      <c r="E27" s="478">
        <f>IF(E$3&gt;1,E$3*0.25,0.25)</f>
        <v>0.25</v>
      </c>
      <c r="F27" s="814">
        <v>0</v>
      </c>
      <c r="G27" s="21">
        <f t="shared" si="0"/>
        <v>1.25</v>
      </c>
    </row>
    <row r="28" spans="1:7" ht="15" customHeight="1" x14ac:dyDescent="0.25">
      <c r="A28" s="1934" t="s">
        <v>15</v>
      </c>
      <c r="B28" s="19" t="s">
        <v>33</v>
      </c>
      <c r="C28" s="1920"/>
      <c r="D28" s="821">
        <v>6</v>
      </c>
      <c r="E28" s="478">
        <f t="shared" ref="E28:E29" si="1">IF(E$3&gt;1,E$3*0.5,0.5)</f>
        <v>0.5</v>
      </c>
      <c r="F28" s="630">
        <f>IF(F$3=1,6,0)</f>
        <v>0</v>
      </c>
      <c r="G28" s="21">
        <f t="shared" si="0"/>
        <v>6.5</v>
      </c>
    </row>
    <row r="29" spans="1:7" ht="15" customHeight="1" thickBot="1" x14ac:dyDescent="0.3">
      <c r="A29" s="1935"/>
      <c r="B29" s="19" t="s">
        <v>34</v>
      </c>
      <c r="C29" s="1920"/>
      <c r="D29" s="821">
        <v>10</v>
      </c>
      <c r="E29" s="478">
        <f t="shared" si="1"/>
        <v>0.5</v>
      </c>
      <c r="F29" s="630">
        <f>IF(F$3=1,6,0)</f>
        <v>0</v>
      </c>
      <c r="G29" s="21">
        <f t="shared" si="0"/>
        <v>10.5</v>
      </c>
    </row>
    <row r="30" spans="1:7" ht="15" customHeight="1" x14ac:dyDescent="0.25">
      <c r="A30" s="1934" t="s">
        <v>555</v>
      </c>
      <c r="B30" s="19" t="s">
        <v>33</v>
      </c>
      <c r="C30" s="1920"/>
      <c r="D30" s="478">
        <f>IF(D$3&gt;1,D$3*0.5,0.5)</f>
        <v>0.5</v>
      </c>
      <c r="E30" s="486"/>
      <c r="F30" s="630">
        <f>IF(F$3=1,1,0)</f>
        <v>0</v>
      </c>
      <c r="G30" s="21">
        <f t="shared" si="0"/>
        <v>0.5</v>
      </c>
    </row>
    <row r="31" spans="1:7" ht="15" customHeight="1" thickBot="1" x14ac:dyDescent="0.3">
      <c r="A31" s="1935"/>
      <c r="B31" s="19" t="s">
        <v>34</v>
      </c>
      <c r="C31" s="1920"/>
      <c r="D31" s="478">
        <f>IF(D$3&gt;1,D$3*0.5,0.5)</f>
        <v>0.5</v>
      </c>
      <c r="E31" s="486"/>
      <c r="F31" s="630">
        <f>IF(F$3=1,1,0)</f>
        <v>0</v>
      </c>
      <c r="G31" s="21">
        <f t="shared" si="0"/>
        <v>0.5</v>
      </c>
    </row>
    <row r="32" spans="1:7" ht="15" customHeight="1" x14ac:dyDescent="0.25">
      <c r="A32" s="1934" t="s">
        <v>556</v>
      </c>
      <c r="B32" s="19" t="s">
        <v>33</v>
      </c>
      <c r="C32" s="1920"/>
      <c r="D32" s="478">
        <f>IF(D$3&gt;1,D$3*0.5,0.5)</f>
        <v>0.5</v>
      </c>
      <c r="E32" s="486"/>
      <c r="F32" s="630">
        <f>IF(F$3=1,1,0)</f>
        <v>0</v>
      </c>
      <c r="G32" s="21">
        <f t="shared" si="0"/>
        <v>0.5</v>
      </c>
    </row>
    <row r="33" spans="1:7" ht="15" customHeight="1" thickBot="1" x14ac:dyDescent="0.3">
      <c r="A33" s="1935"/>
      <c r="B33" s="19" t="s">
        <v>34</v>
      </c>
      <c r="C33" s="1920"/>
      <c r="D33" s="478">
        <f>IF(D$3&gt;1,D$3*0.5,0.5)</f>
        <v>0.5</v>
      </c>
      <c r="E33" s="486"/>
      <c r="F33" s="630">
        <f>IF(F$3=1,1,0)</f>
        <v>0</v>
      </c>
      <c r="G33" s="21">
        <f t="shared" si="0"/>
        <v>0.5</v>
      </c>
    </row>
    <row r="34" spans="1:7" ht="15" customHeight="1" x14ac:dyDescent="0.25">
      <c r="A34" s="1934" t="s">
        <v>557</v>
      </c>
      <c r="B34" s="19" t="s">
        <v>33</v>
      </c>
      <c r="C34" s="1920"/>
      <c r="D34" s="476">
        <f>IF(D$3&gt;0,D$3*0.25,0.25)</f>
        <v>0.25</v>
      </c>
      <c r="E34" s="616">
        <v>0</v>
      </c>
      <c r="F34" s="630">
        <f>IF(F$3=1,1,0)</f>
        <v>0</v>
      </c>
      <c r="G34" s="21">
        <f t="shared" si="0"/>
        <v>0.25</v>
      </c>
    </row>
    <row r="35" spans="1:7" ht="15" customHeight="1" thickBot="1" x14ac:dyDescent="0.3">
      <c r="A35" s="1935"/>
      <c r="B35" s="19" t="s">
        <v>34</v>
      </c>
      <c r="C35" s="1920"/>
      <c r="D35" s="476">
        <f>IF(D$3&gt;0,D$3*0.25,0.25)</f>
        <v>0.25</v>
      </c>
      <c r="E35" s="616">
        <v>0</v>
      </c>
      <c r="F35" s="630">
        <f>IF(F$3=1,1,0)</f>
        <v>0</v>
      </c>
      <c r="G35" s="21">
        <f t="shared" si="0"/>
        <v>0.25</v>
      </c>
    </row>
    <row r="36" spans="1:7" ht="15" customHeight="1" x14ac:dyDescent="0.25">
      <c r="A36" s="1934" t="s">
        <v>19</v>
      </c>
      <c r="B36" s="19" t="s">
        <v>33</v>
      </c>
      <c r="C36" s="1920"/>
      <c r="D36" s="821">
        <v>4</v>
      </c>
      <c r="E36" s="478">
        <f t="shared" ref="E36:E39" si="2">IF(E$3&gt;1,E$3*0.5,0.5)</f>
        <v>0.5</v>
      </c>
      <c r="F36" s="630">
        <f>IF(F$3=1,16,0)</f>
        <v>0</v>
      </c>
      <c r="G36" s="21">
        <f t="shared" si="0"/>
        <v>4.5</v>
      </c>
    </row>
    <row r="37" spans="1:7" ht="15" customHeight="1" thickBot="1" x14ac:dyDescent="0.3">
      <c r="A37" s="1935"/>
      <c r="B37" s="19" t="s">
        <v>34</v>
      </c>
      <c r="C37" s="1920"/>
      <c r="D37" s="821">
        <v>6</v>
      </c>
      <c r="E37" s="478">
        <f t="shared" si="2"/>
        <v>0.5</v>
      </c>
      <c r="F37" s="630">
        <f>IF(F$3=1,32,0)</f>
        <v>0</v>
      </c>
      <c r="G37" s="21">
        <f t="shared" si="0"/>
        <v>6.5</v>
      </c>
    </row>
    <row r="38" spans="1:7" ht="15" customHeight="1" x14ac:dyDescent="0.25">
      <c r="A38" s="1934" t="s">
        <v>20</v>
      </c>
      <c r="B38" s="19" t="s">
        <v>33</v>
      </c>
      <c r="C38" s="1920"/>
      <c r="D38" s="625">
        <v>4</v>
      </c>
      <c r="E38" s="478">
        <f t="shared" si="2"/>
        <v>0.5</v>
      </c>
      <c r="F38" s="630">
        <f>IF(F$3=1,4,0)</f>
        <v>0</v>
      </c>
      <c r="G38" s="21">
        <f t="shared" si="0"/>
        <v>4.5</v>
      </c>
    </row>
    <row r="39" spans="1:7" ht="15" customHeight="1" thickBot="1" x14ac:dyDescent="0.3">
      <c r="A39" s="1935"/>
      <c r="B39" s="19" t="s">
        <v>34</v>
      </c>
      <c r="C39" s="1920"/>
      <c r="D39" s="625">
        <v>6</v>
      </c>
      <c r="E39" s="478">
        <f t="shared" si="2"/>
        <v>0.5</v>
      </c>
      <c r="F39" s="630">
        <f>IF(F$3=1,8,0)</f>
        <v>0</v>
      </c>
      <c r="G39" s="21">
        <f t="shared" si="0"/>
        <v>6.5</v>
      </c>
    </row>
    <row r="40" spans="1:7" ht="15" customHeight="1" x14ac:dyDescent="0.25">
      <c r="A40" s="1934" t="s">
        <v>451</v>
      </c>
      <c r="B40" s="19" t="s">
        <v>33</v>
      </c>
      <c r="C40" s="1920"/>
      <c r="D40" s="482" t="s">
        <v>1770</v>
      </c>
      <c r="E40" s="482" t="s">
        <v>1770</v>
      </c>
      <c r="F40" s="482" t="s">
        <v>1770</v>
      </c>
      <c r="G40" s="21">
        <f t="shared" si="0"/>
        <v>0</v>
      </c>
    </row>
    <row r="41" spans="1:7" ht="15" customHeight="1" thickBot="1" x14ac:dyDescent="0.3">
      <c r="A41" s="1935"/>
      <c r="B41" s="19" t="s">
        <v>34</v>
      </c>
      <c r="C41" s="1920"/>
      <c r="D41" s="482" t="s">
        <v>1770</v>
      </c>
      <c r="E41" s="482" t="s">
        <v>1770</v>
      </c>
      <c r="F41" s="482" t="s">
        <v>1770</v>
      </c>
      <c r="G41" s="21">
        <f t="shared" si="0"/>
        <v>0</v>
      </c>
    </row>
    <row r="42" spans="1:7" ht="15" customHeight="1" x14ac:dyDescent="0.25">
      <c r="A42" s="1934" t="s">
        <v>452</v>
      </c>
      <c r="B42" s="19" t="s">
        <v>33</v>
      </c>
      <c r="C42" s="1920"/>
      <c r="D42" s="476">
        <f>IF(D$3&gt;0,D$3*0.25,0.25)</f>
        <v>0.25</v>
      </c>
      <c r="E42" s="814">
        <v>0</v>
      </c>
      <c r="F42" s="630">
        <f>IF(F$3=1,1,0)</f>
        <v>0</v>
      </c>
      <c r="G42" s="21">
        <f t="shared" si="0"/>
        <v>0.25</v>
      </c>
    </row>
    <row r="43" spans="1:7" ht="15" customHeight="1" thickBot="1" x14ac:dyDescent="0.3">
      <c r="A43" s="1935"/>
      <c r="B43" s="19" t="s">
        <v>34</v>
      </c>
      <c r="C43" s="1920"/>
      <c r="D43" s="476">
        <f>IF(D$3&gt;0,D$3*0.25,0.25)</f>
        <v>0.25</v>
      </c>
      <c r="E43" s="814">
        <v>0</v>
      </c>
      <c r="F43" s="630">
        <f>IF(F$3=1,1,0)</f>
        <v>0</v>
      </c>
      <c r="G43" s="21">
        <f t="shared" si="0"/>
        <v>0.25</v>
      </c>
    </row>
    <row r="44" spans="1:7" ht="15" customHeight="1" x14ac:dyDescent="0.25">
      <c r="A44" s="1942" t="s">
        <v>533</v>
      </c>
      <c r="B44" s="19" t="s">
        <v>33</v>
      </c>
      <c r="C44" s="1920"/>
      <c r="D44" s="482" t="s">
        <v>1770</v>
      </c>
      <c r="E44" s="482" t="s">
        <v>1770</v>
      </c>
      <c r="F44" s="482" t="s">
        <v>1770</v>
      </c>
      <c r="G44" s="21">
        <f t="shared" si="0"/>
        <v>0</v>
      </c>
    </row>
    <row r="45" spans="1:7" ht="15" customHeight="1" thickBot="1" x14ac:dyDescent="0.3">
      <c r="A45" s="1943"/>
      <c r="B45" s="19" t="s">
        <v>34</v>
      </c>
      <c r="C45" s="1920"/>
      <c r="D45" s="482" t="s">
        <v>1770</v>
      </c>
      <c r="E45" s="482" t="s">
        <v>1770</v>
      </c>
      <c r="F45" s="482" t="s">
        <v>1770</v>
      </c>
      <c r="G45" s="21">
        <f t="shared" si="0"/>
        <v>0</v>
      </c>
    </row>
    <row r="46" spans="1:7" ht="15" customHeight="1" x14ac:dyDescent="0.25">
      <c r="A46" s="1934" t="s">
        <v>534</v>
      </c>
      <c r="B46" s="19" t="s">
        <v>33</v>
      </c>
      <c r="C46" s="1920"/>
      <c r="D46" s="482" t="s">
        <v>1770</v>
      </c>
      <c r="E46" s="482" t="s">
        <v>1770</v>
      </c>
      <c r="F46" s="482" t="s">
        <v>1770</v>
      </c>
      <c r="G46" s="21">
        <f t="shared" si="0"/>
        <v>0</v>
      </c>
    </row>
    <row r="47" spans="1:7" ht="15" customHeight="1" thickBot="1" x14ac:dyDescent="0.3">
      <c r="A47" s="1935"/>
      <c r="B47" s="19" t="s">
        <v>34</v>
      </c>
      <c r="C47" s="1920"/>
      <c r="D47" s="482" t="s">
        <v>1770</v>
      </c>
      <c r="E47" s="482" t="s">
        <v>1770</v>
      </c>
      <c r="F47" s="482" t="s">
        <v>1770</v>
      </c>
      <c r="G47" s="21">
        <f t="shared" si="0"/>
        <v>0</v>
      </c>
    </row>
    <row r="48" spans="1:7" ht="15" customHeight="1" x14ac:dyDescent="0.25">
      <c r="A48" s="1934" t="s">
        <v>21</v>
      </c>
      <c r="B48" s="19" t="s">
        <v>33</v>
      </c>
      <c r="C48" s="1920"/>
      <c r="D48" s="38" t="s">
        <v>90</v>
      </c>
      <c r="E48" s="38" t="s">
        <v>90</v>
      </c>
      <c r="F48" s="38" t="s">
        <v>90</v>
      </c>
      <c r="G48" s="21">
        <f t="shared" si="0"/>
        <v>0</v>
      </c>
    </row>
    <row r="49" spans="1:7" ht="15" customHeight="1" thickBot="1" x14ac:dyDescent="0.3">
      <c r="A49" s="1935"/>
      <c r="B49" s="13" t="s">
        <v>34</v>
      </c>
      <c r="C49" s="1920"/>
      <c r="D49" s="38" t="s">
        <v>90</v>
      </c>
      <c r="E49" s="38" t="s">
        <v>90</v>
      </c>
      <c r="F49" s="38" t="s">
        <v>90</v>
      </c>
      <c r="G49" s="21">
        <f t="shared" si="0"/>
        <v>0</v>
      </c>
    </row>
    <row r="50" spans="1:7" ht="15" customHeight="1" x14ac:dyDescent="0.25">
      <c r="A50" s="1934" t="s">
        <v>181</v>
      </c>
      <c r="B50" s="19" t="s">
        <v>33</v>
      </c>
      <c r="C50" s="1920"/>
      <c r="D50" s="476">
        <f>IF(D$3&gt;1,D$3*0.5,0.5)</f>
        <v>0.5</v>
      </c>
      <c r="E50" s="486">
        <v>1</v>
      </c>
      <c r="F50" s="630">
        <f>IF(F$3=1,1,0)</f>
        <v>0</v>
      </c>
      <c r="G50" s="21">
        <f t="shared" si="0"/>
        <v>1.5</v>
      </c>
    </row>
    <row r="51" spans="1:7" ht="15" customHeight="1" thickBot="1" x14ac:dyDescent="0.3">
      <c r="A51" s="1935"/>
      <c r="B51" s="19" t="s">
        <v>34</v>
      </c>
      <c r="C51" s="1920"/>
      <c r="D51" s="476">
        <f>IF(D$3&gt;1,D$3*0.5,0.5)</f>
        <v>0.5</v>
      </c>
      <c r="E51" s="486">
        <v>1</v>
      </c>
      <c r="F51" s="630">
        <f>IF(F$3=1,1,0)</f>
        <v>0</v>
      </c>
      <c r="G51" s="21">
        <f t="shared" si="0"/>
        <v>1.5</v>
      </c>
    </row>
    <row r="52" spans="1:7" ht="15" customHeight="1" x14ac:dyDescent="0.25">
      <c r="A52" s="1934" t="s">
        <v>182</v>
      </c>
      <c r="B52" s="19" t="s">
        <v>33</v>
      </c>
      <c r="C52" s="1920"/>
      <c r="D52" s="476">
        <f>IF(D$3&gt;1,D$3*0.5,0.5)</f>
        <v>0.5</v>
      </c>
      <c r="E52" s="486"/>
      <c r="F52" s="630">
        <f>IF(F$3=1,1,0)</f>
        <v>0</v>
      </c>
      <c r="G52" s="21">
        <f t="shared" si="0"/>
        <v>0.5</v>
      </c>
    </row>
    <row r="53" spans="1:7" ht="15" customHeight="1" thickBot="1" x14ac:dyDescent="0.3">
      <c r="A53" s="1935"/>
      <c r="B53" s="19" t="s">
        <v>34</v>
      </c>
      <c r="C53" s="1920"/>
      <c r="D53" s="476">
        <f>IF(D$3&gt;1,D$3*0.5,0.5)</f>
        <v>0.5</v>
      </c>
      <c r="E53" s="486"/>
      <c r="F53" s="630">
        <f>IF(F$3=1,1,0)</f>
        <v>0</v>
      </c>
      <c r="G53" s="21">
        <f t="shared" si="0"/>
        <v>0.5</v>
      </c>
    </row>
    <row r="54" spans="1:7" ht="15" customHeight="1" x14ac:dyDescent="0.25">
      <c r="A54" s="1941" t="s">
        <v>183</v>
      </c>
      <c r="B54" s="19" t="s">
        <v>33</v>
      </c>
      <c r="C54" s="1920"/>
      <c r="D54" s="476">
        <f>IF(D$3&gt;0,D$3*0.25,0.25)</f>
        <v>0.25</v>
      </c>
      <c r="E54" s="486"/>
      <c r="F54" s="630">
        <f>IF(F$3=1,1,0)</f>
        <v>0</v>
      </c>
      <c r="G54" s="21">
        <f t="shared" si="0"/>
        <v>0.25</v>
      </c>
    </row>
    <row r="55" spans="1:7" ht="15.75" customHeight="1" thickBot="1" x14ac:dyDescent="0.3">
      <c r="A55" s="1941"/>
      <c r="B55" s="13" t="s">
        <v>34</v>
      </c>
      <c r="C55" s="1921"/>
      <c r="D55" s="476">
        <f>IF(D$3&gt;0,D$3*0.25,0.25)</f>
        <v>0.25</v>
      </c>
      <c r="E55" s="486"/>
      <c r="F55" s="630">
        <f>IF(F$3=1,1,0)</f>
        <v>0</v>
      </c>
      <c r="G55" s="77">
        <f t="shared" si="0"/>
        <v>0.25</v>
      </c>
    </row>
    <row r="56" spans="1:7" ht="15" customHeight="1" x14ac:dyDescent="0.25">
      <c r="A56" s="1937" t="s">
        <v>23</v>
      </c>
      <c r="B56" s="19" t="s">
        <v>33</v>
      </c>
      <c r="C56" s="1920" t="s">
        <v>22</v>
      </c>
      <c r="D56" s="482" t="s">
        <v>1770</v>
      </c>
      <c r="E56" s="482" t="s">
        <v>1770</v>
      </c>
      <c r="F56" s="482" t="s">
        <v>1770</v>
      </c>
      <c r="G56" s="21" t="e">
        <f t="shared" si="0"/>
        <v>#VALUE!</v>
      </c>
    </row>
    <row r="57" spans="1:7" ht="15" customHeight="1" thickBot="1" x14ac:dyDescent="0.3">
      <c r="A57" s="1938"/>
      <c r="B57" s="19" t="s">
        <v>34</v>
      </c>
      <c r="C57" s="1920"/>
      <c r="D57" s="482" t="s">
        <v>1770</v>
      </c>
      <c r="E57" s="482" t="s">
        <v>1770</v>
      </c>
      <c r="F57" s="482" t="s">
        <v>1770</v>
      </c>
      <c r="G57" s="21">
        <f t="shared" si="0"/>
        <v>0</v>
      </c>
    </row>
    <row r="58" spans="1:7" ht="15" customHeight="1" x14ac:dyDescent="0.25">
      <c r="A58" s="1934" t="s">
        <v>24</v>
      </c>
      <c r="B58" s="19" t="s">
        <v>33</v>
      </c>
      <c r="C58" s="1920"/>
      <c r="D58" s="821">
        <v>4</v>
      </c>
      <c r="E58" s="478">
        <f t="shared" ref="E58:E61" si="3">IF(E$3&gt;1,E$3*0.5,0.5)</f>
        <v>0.5</v>
      </c>
      <c r="F58" s="630">
        <f>IF(F$3=1,10,0)</f>
        <v>0</v>
      </c>
      <c r="G58" s="21">
        <f t="shared" si="0"/>
        <v>4.5</v>
      </c>
    </row>
    <row r="59" spans="1:7" ht="15" customHeight="1" thickBot="1" x14ac:dyDescent="0.3">
      <c r="A59" s="1935"/>
      <c r="B59" s="19" t="s">
        <v>34</v>
      </c>
      <c r="C59" s="1920"/>
      <c r="D59" s="821">
        <v>6</v>
      </c>
      <c r="E59" s="478">
        <f t="shared" si="3"/>
        <v>0.5</v>
      </c>
      <c r="F59" s="630">
        <f>IF(F$3=1,16,0)</f>
        <v>0</v>
      </c>
      <c r="G59" s="21">
        <f t="shared" si="0"/>
        <v>6.5</v>
      </c>
    </row>
    <row r="60" spans="1:7" ht="15" customHeight="1" x14ac:dyDescent="0.25">
      <c r="A60" s="1934" t="s">
        <v>25</v>
      </c>
      <c r="B60" s="19" t="s">
        <v>33</v>
      </c>
      <c r="C60" s="1920"/>
      <c r="D60" s="821">
        <v>4</v>
      </c>
      <c r="E60" s="478">
        <f t="shared" si="3"/>
        <v>0.5</v>
      </c>
      <c r="F60" s="630">
        <f>IF(F$3=1,10,0)</f>
        <v>0</v>
      </c>
      <c r="G60" s="21">
        <f t="shared" ref="G60:G67" si="4" xml:space="preserve"> SUM(D60:F60) + $C60</f>
        <v>4.5</v>
      </c>
    </row>
    <row r="61" spans="1:7" ht="15" customHeight="1" thickBot="1" x14ac:dyDescent="0.3">
      <c r="A61" s="1935"/>
      <c r="B61" s="19" t="s">
        <v>34</v>
      </c>
      <c r="C61" s="1920"/>
      <c r="D61" s="821">
        <v>6</v>
      </c>
      <c r="E61" s="478">
        <f t="shared" si="3"/>
        <v>0.5</v>
      </c>
      <c r="F61" s="630">
        <f>IF(F$3=1,16,0)</f>
        <v>0</v>
      </c>
      <c r="G61" s="21">
        <f t="shared" si="4"/>
        <v>6.5</v>
      </c>
    </row>
    <row r="62" spans="1:7" ht="15" customHeight="1" x14ac:dyDescent="0.25">
      <c r="A62" s="1934" t="s">
        <v>26</v>
      </c>
      <c r="B62" s="19" t="s">
        <v>33</v>
      </c>
      <c r="C62" s="1920"/>
      <c r="D62" s="501">
        <v>2</v>
      </c>
      <c r="E62" s="819">
        <v>0</v>
      </c>
      <c r="F62" s="630">
        <f>IF(F$3=1,10,0)</f>
        <v>0</v>
      </c>
      <c r="G62" s="21">
        <f t="shared" si="4"/>
        <v>2</v>
      </c>
    </row>
    <row r="63" spans="1:7" ht="15" customHeight="1" thickBot="1" x14ac:dyDescent="0.3">
      <c r="A63" s="1935"/>
      <c r="B63" s="19" t="s">
        <v>34</v>
      </c>
      <c r="C63" s="1920"/>
      <c r="D63" s="501">
        <v>4</v>
      </c>
      <c r="E63" s="819">
        <v>0</v>
      </c>
      <c r="F63" s="630">
        <f>IF(F$3=1,16,0)</f>
        <v>0</v>
      </c>
      <c r="G63" s="21">
        <f t="shared" si="4"/>
        <v>4</v>
      </c>
    </row>
    <row r="64" spans="1:7" ht="15" customHeight="1" x14ac:dyDescent="0.25">
      <c r="A64" s="1934" t="s">
        <v>27</v>
      </c>
      <c r="B64" s="19" t="s">
        <v>33</v>
      </c>
      <c r="C64" s="1920"/>
      <c r="D64" s="478">
        <f>IF(D$3&gt;1,D$3*0.25,0.25)</f>
        <v>0.25</v>
      </c>
      <c r="E64" s="501">
        <v>2</v>
      </c>
      <c r="F64" s="630">
        <f>IF(F$3=1,10,0)</f>
        <v>0</v>
      </c>
      <c r="G64" s="21">
        <f t="shared" si="4"/>
        <v>2.25</v>
      </c>
    </row>
    <row r="65" spans="1:7" ht="15" customHeight="1" thickBot="1" x14ac:dyDescent="0.3">
      <c r="A65" s="1935"/>
      <c r="B65" s="19" t="s">
        <v>34</v>
      </c>
      <c r="C65" s="1920"/>
      <c r="D65" s="478">
        <f>IF(D$3&gt;1,D$3*0.25,0.25)</f>
        <v>0.25</v>
      </c>
      <c r="E65" s="501">
        <v>4</v>
      </c>
      <c r="F65" s="630">
        <f>IF(F$3=1,16,0)</f>
        <v>0</v>
      </c>
      <c r="G65" s="21">
        <f t="shared" si="4"/>
        <v>4.25</v>
      </c>
    </row>
    <row r="66" spans="1:7" ht="15" customHeight="1" x14ac:dyDescent="0.25">
      <c r="A66" s="1940" t="s">
        <v>28</v>
      </c>
      <c r="B66" s="19" t="s">
        <v>33</v>
      </c>
      <c r="C66" s="1920"/>
      <c r="D66" s="482">
        <v>2</v>
      </c>
      <c r="E66" s="482">
        <v>0</v>
      </c>
      <c r="F66" s="630">
        <f>IF(F$3=1,10,0)</f>
        <v>0</v>
      </c>
      <c r="G66" s="21">
        <f t="shared" si="4"/>
        <v>2</v>
      </c>
    </row>
    <row r="67" spans="1:7" ht="15.75" customHeight="1" thickBot="1" x14ac:dyDescent="0.3">
      <c r="A67" s="1938"/>
      <c r="B67" s="20" t="s">
        <v>34</v>
      </c>
      <c r="C67" s="1921"/>
      <c r="D67" s="507">
        <v>4</v>
      </c>
      <c r="E67" s="491">
        <v>0</v>
      </c>
      <c r="F67" s="1694">
        <f>IF(F$3=1,16,0)</f>
        <v>0</v>
      </c>
      <c r="G67" s="24">
        <f t="shared" si="4"/>
        <v>4</v>
      </c>
    </row>
    <row r="68" spans="1:7" x14ac:dyDescent="0.25">
      <c r="A68" s="1758"/>
      <c r="B68" s="1758"/>
      <c r="C68" s="1758"/>
      <c r="D68" s="1758"/>
      <c r="E68" s="1758"/>
      <c r="F68" s="1758"/>
    </row>
    <row r="69" spans="1:7" ht="15.75" x14ac:dyDescent="0.25">
      <c r="A69" s="1690" t="s">
        <v>1705</v>
      </c>
      <c r="B69" s="1690" t="s">
        <v>1706</v>
      </c>
      <c r="C69" s="1758"/>
      <c r="D69" s="1695"/>
      <c r="E69" s="1758" t="s">
        <v>1707</v>
      </c>
      <c r="F69" s="1758"/>
    </row>
    <row r="70" spans="1:7" ht="135" x14ac:dyDescent="0.25">
      <c r="A70" s="1757" t="s">
        <v>1846</v>
      </c>
      <c r="B70" s="1757" t="s">
        <v>1848</v>
      </c>
      <c r="C70" s="1758"/>
      <c r="D70" s="1758"/>
      <c r="E70" s="1758"/>
      <c r="F70" s="1758"/>
    </row>
    <row r="71" spans="1:7" ht="60" x14ac:dyDescent="0.25">
      <c r="A71" s="1757" t="s">
        <v>1849</v>
      </c>
      <c r="B71" s="1757" t="s">
        <v>1850</v>
      </c>
      <c r="C71" s="1758"/>
      <c r="D71" s="1758"/>
      <c r="E71" s="1758"/>
      <c r="F71" s="1758"/>
    </row>
    <row r="72" spans="1:7" ht="60" x14ac:dyDescent="0.25">
      <c r="A72" s="1691" t="s">
        <v>1851</v>
      </c>
      <c r="B72" s="1691" t="s">
        <v>1812</v>
      </c>
      <c r="C72" s="1758"/>
      <c r="D72" s="1758"/>
      <c r="E72" s="1758"/>
      <c r="F72" s="1758"/>
    </row>
    <row r="73" spans="1:7" x14ac:dyDescent="0.25">
      <c r="A73" s="1758"/>
      <c r="B73" s="1758"/>
      <c r="C73" s="1758"/>
      <c r="D73" s="1758"/>
      <c r="E73" s="1758"/>
      <c r="F73" s="1758"/>
    </row>
    <row r="74" spans="1:7" x14ac:dyDescent="0.25">
      <c r="A74" s="1692" t="s">
        <v>89</v>
      </c>
      <c r="B74" s="1758"/>
      <c r="C74" s="1758"/>
      <c r="D74" s="1758"/>
      <c r="E74" s="1758"/>
      <c r="F74" s="1758"/>
    </row>
    <row r="75" spans="1:7" ht="15.75" x14ac:dyDescent="0.25">
      <c r="A75" s="2311" t="e">
        <f>#REF!</f>
        <v>#REF!</v>
      </c>
      <c r="B75" s="2312"/>
      <c r="C75" s="1758"/>
      <c r="D75" s="1693" t="s">
        <v>66</v>
      </c>
      <c r="E75" s="1693" t="s">
        <v>65</v>
      </c>
      <c r="F75" s="1693" t="s">
        <v>64</v>
      </c>
    </row>
    <row r="76" spans="1:7" x14ac:dyDescent="0.25">
      <c r="A76" s="132" t="s">
        <v>1709</v>
      </c>
      <c r="B76" s="905" t="s">
        <v>33</v>
      </c>
      <c r="C76" s="1758"/>
      <c r="D76" s="658"/>
      <c r="E76" s="658" t="s">
        <v>1852</v>
      </c>
      <c r="F76" s="658" t="s">
        <v>1773</v>
      </c>
    </row>
    <row r="77" spans="1:7" x14ac:dyDescent="0.25">
      <c r="A77" s="132" t="s">
        <v>1710</v>
      </c>
      <c r="B77" s="905" t="s">
        <v>34</v>
      </c>
      <c r="C77" s="1758"/>
      <c r="D77" s="658"/>
      <c r="E77" s="658" t="s">
        <v>1852</v>
      </c>
      <c r="F77" s="658" t="s">
        <v>1835</v>
      </c>
    </row>
    <row r="78" spans="1:7" ht="15.75" x14ac:dyDescent="0.25">
      <c r="A78" s="2311" t="e">
        <f>#REF!</f>
        <v>#REF!</v>
      </c>
      <c r="B78" s="2312"/>
      <c r="C78" s="1758"/>
      <c r="D78" s="1693" t="s">
        <v>66</v>
      </c>
      <c r="E78" s="1693" t="s">
        <v>65</v>
      </c>
      <c r="F78" s="1693" t="s">
        <v>64</v>
      </c>
    </row>
    <row r="79" spans="1:7" x14ac:dyDescent="0.25">
      <c r="A79" s="132" t="s">
        <v>1711</v>
      </c>
      <c r="B79" s="905" t="s">
        <v>33</v>
      </c>
      <c r="C79" s="1758"/>
      <c r="D79" s="658"/>
      <c r="E79" s="658" t="s">
        <v>1852</v>
      </c>
      <c r="F79" s="658" t="s">
        <v>1773</v>
      </c>
    </row>
    <row r="80" spans="1:7" x14ac:dyDescent="0.25">
      <c r="A80" s="132" t="s">
        <v>1712</v>
      </c>
      <c r="B80" s="905" t="s">
        <v>34</v>
      </c>
      <c r="C80" s="1758"/>
      <c r="D80" s="658"/>
      <c r="E80" s="658" t="s">
        <v>1852</v>
      </c>
      <c r="F80" s="658" t="s">
        <v>1835</v>
      </c>
    </row>
    <row r="81" spans="1:6" ht="15.75" x14ac:dyDescent="0.25">
      <c r="A81" s="2311" t="e">
        <f>#REF!</f>
        <v>#REF!</v>
      </c>
      <c r="B81" s="2312"/>
      <c r="C81" s="1758"/>
      <c r="D81" s="1693" t="s">
        <v>66</v>
      </c>
      <c r="E81" s="1693" t="s">
        <v>65</v>
      </c>
      <c r="F81" s="1693" t="s">
        <v>64</v>
      </c>
    </row>
    <row r="82" spans="1:6" x14ac:dyDescent="0.25">
      <c r="A82" s="132" t="s">
        <v>1713</v>
      </c>
      <c r="B82" s="905" t="s">
        <v>33</v>
      </c>
      <c r="C82" s="1758"/>
      <c r="D82" s="658"/>
      <c r="E82" s="658" t="s">
        <v>1853</v>
      </c>
      <c r="F82" s="658" t="s">
        <v>1806</v>
      </c>
    </row>
    <row r="83" spans="1:6" x14ac:dyDescent="0.25">
      <c r="A83" s="132" t="s">
        <v>1714</v>
      </c>
      <c r="B83" s="905" t="s">
        <v>34</v>
      </c>
      <c r="C83" s="1758"/>
      <c r="D83" s="658"/>
      <c r="E83" s="658" t="s">
        <v>1853</v>
      </c>
      <c r="F83" s="658" t="s">
        <v>1836</v>
      </c>
    </row>
    <row r="84" spans="1:6" ht="15.75" x14ac:dyDescent="0.25">
      <c r="A84" s="2311" t="e">
        <f>#REF!</f>
        <v>#REF!</v>
      </c>
      <c r="B84" s="2312"/>
      <c r="C84" s="1758"/>
      <c r="D84" s="1693" t="s">
        <v>66</v>
      </c>
      <c r="E84" s="1693" t="s">
        <v>65</v>
      </c>
      <c r="F84" s="1693" t="s">
        <v>64</v>
      </c>
    </row>
    <row r="85" spans="1:6" x14ac:dyDescent="0.25">
      <c r="A85" s="132" t="s">
        <v>1715</v>
      </c>
      <c r="B85" s="905" t="s">
        <v>33</v>
      </c>
      <c r="C85" s="1758"/>
      <c r="D85" s="658" t="s">
        <v>1839</v>
      </c>
      <c r="E85" s="658" t="s">
        <v>1852</v>
      </c>
      <c r="F85" s="658"/>
    </row>
    <row r="86" spans="1:6" x14ac:dyDescent="0.25">
      <c r="A86" s="132" t="s">
        <v>1716</v>
      </c>
      <c r="B86" s="905" t="s">
        <v>34</v>
      </c>
      <c r="C86" s="1758"/>
      <c r="D86" s="658" t="s">
        <v>1839</v>
      </c>
      <c r="E86" s="658" t="s">
        <v>1852</v>
      </c>
      <c r="F86" s="658"/>
    </row>
    <row r="87" spans="1:6" ht="15.75" x14ac:dyDescent="0.25">
      <c r="A87" s="2311" t="e">
        <f>#REF!</f>
        <v>#REF!</v>
      </c>
      <c r="B87" s="2312"/>
      <c r="C87" s="1758"/>
      <c r="D87" s="1693" t="s">
        <v>66</v>
      </c>
      <c r="E87" s="1693" t="s">
        <v>65</v>
      </c>
      <c r="F87" s="1693" t="s">
        <v>64</v>
      </c>
    </row>
    <row r="88" spans="1:6" x14ac:dyDescent="0.25">
      <c r="A88" s="132" t="s">
        <v>1717</v>
      </c>
      <c r="B88" s="905" t="s">
        <v>33</v>
      </c>
      <c r="C88" s="1758"/>
      <c r="D88" s="658"/>
      <c r="E88" s="658" t="s">
        <v>1853</v>
      </c>
      <c r="F88" s="658" t="s">
        <v>1806</v>
      </c>
    </row>
    <row r="89" spans="1:6" x14ac:dyDescent="0.25">
      <c r="A89" s="132" t="s">
        <v>1718</v>
      </c>
      <c r="B89" s="905" t="s">
        <v>34</v>
      </c>
      <c r="C89" s="1758"/>
      <c r="D89" s="658"/>
      <c r="E89" s="658" t="s">
        <v>1853</v>
      </c>
      <c r="F89" s="658" t="s">
        <v>1836</v>
      </c>
    </row>
    <row r="90" spans="1:6" ht="15.75" x14ac:dyDescent="0.25">
      <c r="A90" s="2311" t="e">
        <f>#REF!</f>
        <v>#REF!</v>
      </c>
      <c r="B90" s="2312"/>
      <c r="C90" s="1758"/>
      <c r="D90" s="1693" t="s">
        <v>66</v>
      </c>
      <c r="E90" s="1693" t="s">
        <v>65</v>
      </c>
      <c r="F90" s="1693" t="s">
        <v>64</v>
      </c>
    </row>
    <row r="91" spans="1:6" x14ac:dyDescent="0.25">
      <c r="A91" s="132" t="s">
        <v>1719</v>
      </c>
      <c r="B91" s="905" t="s">
        <v>33</v>
      </c>
      <c r="C91" s="1758"/>
      <c r="D91" s="658"/>
      <c r="E91" s="658"/>
      <c r="F91" s="658" t="s">
        <v>1782</v>
      </c>
    </row>
    <row r="92" spans="1:6" x14ac:dyDescent="0.25">
      <c r="A92" s="132" t="s">
        <v>1720</v>
      </c>
      <c r="B92" s="905" t="s">
        <v>34</v>
      </c>
      <c r="C92" s="1758"/>
      <c r="D92" s="658"/>
      <c r="E92" s="658"/>
      <c r="F92" s="658" t="s">
        <v>1783</v>
      </c>
    </row>
    <row r="93" spans="1:6" ht="15.75" x14ac:dyDescent="0.25">
      <c r="A93" s="2311" t="e">
        <f>#REF!</f>
        <v>#REF!</v>
      </c>
      <c r="B93" s="2312"/>
      <c r="C93" s="1758"/>
      <c r="D93" s="1693" t="s">
        <v>66</v>
      </c>
      <c r="E93" s="1693" t="s">
        <v>65</v>
      </c>
      <c r="F93" s="1693" t="s">
        <v>64</v>
      </c>
    </row>
    <row r="94" spans="1:6" x14ac:dyDescent="0.25">
      <c r="A94" s="132" t="s">
        <v>1721</v>
      </c>
      <c r="B94" s="905" t="s">
        <v>33</v>
      </c>
      <c r="C94" s="1758"/>
      <c r="D94" s="658"/>
      <c r="E94" s="658" t="s">
        <v>1853</v>
      </c>
      <c r="F94" s="658" t="s">
        <v>1784</v>
      </c>
    </row>
    <row r="95" spans="1:6" x14ac:dyDescent="0.25">
      <c r="A95" s="132" t="s">
        <v>1722</v>
      </c>
      <c r="B95" s="905" t="s">
        <v>34</v>
      </c>
      <c r="C95" s="1758"/>
      <c r="D95" s="658"/>
      <c r="E95" s="658" t="s">
        <v>1853</v>
      </c>
      <c r="F95" s="658" t="s">
        <v>1785</v>
      </c>
    </row>
    <row r="96" spans="1:6" ht="15.75" x14ac:dyDescent="0.25">
      <c r="A96" s="2311" t="e">
        <f>#REF!</f>
        <v>#REF!</v>
      </c>
      <c r="B96" s="2312"/>
      <c r="C96" s="1758"/>
      <c r="D96" s="1693" t="s">
        <v>66</v>
      </c>
      <c r="E96" s="1693" t="s">
        <v>65</v>
      </c>
      <c r="F96" s="1693" t="s">
        <v>64</v>
      </c>
    </row>
    <row r="97" spans="1:6" x14ac:dyDescent="0.25">
      <c r="A97" s="132" t="s">
        <v>1723</v>
      </c>
      <c r="B97" s="905" t="s">
        <v>33</v>
      </c>
      <c r="C97" s="1758"/>
      <c r="D97" s="658"/>
      <c r="E97" s="658"/>
      <c r="F97" s="658" t="s">
        <v>1800</v>
      </c>
    </row>
    <row r="98" spans="1:6" x14ac:dyDescent="0.25">
      <c r="A98" s="132" t="s">
        <v>1724</v>
      </c>
      <c r="B98" s="905" t="s">
        <v>34</v>
      </c>
      <c r="C98" s="1758"/>
      <c r="D98" s="658"/>
      <c r="E98" s="658"/>
      <c r="F98" s="658" t="s">
        <v>1803</v>
      </c>
    </row>
    <row r="99" spans="1:6" ht="15.75" x14ac:dyDescent="0.25">
      <c r="A99" s="2311" t="e">
        <f>#REF!</f>
        <v>#REF!</v>
      </c>
      <c r="B99" s="2312"/>
      <c r="C99" s="1758"/>
      <c r="D99" s="1693" t="s">
        <v>66</v>
      </c>
      <c r="E99" s="1693" t="s">
        <v>65</v>
      </c>
      <c r="F99" s="1693" t="s">
        <v>64</v>
      </c>
    </row>
    <row r="100" spans="1:6" x14ac:dyDescent="0.25">
      <c r="A100" s="132" t="s">
        <v>1725</v>
      </c>
      <c r="B100" s="905" t="s">
        <v>33</v>
      </c>
      <c r="C100" s="1758"/>
      <c r="D100" s="658"/>
      <c r="E100" s="658" t="s">
        <v>1853</v>
      </c>
      <c r="F100" s="658" t="s">
        <v>1800</v>
      </c>
    </row>
    <row r="101" spans="1:6" x14ac:dyDescent="0.25">
      <c r="A101" s="132" t="s">
        <v>1726</v>
      </c>
      <c r="B101" s="905" t="s">
        <v>34</v>
      </c>
      <c r="C101" s="1758"/>
      <c r="D101" s="658"/>
      <c r="E101" s="658" t="s">
        <v>1853</v>
      </c>
      <c r="F101" s="658" t="s">
        <v>1803</v>
      </c>
    </row>
    <row r="102" spans="1:6" ht="15.75" x14ac:dyDescent="0.25">
      <c r="A102" s="2311" t="e">
        <f>#REF!</f>
        <v>#REF!</v>
      </c>
      <c r="B102" s="2312"/>
      <c r="C102" s="1758"/>
      <c r="D102" s="1693" t="s">
        <v>66</v>
      </c>
      <c r="E102" s="1693" t="s">
        <v>65</v>
      </c>
      <c r="F102" s="1693" t="s">
        <v>64</v>
      </c>
    </row>
    <row r="103" spans="1:6" x14ac:dyDescent="0.25">
      <c r="A103" s="132" t="s">
        <v>1727</v>
      </c>
      <c r="B103" s="905" t="s">
        <v>33</v>
      </c>
      <c r="C103" s="1758"/>
      <c r="D103" s="658"/>
      <c r="E103" s="658" t="s">
        <v>1853</v>
      </c>
      <c r="F103" s="658" t="s">
        <v>1806</v>
      </c>
    </row>
    <row r="104" spans="1:6" x14ac:dyDescent="0.25">
      <c r="A104" s="132" t="s">
        <v>1728</v>
      </c>
      <c r="B104" s="905" t="s">
        <v>34</v>
      </c>
      <c r="C104" s="1758"/>
      <c r="D104" s="658"/>
      <c r="E104" s="658" t="s">
        <v>1853</v>
      </c>
      <c r="F104" s="658" t="s">
        <v>1816</v>
      </c>
    </row>
    <row r="105" spans="1:6" ht="15.75" x14ac:dyDescent="0.25">
      <c r="A105" s="2311" t="e">
        <f>#REF!</f>
        <v>#REF!</v>
      </c>
      <c r="B105" s="2312"/>
      <c r="C105" s="1758"/>
      <c r="D105" s="1693" t="s">
        <v>66</v>
      </c>
      <c r="E105" s="1693" t="s">
        <v>65</v>
      </c>
      <c r="F105" s="1693" t="s">
        <v>64</v>
      </c>
    </row>
    <row r="106" spans="1:6" x14ac:dyDescent="0.25">
      <c r="A106" s="132" t="s">
        <v>1729</v>
      </c>
      <c r="B106" s="905" t="s">
        <v>33</v>
      </c>
      <c r="C106" s="1758"/>
      <c r="D106" s="658" t="s">
        <v>1839</v>
      </c>
      <c r="E106" s="658" t="s">
        <v>1852</v>
      </c>
      <c r="F106" s="658"/>
    </row>
    <row r="107" spans="1:6" x14ac:dyDescent="0.25">
      <c r="A107" s="132" t="s">
        <v>1730</v>
      </c>
      <c r="B107" s="905" t="s">
        <v>34</v>
      </c>
      <c r="C107" s="1758"/>
      <c r="D107" s="658" t="s">
        <v>1839</v>
      </c>
      <c r="E107" s="658" t="s">
        <v>1852</v>
      </c>
      <c r="F107" s="658"/>
    </row>
    <row r="108" spans="1:6" ht="15.75" x14ac:dyDescent="0.25">
      <c r="A108" s="2311" t="e">
        <f>#REF!</f>
        <v>#REF!</v>
      </c>
      <c r="B108" s="2312"/>
      <c r="C108" s="1758"/>
      <c r="D108" s="1693" t="s">
        <v>66</v>
      </c>
      <c r="E108" s="1693" t="s">
        <v>65</v>
      </c>
      <c r="F108" s="1693" t="s">
        <v>64</v>
      </c>
    </row>
    <row r="109" spans="1:6" x14ac:dyDescent="0.25">
      <c r="A109" s="132" t="s">
        <v>1731</v>
      </c>
      <c r="B109" s="905" t="s">
        <v>33</v>
      </c>
      <c r="C109" s="1758"/>
      <c r="D109" s="658"/>
      <c r="E109" s="658" t="s">
        <v>1853</v>
      </c>
      <c r="F109" s="658" t="s">
        <v>1803</v>
      </c>
    </row>
    <row r="110" spans="1:6" x14ac:dyDescent="0.25">
      <c r="A110" s="132" t="s">
        <v>1732</v>
      </c>
      <c r="B110" s="905" t="s">
        <v>34</v>
      </c>
      <c r="C110" s="1758"/>
      <c r="D110" s="658"/>
      <c r="E110" s="658" t="s">
        <v>1853</v>
      </c>
      <c r="F110" s="658" t="s">
        <v>1803</v>
      </c>
    </row>
    <row r="111" spans="1:6" ht="15.75" x14ac:dyDescent="0.25">
      <c r="A111" s="2311" t="e">
        <f>#REF!</f>
        <v>#REF!</v>
      </c>
      <c r="B111" s="2312"/>
      <c r="C111" s="1758"/>
      <c r="D111" s="1693" t="s">
        <v>66</v>
      </c>
      <c r="E111" s="1693" t="s">
        <v>65</v>
      </c>
      <c r="F111" s="1693" t="s">
        <v>64</v>
      </c>
    </row>
    <row r="112" spans="1:6" x14ac:dyDescent="0.25">
      <c r="A112" s="132" t="s">
        <v>1733</v>
      </c>
      <c r="B112" s="905" t="s">
        <v>33</v>
      </c>
      <c r="C112" s="1758"/>
      <c r="D112" s="658" t="s">
        <v>1854</v>
      </c>
      <c r="E112" s="658"/>
      <c r="F112" s="658" t="s">
        <v>1796</v>
      </c>
    </row>
    <row r="113" spans="1:6" x14ac:dyDescent="0.25">
      <c r="A113" s="132" t="s">
        <v>1734</v>
      </c>
      <c r="B113" s="905" t="s">
        <v>34</v>
      </c>
      <c r="C113" s="1758"/>
      <c r="D113" s="658" t="s">
        <v>1854</v>
      </c>
      <c r="E113" s="658"/>
      <c r="F113" s="658" t="s">
        <v>1796</v>
      </c>
    </row>
    <row r="114" spans="1:6" ht="15.75" x14ac:dyDescent="0.25">
      <c r="A114" s="2311" t="e">
        <f>#REF!</f>
        <v>#REF!</v>
      </c>
      <c r="B114" s="2312"/>
      <c r="C114" s="1758"/>
      <c r="D114" s="1693" t="s">
        <v>66</v>
      </c>
      <c r="E114" s="1693" t="s">
        <v>65</v>
      </c>
      <c r="F114" s="1693" t="s">
        <v>64</v>
      </c>
    </row>
    <row r="115" spans="1:6" x14ac:dyDescent="0.25">
      <c r="A115" s="132" t="s">
        <v>1735</v>
      </c>
      <c r="B115" s="905" t="s">
        <v>33</v>
      </c>
      <c r="C115" s="1758"/>
      <c r="D115" s="658" t="s">
        <v>1854</v>
      </c>
      <c r="E115" s="658"/>
      <c r="F115" s="658" t="s">
        <v>1796</v>
      </c>
    </row>
    <row r="116" spans="1:6" x14ac:dyDescent="0.25">
      <c r="A116" s="132" t="s">
        <v>1736</v>
      </c>
      <c r="B116" s="905" t="s">
        <v>34</v>
      </c>
      <c r="C116" s="1758"/>
      <c r="D116" s="658" t="s">
        <v>1854</v>
      </c>
      <c r="E116" s="658"/>
      <c r="F116" s="658" t="s">
        <v>1796</v>
      </c>
    </row>
    <row r="117" spans="1:6" ht="15.75" x14ac:dyDescent="0.25">
      <c r="A117" s="2311" t="e">
        <f>#REF!</f>
        <v>#REF!</v>
      </c>
      <c r="B117" s="2312"/>
      <c r="C117" s="1758"/>
      <c r="D117" s="1693" t="s">
        <v>66</v>
      </c>
      <c r="E117" s="1693" t="s">
        <v>65</v>
      </c>
      <c r="F117" s="1693" t="s">
        <v>64</v>
      </c>
    </row>
    <row r="118" spans="1:6" x14ac:dyDescent="0.25">
      <c r="A118" s="132" t="s">
        <v>1737</v>
      </c>
      <c r="B118" s="905" t="s">
        <v>33</v>
      </c>
      <c r="C118" s="1758"/>
      <c r="D118" s="658" t="s">
        <v>1772</v>
      </c>
      <c r="E118" s="658"/>
      <c r="F118" s="658" t="s">
        <v>1796</v>
      </c>
    </row>
    <row r="119" spans="1:6" x14ac:dyDescent="0.25">
      <c r="A119" s="132" t="s">
        <v>1738</v>
      </c>
      <c r="B119" s="905" t="s">
        <v>34</v>
      </c>
      <c r="C119" s="1758"/>
      <c r="D119" s="658" t="s">
        <v>1772</v>
      </c>
      <c r="E119" s="658"/>
      <c r="F119" s="658" t="s">
        <v>1796</v>
      </c>
    </row>
    <row r="120" spans="1:6" ht="15.75" x14ac:dyDescent="0.25">
      <c r="A120" s="2311" t="e">
        <f>#REF!</f>
        <v>#REF!</v>
      </c>
      <c r="B120" s="2312"/>
      <c r="C120" s="1758"/>
      <c r="D120" s="1693" t="s">
        <v>66</v>
      </c>
      <c r="E120" s="1693" t="s">
        <v>65</v>
      </c>
      <c r="F120" s="1693" t="s">
        <v>64</v>
      </c>
    </row>
    <row r="121" spans="1:6" x14ac:dyDescent="0.25">
      <c r="A121" s="132" t="s">
        <v>1746</v>
      </c>
      <c r="B121" s="905" t="s">
        <v>33</v>
      </c>
      <c r="C121" s="1758"/>
      <c r="D121" s="658"/>
      <c r="E121" s="658" t="s">
        <v>1853</v>
      </c>
      <c r="F121" s="658" t="s">
        <v>1806</v>
      </c>
    </row>
    <row r="122" spans="1:6" x14ac:dyDescent="0.25">
      <c r="A122" s="132" t="s">
        <v>1745</v>
      </c>
      <c r="B122" s="905" t="s">
        <v>34</v>
      </c>
      <c r="C122" s="1758"/>
      <c r="D122" s="658"/>
      <c r="E122" s="658" t="s">
        <v>1853</v>
      </c>
      <c r="F122" s="658" t="s">
        <v>1836</v>
      </c>
    </row>
    <row r="123" spans="1:6" ht="15.75" x14ac:dyDescent="0.25">
      <c r="A123" s="2311" t="e">
        <f>#REF!</f>
        <v>#REF!</v>
      </c>
      <c r="B123" s="2312"/>
      <c r="C123" s="1758"/>
      <c r="D123" s="1693" t="s">
        <v>66</v>
      </c>
      <c r="E123" s="1693" t="s">
        <v>65</v>
      </c>
      <c r="F123" s="1693" t="s">
        <v>64</v>
      </c>
    </row>
    <row r="124" spans="1:6" x14ac:dyDescent="0.25">
      <c r="A124" s="132" t="s">
        <v>1744</v>
      </c>
      <c r="B124" s="905" t="s">
        <v>33</v>
      </c>
      <c r="C124" s="1758"/>
      <c r="D124" s="658"/>
      <c r="E124" s="658" t="s">
        <v>1853</v>
      </c>
      <c r="F124" s="658" t="s">
        <v>1800</v>
      </c>
    </row>
    <row r="125" spans="1:6" x14ac:dyDescent="0.25">
      <c r="A125" s="132" t="s">
        <v>1743</v>
      </c>
      <c r="B125" s="905" t="s">
        <v>34</v>
      </c>
      <c r="C125" s="1758"/>
      <c r="D125" s="658"/>
      <c r="E125" s="658" t="s">
        <v>1853</v>
      </c>
      <c r="F125" s="658" t="s">
        <v>1801</v>
      </c>
    </row>
    <row r="126" spans="1:6" ht="15.75" x14ac:dyDescent="0.25">
      <c r="A126" s="2311" t="e">
        <f>#REF!</f>
        <v>#REF!</v>
      </c>
      <c r="B126" s="2312"/>
      <c r="C126" s="1758"/>
      <c r="D126" s="1693" t="s">
        <v>66</v>
      </c>
      <c r="E126" s="1693" t="s">
        <v>65</v>
      </c>
      <c r="F126" s="1693" t="s">
        <v>64</v>
      </c>
    </row>
    <row r="127" spans="1:6" x14ac:dyDescent="0.25">
      <c r="A127" s="132" t="s">
        <v>1742</v>
      </c>
      <c r="B127" s="905" t="s">
        <v>33</v>
      </c>
      <c r="C127" s="1758"/>
      <c r="D127" s="658"/>
      <c r="E127" s="1381"/>
      <c r="F127" s="1381"/>
    </row>
    <row r="128" spans="1:6" x14ac:dyDescent="0.25">
      <c r="A128" s="132" t="s">
        <v>1741</v>
      </c>
      <c r="B128" s="905" t="s">
        <v>34</v>
      </c>
      <c r="C128" s="1758"/>
      <c r="D128" s="658"/>
      <c r="E128" s="1381"/>
      <c r="F128" s="1381"/>
    </row>
    <row r="129" spans="1:6" ht="15.75" x14ac:dyDescent="0.25">
      <c r="A129" s="2311" t="e">
        <f>#REF!</f>
        <v>#REF!</v>
      </c>
      <c r="B129" s="2312"/>
      <c r="C129" s="1758"/>
      <c r="D129" s="1693" t="s">
        <v>66</v>
      </c>
      <c r="E129" s="1693" t="s">
        <v>65</v>
      </c>
      <c r="F129" s="1693" t="s">
        <v>64</v>
      </c>
    </row>
    <row r="130" spans="1:6" x14ac:dyDescent="0.25">
      <c r="A130" s="132" t="s">
        <v>1739</v>
      </c>
      <c r="B130" s="905" t="s">
        <v>33</v>
      </c>
      <c r="C130" s="1758"/>
      <c r="D130" s="658" t="s">
        <v>1772</v>
      </c>
      <c r="E130" s="658"/>
      <c r="F130" s="658" t="s">
        <v>1796</v>
      </c>
    </row>
    <row r="131" spans="1:6" x14ac:dyDescent="0.25">
      <c r="A131" s="132" t="s">
        <v>1740</v>
      </c>
      <c r="B131" s="905" t="s">
        <v>34</v>
      </c>
      <c r="C131" s="1758"/>
      <c r="D131" s="658" t="s">
        <v>1772</v>
      </c>
      <c r="E131" s="658"/>
      <c r="F131" s="658" t="s">
        <v>1796</v>
      </c>
    </row>
    <row r="132" spans="1:6" ht="15.75" x14ac:dyDescent="0.25">
      <c r="A132" s="2311" t="e">
        <f>#REF!</f>
        <v>#REF!</v>
      </c>
      <c r="B132" s="2312"/>
      <c r="C132" s="1758"/>
      <c r="D132" s="1693" t="s">
        <v>66</v>
      </c>
      <c r="E132" s="1693" t="s">
        <v>65</v>
      </c>
      <c r="F132" s="1693" t="s">
        <v>64</v>
      </c>
    </row>
    <row r="133" spans="1:6" x14ac:dyDescent="0.25">
      <c r="A133" s="132" t="s">
        <v>1747</v>
      </c>
      <c r="B133" s="905" t="s">
        <v>33</v>
      </c>
      <c r="C133" s="1758"/>
      <c r="D133" s="658"/>
      <c r="E133" s="1381"/>
      <c r="F133" s="1381"/>
    </row>
    <row r="134" spans="1:6" x14ac:dyDescent="0.25">
      <c r="A134" s="132" t="s">
        <v>1748</v>
      </c>
      <c r="B134" s="905" t="s">
        <v>34</v>
      </c>
      <c r="C134" s="1758"/>
      <c r="D134" s="658"/>
      <c r="E134" s="1381"/>
      <c r="F134" s="1381"/>
    </row>
    <row r="135" spans="1:6" ht="15.75" x14ac:dyDescent="0.25">
      <c r="A135" s="2311" t="e">
        <f>#REF!</f>
        <v>#REF!</v>
      </c>
      <c r="B135" s="2312"/>
      <c r="C135" s="1758"/>
      <c r="D135" s="1693" t="s">
        <v>66</v>
      </c>
      <c r="E135" s="1693" t="s">
        <v>65</v>
      </c>
      <c r="F135" s="1693" t="s">
        <v>64</v>
      </c>
    </row>
    <row r="136" spans="1:6" x14ac:dyDescent="0.25">
      <c r="A136" s="132" t="s">
        <v>1749</v>
      </c>
      <c r="B136" s="905" t="s">
        <v>33</v>
      </c>
      <c r="C136" s="1758"/>
      <c r="D136" s="658"/>
      <c r="E136" s="1381"/>
      <c r="F136" s="1381"/>
    </row>
    <row r="137" spans="1:6" x14ac:dyDescent="0.25">
      <c r="A137" s="132" t="s">
        <v>1750</v>
      </c>
      <c r="B137" s="905" t="s">
        <v>34</v>
      </c>
      <c r="C137" s="1758"/>
      <c r="D137" s="658"/>
      <c r="E137" s="1381"/>
      <c r="F137" s="1381"/>
    </row>
    <row r="138" spans="1:6" ht="15.75" x14ac:dyDescent="0.25">
      <c r="A138" s="2311" t="e">
        <f>#REF!</f>
        <v>#REF!</v>
      </c>
      <c r="B138" s="2312"/>
      <c r="C138" s="1758"/>
      <c r="D138" s="1693" t="s">
        <v>66</v>
      </c>
      <c r="E138" s="1693" t="s">
        <v>65</v>
      </c>
      <c r="F138" s="1693" t="s">
        <v>64</v>
      </c>
    </row>
    <row r="139" spans="1:6" x14ac:dyDescent="0.25">
      <c r="A139" s="132" t="s">
        <v>1751</v>
      </c>
      <c r="B139" s="905" t="s">
        <v>33</v>
      </c>
      <c r="C139" s="1758"/>
      <c r="D139" s="658" t="s">
        <v>1854</v>
      </c>
      <c r="E139" s="658"/>
      <c r="F139" s="658" t="s">
        <v>1796</v>
      </c>
    </row>
    <row r="140" spans="1:6" x14ac:dyDescent="0.25">
      <c r="A140" s="132" t="s">
        <v>1752</v>
      </c>
      <c r="B140" s="905" t="s">
        <v>34</v>
      </c>
      <c r="C140" s="1758"/>
      <c r="D140" s="658" t="s">
        <v>1854</v>
      </c>
      <c r="E140" s="658"/>
      <c r="F140" s="658" t="s">
        <v>1796</v>
      </c>
    </row>
    <row r="141" spans="1:6" ht="15.75" x14ac:dyDescent="0.25">
      <c r="A141" s="2311" t="e">
        <f>#REF!</f>
        <v>#REF!</v>
      </c>
      <c r="B141" s="2312"/>
      <c r="C141" s="1758"/>
      <c r="D141" s="1693" t="s">
        <v>66</v>
      </c>
      <c r="E141" s="1693" t="s">
        <v>65</v>
      </c>
      <c r="F141" s="1693" t="s">
        <v>64</v>
      </c>
    </row>
    <row r="142" spans="1:6" x14ac:dyDescent="0.25">
      <c r="A142" s="132" t="s">
        <v>1753</v>
      </c>
      <c r="B142" s="905" t="s">
        <v>33</v>
      </c>
      <c r="C142" s="1758"/>
      <c r="D142" s="658" t="s">
        <v>1854</v>
      </c>
      <c r="E142" s="658"/>
      <c r="F142" s="658" t="s">
        <v>1796</v>
      </c>
    </row>
    <row r="143" spans="1:6" x14ac:dyDescent="0.25">
      <c r="A143" s="132" t="s">
        <v>1754</v>
      </c>
      <c r="B143" s="905" t="s">
        <v>34</v>
      </c>
      <c r="C143" s="1758"/>
      <c r="D143" s="658" t="s">
        <v>1854</v>
      </c>
      <c r="E143" s="658"/>
      <c r="F143" s="658" t="s">
        <v>1796</v>
      </c>
    </row>
    <row r="144" spans="1:6" ht="15.75" x14ac:dyDescent="0.25">
      <c r="A144" s="2311" t="e">
        <f>#REF!</f>
        <v>#REF!</v>
      </c>
      <c r="B144" s="2312"/>
      <c r="C144" s="1758"/>
      <c r="D144" s="1693" t="s">
        <v>66</v>
      </c>
      <c r="E144" s="1693" t="s">
        <v>65</v>
      </c>
      <c r="F144" s="1693" t="s">
        <v>64</v>
      </c>
    </row>
    <row r="145" spans="1:6" x14ac:dyDescent="0.25">
      <c r="A145" s="132" t="s">
        <v>1755</v>
      </c>
      <c r="B145" s="905" t="s">
        <v>33</v>
      </c>
      <c r="C145" s="1758"/>
      <c r="D145" s="658" t="s">
        <v>1772</v>
      </c>
      <c r="E145" s="658"/>
      <c r="F145" s="658" t="s">
        <v>1796</v>
      </c>
    </row>
    <row r="146" spans="1:6" x14ac:dyDescent="0.25">
      <c r="A146" s="132" t="s">
        <v>1756</v>
      </c>
      <c r="B146" s="905" t="s">
        <v>34</v>
      </c>
      <c r="C146" s="1758"/>
      <c r="D146" s="658" t="s">
        <v>1772</v>
      </c>
      <c r="E146" s="658"/>
      <c r="F146" s="658" t="s">
        <v>1796</v>
      </c>
    </row>
    <row r="147" spans="1:6" ht="15.75" x14ac:dyDescent="0.25">
      <c r="A147" s="2311" t="e">
        <f>#REF!</f>
        <v>#REF!</v>
      </c>
      <c r="B147" s="2312"/>
      <c r="C147" s="1758"/>
      <c r="D147" s="1693" t="s">
        <v>66</v>
      </c>
      <c r="E147" s="1693" t="s">
        <v>65</v>
      </c>
      <c r="F147" s="1693" t="s">
        <v>64</v>
      </c>
    </row>
    <row r="148" spans="1:6" x14ac:dyDescent="0.25">
      <c r="A148" s="132" t="s">
        <v>1757</v>
      </c>
      <c r="B148" s="905" t="s">
        <v>33</v>
      </c>
      <c r="C148" s="1758"/>
      <c r="D148" s="658"/>
      <c r="E148" s="1381"/>
      <c r="F148" s="1381"/>
    </row>
    <row r="149" spans="1:6" x14ac:dyDescent="0.25">
      <c r="A149" s="132" t="s">
        <v>1758</v>
      </c>
      <c r="B149" s="905" t="s">
        <v>34</v>
      </c>
      <c r="C149" s="1758"/>
      <c r="D149" s="658"/>
      <c r="E149" s="1381"/>
      <c r="F149" s="1381"/>
    </row>
    <row r="150" spans="1:6" ht="15.75" x14ac:dyDescent="0.25">
      <c r="A150" s="2311" t="e">
        <f>#REF!</f>
        <v>#REF!</v>
      </c>
      <c r="B150" s="2312"/>
      <c r="C150" s="1758"/>
      <c r="D150" s="1693" t="s">
        <v>66</v>
      </c>
      <c r="E150" s="1693" t="s">
        <v>65</v>
      </c>
      <c r="F150" s="1693" t="s">
        <v>64</v>
      </c>
    </row>
    <row r="151" spans="1:6" x14ac:dyDescent="0.25">
      <c r="A151" s="132" t="s">
        <v>1759</v>
      </c>
      <c r="B151" s="905" t="s">
        <v>33</v>
      </c>
      <c r="C151" s="1758"/>
      <c r="D151" s="658"/>
      <c r="E151" s="658" t="s">
        <v>1853</v>
      </c>
      <c r="F151" s="658" t="s">
        <v>1805</v>
      </c>
    </row>
    <row r="152" spans="1:6" x14ac:dyDescent="0.25">
      <c r="A152" s="132" t="s">
        <v>1760</v>
      </c>
      <c r="B152" s="905" t="s">
        <v>34</v>
      </c>
      <c r="C152" s="1758"/>
      <c r="D152" s="658"/>
      <c r="E152" s="658" t="s">
        <v>1853</v>
      </c>
      <c r="F152" s="658" t="s">
        <v>1806</v>
      </c>
    </row>
    <row r="153" spans="1:6" ht="15.75" x14ac:dyDescent="0.25">
      <c r="A153" s="2311" t="e">
        <f>#REF!</f>
        <v>#REF!</v>
      </c>
      <c r="B153" s="2312"/>
      <c r="C153" s="1758"/>
      <c r="D153" s="1693" t="s">
        <v>66</v>
      </c>
      <c r="E153" s="1693" t="s">
        <v>65</v>
      </c>
      <c r="F153" s="1693" t="s">
        <v>64</v>
      </c>
    </row>
    <row r="154" spans="1:6" x14ac:dyDescent="0.25">
      <c r="A154" s="132" t="s">
        <v>1761</v>
      </c>
      <c r="B154" s="905" t="s">
        <v>33</v>
      </c>
      <c r="C154" s="1758"/>
      <c r="D154" s="658"/>
      <c r="E154" s="658" t="s">
        <v>1853</v>
      </c>
      <c r="F154" s="658" t="s">
        <v>1801</v>
      </c>
    </row>
    <row r="155" spans="1:6" x14ac:dyDescent="0.25">
      <c r="A155" s="132" t="s">
        <v>1762</v>
      </c>
      <c r="B155" s="905" t="s">
        <v>34</v>
      </c>
      <c r="C155" s="1758"/>
      <c r="D155" s="658"/>
      <c r="E155" s="658" t="s">
        <v>1853</v>
      </c>
      <c r="F155" s="658" t="s">
        <v>1807</v>
      </c>
    </row>
    <row r="156" spans="1:6" ht="15.75" x14ac:dyDescent="0.25">
      <c r="A156" s="2311" t="e">
        <f>#REF!</f>
        <v>#REF!</v>
      </c>
      <c r="B156" s="2312"/>
      <c r="C156" s="1758"/>
      <c r="D156" s="1693" t="s">
        <v>66</v>
      </c>
      <c r="E156" s="1693" t="s">
        <v>65</v>
      </c>
      <c r="F156" s="1693" t="s">
        <v>64</v>
      </c>
    </row>
    <row r="157" spans="1:6" x14ac:dyDescent="0.25">
      <c r="A157" s="132" t="s">
        <v>1763</v>
      </c>
      <c r="B157" s="905" t="s">
        <v>33</v>
      </c>
      <c r="C157" s="1758"/>
      <c r="D157" s="658"/>
      <c r="E157" s="658"/>
      <c r="F157" s="658" t="s">
        <v>1805</v>
      </c>
    </row>
    <row r="158" spans="1:6" x14ac:dyDescent="0.25">
      <c r="A158" s="132" t="s">
        <v>1764</v>
      </c>
      <c r="B158" s="905" t="s">
        <v>34</v>
      </c>
      <c r="C158" s="1758"/>
      <c r="D158" s="658"/>
      <c r="E158" s="658"/>
      <c r="F158" s="658" t="s">
        <v>1806</v>
      </c>
    </row>
    <row r="159" spans="1:6" ht="15.75" x14ac:dyDescent="0.25">
      <c r="A159" s="2311" t="e">
        <f>#REF!</f>
        <v>#REF!</v>
      </c>
      <c r="B159" s="2312"/>
      <c r="C159" s="1758"/>
      <c r="D159" s="1693" t="s">
        <v>66</v>
      </c>
      <c r="E159" s="1693" t="s">
        <v>65</v>
      </c>
      <c r="F159" s="1693" t="s">
        <v>64</v>
      </c>
    </row>
    <row r="160" spans="1:6" x14ac:dyDescent="0.25">
      <c r="A160" s="132" t="s">
        <v>1765</v>
      </c>
      <c r="B160" s="905" t="s">
        <v>33</v>
      </c>
      <c r="C160" s="1758"/>
      <c r="D160" s="658" t="s">
        <v>1840</v>
      </c>
      <c r="E160" s="658"/>
      <c r="F160" s="658" t="s">
        <v>1805</v>
      </c>
    </row>
    <row r="161" spans="1:6" x14ac:dyDescent="0.25">
      <c r="A161" s="132" t="s">
        <v>1766</v>
      </c>
      <c r="B161" s="905" t="s">
        <v>34</v>
      </c>
      <c r="C161" s="1758"/>
      <c r="D161" s="658" t="s">
        <v>1840</v>
      </c>
      <c r="E161" s="658"/>
      <c r="F161" s="658" t="s">
        <v>1806</v>
      </c>
    </row>
    <row r="162" spans="1:6" ht="15.75" x14ac:dyDescent="0.25">
      <c r="A162" s="2311" t="e">
        <f>#REF!</f>
        <v>#REF!</v>
      </c>
      <c r="B162" s="2312"/>
      <c r="C162" s="1758"/>
      <c r="D162" s="1693" t="s">
        <v>66</v>
      </c>
      <c r="E162" s="1693" t="s">
        <v>65</v>
      </c>
      <c r="F162" s="1693" t="s">
        <v>64</v>
      </c>
    </row>
    <row r="163" spans="1:6" x14ac:dyDescent="0.25">
      <c r="A163" s="132" t="s">
        <v>1767</v>
      </c>
      <c r="B163" s="905" t="s">
        <v>33</v>
      </c>
      <c r="C163" s="1758"/>
      <c r="D163" s="658"/>
      <c r="E163" s="658"/>
      <c r="F163" s="658" t="s">
        <v>1805</v>
      </c>
    </row>
    <row r="164" spans="1:6" x14ac:dyDescent="0.25">
      <c r="A164" s="132" t="s">
        <v>1768</v>
      </c>
      <c r="B164" s="905" t="s">
        <v>34</v>
      </c>
      <c r="C164" s="1758"/>
      <c r="D164" s="658"/>
      <c r="E164" s="658"/>
      <c r="F164" s="658" t="s">
        <v>1806</v>
      </c>
    </row>
  </sheetData>
  <autoFilter ref="A2:G67" xr:uid="{00000000-0001-0000-5800-000000000000}"/>
  <mergeCells count="71">
    <mergeCell ref="C24:C25"/>
    <mergeCell ref="C26:C55"/>
    <mergeCell ref="C56:C67"/>
    <mergeCell ref="A150:B150"/>
    <mergeCell ref="A153:B153"/>
    <mergeCell ref="A156:B156"/>
    <mergeCell ref="A159:B159"/>
    <mergeCell ref="A162:B162"/>
    <mergeCell ref="A135:B135"/>
    <mergeCell ref="A138:B138"/>
    <mergeCell ref="A141:B141"/>
    <mergeCell ref="A144:B144"/>
    <mergeCell ref="A147:B147"/>
    <mergeCell ref="A120:B120"/>
    <mergeCell ref="A123:B123"/>
    <mergeCell ref="A126:B126"/>
    <mergeCell ref="A129:B129"/>
    <mergeCell ref="A132:B132"/>
    <mergeCell ref="A105:B105"/>
    <mergeCell ref="A108:B108"/>
    <mergeCell ref="A111:B111"/>
    <mergeCell ref="A114:B114"/>
    <mergeCell ref="A117:B117"/>
    <mergeCell ref="A90:B90"/>
    <mergeCell ref="A93:B93"/>
    <mergeCell ref="A96:B96"/>
    <mergeCell ref="A99:B99"/>
    <mergeCell ref="A102:B102"/>
    <mergeCell ref="A75:B75"/>
    <mergeCell ref="A78:B78"/>
    <mergeCell ref="A81:B81"/>
    <mergeCell ref="A84:B84"/>
    <mergeCell ref="A87:B87"/>
    <mergeCell ref="A10:A11"/>
    <mergeCell ref="D1:G1"/>
    <mergeCell ref="C2:C3"/>
    <mergeCell ref="G2:G3"/>
    <mergeCell ref="A6:A7"/>
    <mergeCell ref="A8:A9"/>
    <mergeCell ref="A4:A5"/>
    <mergeCell ref="C4:C7"/>
    <mergeCell ref="C8:C9"/>
    <mergeCell ref="C10:C23"/>
    <mergeCell ref="A34:A35"/>
    <mergeCell ref="A12:A13"/>
    <mergeCell ref="A14:A15"/>
    <mergeCell ref="A16:A17"/>
    <mergeCell ref="A18:A19"/>
    <mergeCell ref="A20:A21"/>
    <mergeCell ref="A22:A23"/>
    <mergeCell ref="A24:A25"/>
    <mergeCell ref="A26:A27"/>
    <mergeCell ref="A28:A29"/>
    <mergeCell ref="A30:A31"/>
    <mergeCell ref="A32:A33"/>
    <mergeCell ref="A66:A67"/>
    <mergeCell ref="A36:A37"/>
    <mergeCell ref="A38:A39"/>
    <mergeCell ref="A48:A49"/>
    <mergeCell ref="A50:A51"/>
    <mergeCell ref="A52:A53"/>
    <mergeCell ref="A54:A55"/>
    <mergeCell ref="A56:A57"/>
    <mergeCell ref="A58:A59"/>
    <mergeCell ref="A60:A61"/>
    <mergeCell ref="A62:A63"/>
    <mergeCell ref="A64:A65"/>
    <mergeCell ref="A40:A41"/>
    <mergeCell ref="A42:A43"/>
    <mergeCell ref="A44:A45"/>
    <mergeCell ref="A46:A47"/>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2059" t="s">
        <v>701</v>
      </c>
      <c r="B1" s="2064"/>
      <c r="C1" s="2064"/>
      <c r="D1" s="2064"/>
      <c r="E1" s="2060"/>
      <c r="F1" s="2060"/>
      <c r="G1" s="2060"/>
      <c r="H1" s="2060"/>
      <c r="I1" s="2060"/>
      <c r="J1" s="2060"/>
      <c r="K1" s="2060"/>
      <c r="L1" s="2060"/>
      <c r="M1" s="2060"/>
      <c r="N1" s="2060"/>
      <c r="O1" s="2060"/>
      <c r="P1" s="2060"/>
      <c r="Q1" s="2061"/>
      <c r="R1" s="927"/>
    </row>
    <row r="2" spans="1:18" ht="21" customHeight="1" x14ac:dyDescent="0.25">
      <c r="A2" s="927"/>
      <c r="B2" s="928" t="s">
        <v>114</v>
      </c>
      <c r="C2" s="2065" t="s">
        <v>702</v>
      </c>
      <c r="D2" s="2066"/>
      <c r="E2" s="927"/>
      <c r="F2" s="927"/>
      <c r="G2" s="927"/>
      <c r="H2" s="927"/>
      <c r="I2" s="927"/>
      <c r="J2" s="927"/>
      <c r="K2" s="927"/>
      <c r="L2" s="927"/>
      <c r="M2" s="927"/>
      <c r="N2" s="927"/>
      <c r="O2" s="927"/>
      <c r="P2" s="927"/>
      <c r="Q2" s="927"/>
      <c r="R2" s="927"/>
    </row>
    <row r="3" spans="1:18" ht="21" customHeight="1" x14ac:dyDescent="0.25">
      <c r="A3" s="927"/>
      <c r="B3" s="929" t="s">
        <v>703</v>
      </c>
      <c r="C3" s="2067" t="s">
        <v>704</v>
      </c>
      <c r="D3" s="2068"/>
      <c r="E3" s="927"/>
      <c r="F3" s="927"/>
      <c r="G3" s="927"/>
      <c r="H3" s="927"/>
      <c r="I3" s="927"/>
      <c r="J3" s="927"/>
      <c r="K3" s="927"/>
      <c r="L3" s="927"/>
      <c r="M3" s="927"/>
      <c r="N3" s="927"/>
      <c r="O3" s="927"/>
      <c r="P3" s="927"/>
      <c r="Q3" s="927"/>
      <c r="R3" s="927"/>
    </row>
    <row r="4" spans="1:18" ht="21" customHeight="1" thickBot="1" x14ac:dyDescent="0.3">
      <c r="A4" s="927"/>
      <c r="B4" s="930" t="s">
        <v>705</v>
      </c>
      <c r="C4" s="2069" t="s">
        <v>706</v>
      </c>
      <c r="D4" s="2070"/>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71" t="s">
        <v>707</v>
      </c>
      <c r="C7" s="2072"/>
      <c r="D7" s="2073"/>
      <c r="E7" s="927"/>
      <c r="F7" s="927"/>
      <c r="G7" s="2074" t="s">
        <v>708</v>
      </c>
      <c r="H7" s="2075"/>
      <c r="I7" s="2076"/>
      <c r="J7" s="927"/>
      <c r="K7" s="927"/>
      <c r="L7" s="2077" t="s">
        <v>709</v>
      </c>
      <c r="M7" s="2078"/>
      <c r="N7" s="2079"/>
      <c r="O7" s="927"/>
      <c r="P7" s="927"/>
      <c r="Q7" s="927"/>
      <c r="R7" s="927"/>
    </row>
    <row r="8" spans="1:18" ht="24.75" customHeight="1" thickBot="1" x14ac:dyDescent="0.3">
      <c r="A8" s="927"/>
      <c r="B8" s="931" t="s">
        <v>710</v>
      </c>
      <c r="C8" s="932" t="s">
        <v>703</v>
      </c>
      <c r="D8" s="933" t="s">
        <v>711</v>
      </c>
      <c r="E8" s="927"/>
      <c r="F8" s="927"/>
      <c r="G8" s="934" t="s">
        <v>85</v>
      </c>
      <c r="H8" s="935" t="s">
        <v>703</v>
      </c>
      <c r="I8" s="936" t="s">
        <v>711</v>
      </c>
      <c r="J8" s="927"/>
      <c r="K8" s="927"/>
      <c r="L8" s="2032"/>
      <c r="M8" s="2033"/>
      <c r="N8" s="2034"/>
      <c r="O8" s="927"/>
      <c r="P8" s="927"/>
      <c r="Q8" s="927"/>
      <c r="R8" s="927"/>
    </row>
    <row r="9" spans="1:18" ht="13.9" customHeight="1" x14ac:dyDescent="0.25">
      <c r="A9" s="927"/>
      <c r="B9" s="937"/>
      <c r="C9" s="938" t="s">
        <v>712</v>
      </c>
      <c r="D9" s="942">
        <f>IF($B$11,'Служебный ОВ'!E52,'Служебный ОВ'!N52)</f>
        <v>0</v>
      </c>
      <c r="E9" s="927"/>
      <c r="F9" s="927"/>
      <c r="G9" s="939"/>
      <c r="H9" s="940"/>
      <c r="I9" s="941"/>
      <c r="J9" s="927"/>
      <c r="K9" s="927"/>
      <c r="L9" s="2035"/>
      <c r="M9" s="2036"/>
      <c r="N9" s="2037"/>
      <c r="O9" s="927"/>
      <c r="P9" s="927"/>
      <c r="Q9" s="927"/>
      <c r="R9" s="927"/>
    </row>
    <row r="10" spans="1:18" ht="15" customHeight="1" x14ac:dyDescent="0.25">
      <c r="A10" s="927"/>
      <c r="B10" s="937"/>
      <c r="C10" s="940" t="s">
        <v>713</v>
      </c>
      <c r="D10" s="942">
        <f>IF($B$11,'Служебный ОВ'!D52,'Служебный ОВ'!M52)</f>
        <v>0</v>
      </c>
      <c r="E10" s="927"/>
      <c r="F10" s="927"/>
      <c r="G10" s="943"/>
      <c r="H10" s="940"/>
      <c r="I10" s="944"/>
      <c r="J10" s="927"/>
      <c r="K10" s="927"/>
      <c r="L10" s="2035"/>
      <c r="M10" s="2036"/>
      <c r="N10" s="2037"/>
      <c r="O10" s="927"/>
      <c r="P10" s="927"/>
      <c r="Q10" s="927"/>
      <c r="R10" s="927"/>
    </row>
    <row r="11" spans="1:18" ht="15" customHeight="1" x14ac:dyDescent="0.25">
      <c r="A11" s="927">
        <f>IF($B$11,1,0)</f>
        <v>1</v>
      </c>
      <c r="B11" s="937" t="b">
        <v>1</v>
      </c>
      <c r="C11" s="940" t="s">
        <v>714</v>
      </c>
      <c r="D11" s="942">
        <f>IF($B$11,'Служебный ОВ'!C52,'Служебный ОВ'!L52)</f>
        <v>0</v>
      </c>
      <c r="E11" s="927"/>
      <c r="F11" s="927"/>
      <c r="G11" s="943"/>
      <c r="H11" s="940"/>
      <c r="I11" s="944"/>
      <c r="J11" s="927"/>
      <c r="K11" s="927"/>
      <c r="L11" s="2035"/>
      <c r="M11" s="2036"/>
      <c r="N11" s="2037"/>
      <c r="O11" s="927"/>
      <c r="P11" s="927"/>
      <c r="Q11" s="927"/>
      <c r="R11" s="927"/>
    </row>
    <row r="12" spans="1:18" x14ac:dyDescent="0.25">
      <c r="A12" s="927"/>
      <c r="B12" s="945" t="s">
        <v>715</v>
      </c>
      <c r="C12" s="940" t="s">
        <v>53</v>
      </c>
      <c r="D12" s="942">
        <f>0.1*SUM(D9:D11)</f>
        <v>0</v>
      </c>
      <c r="E12" s="927"/>
      <c r="F12" s="927"/>
      <c r="G12" s="943"/>
      <c r="H12" s="940"/>
      <c r="I12" s="944"/>
      <c r="J12" s="927"/>
      <c r="K12" s="927"/>
      <c r="L12" s="2035"/>
      <c r="M12" s="2036"/>
      <c r="N12" s="2037"/>
      <c r="O12" s="927"/>
      <c r="P12" s="927"/>
      <c r="Q12" s="927"/>
      <c r="R12" s="927"/>
    </row>
    <row r="13" spans="1:18" ht="15.75" thickBot="1" x14ac:dyDescent="0.3">
      <c r="A13" s="927"/>
      <c r="B13" s="946" t="s">
        <v>716</v>
      </c>
      <c r="C13" s="940" t="s">
        <v>120</v>
      </c>
      <c r="D13" s="942">
        <f>0.2*SUM(D9:D12)</f>
        <v>0</v>
      </c>
      <c r="E13" s="927"/>
      <c r="F13" s="927"/>
      <c r="G13" s="943"/>
      <c r="H13" s="940"/>
      <c r="I13" s="944"/>
      <c r="J13" s="927"/>
      <c r="K13" s="927"/>
      <c r="L13" s="2038"/>
      <c r="M13" s="2039"/>
      <c r="N13" s="2040"/>
      <c r="O13" s="927"/>
      <c r="P13" s="927"/>
      <c r="Q13" s="927"/>
      <c r="R13" s="927"/>
    </row>
    <row r="14" spans="1:18" x14ac:dyDescent="0.25">
      <c r="A14" s="927"/>
      <c r="B14" s="947"/>
      <c r="C14" s="940" t="s">
        <v>712</v>
      </c>
      <c r="D14" s="942">
        <f>'Служебный ОВ'!H52</f>
        <v>0</v>
      </c>
      <c r="E14" s="927"/>
      <c r="F14" s="927"/>
      <c r="G14" s="943"/>
      <c r="H14" s="940"/>
      <c r="I14" s="944"/>
      <c r="J14" s="927"/>
      <c r="K14" s="927"/>
      <c r="L14" s="2041"/>
      <c r="M14" s="2042"/>
      <c r="N14" s="2043"/>
      <c r="O14" s="927"/>
      <c r="P14" s="927"/>
      <c r="Q14" s="927"/>
      <c r="R14" s="927"/>
    </row>
    <row r="15" spans="1:18" x14ac:dyDescent="0.25">
      <c r="A15" s="927"/>
      <c r="B15" s="937"/>
      <c r="C15" s="940" t="s">
        <v>713</v>
      </c>
      <c r="D15" s="942">
        <f>'Служебный ОВ'!G52</f>
        <v>0</v>
      </c>
      <c r="E15" s="927"/>
      <c r="F15" s="927"/>
      <c r="G15" s="943"/>
      <c r="H15" s="940"/>
      <c r="I15" s="944"/>
      <c r="J15" s="927"/>
      <c r="K15" s="927"/>
      <c r="L15" s="2044"/>
      <c r="M15" s="2045"/>
      <c r="N15" s="2046"/>
      <c r="O15" s="927"/>
      <c r="P15" s="927"/>
      <c r="Q15" s="927"/>
      <c r="R15" s="927"/>
    </row>
    <row r="16" spans="1:18" x14ac:dyDescent="0.25">
      <c r="A16" s="927"/>
      <c r="B16" s="948" t="s">
        <v>244</v>
      </c>
      <c r="C16" s="940" t="s">
        <v>714</v>
      </c>
      <c r="D16" s="942">
        <f>'Служебный ОВ'!F52</f>
        <v>0</v>
      </c>
      <c r="E16" s="927"/>
      <c r="F16" s="927"/>
      <c r="G16" s="943"/>
      <c r="H16" s="940"/>
      <c r="I16" s="944"/>
      <c r="J16" s="927"/>
      <c r="K16" s="927"/>
      <c r="L16" s="2044"/>
      <c r="M16" s="2045"/>
      <c r="N16" s="2046"/>
      <c r="O16" s="927"/>
      <c r="P16" s="927"/>
      <c r="Q16" s="927"/>
      <c r="R16" s="927"/>
    </row>
    <row r="17" spans="1:18" x14ac:dyDescent="0.25">
      <c r="A17" s="927"/>
      <c r="B17" s="937"/>
      <c r="C17" s="940" t="s">
        <v>53</v>
      </c>
      <c r="D17" s="942">
        <f>0.1*SUM(D14:D16)</f>
        <v>0</v>
      </c>
      <c r="E17" s="927"/>
      <c r="F17" s="927"/>
      <c r="G17" s="943"/>
      <c r="H17" s="940"/>
      <c r="I17" s="944"/>
      <c r="J17" s="927"/>
      <c r="K17" s="927"/>
      <c r="L17" s="2044"/>
      <c r="M17" s="2045"/>
      <c r="N17" s="2046"/>
      <c r="O17" s="927"/>
      <c r="P17" s="927"/>
      <c r="Q17" s="927"/>
      <c r="R17" s="927"/>
    </row>
    <row r="18" spans="1:18" ht="15.75" thickBot="1" x14ac:dyDescent="0.3">
      <c r="A18" s="927"/>
      <c r="B18" s="949"/>
      <c r="C18" s="940" t="s">
        <v>120</v>
      </c>
      <c r="D18" s="942">
        <f>0.2*SUM(D14:D17)</f>
        <v>0</v>
      </c>
      <c r="E18" s="927"/>
      <c r="F18" s="927"/>
      <c r="G18" s="943"/>
      <c r="H18" s="940"/>
      <c r="I18" s="944"/>
      <c r="J18" s="927"/>
      <c r="K18" s="927"/>
      <c r="L18" s="2044"/>
      <c r="M18" s="2045"/>
      <c r="N18" s="2046"/>
      <c r="O18" s="927"/>
      <c r="P18" s="927"/>
      <c r="Q18" s="927"/>
      <c r="R18" s="927"/>
    </row>
    <row r="19" spans="1:18" x14ac:dyDescent="0.25">
      <c r="A19" s="927"/>
      <c r="B19" s="947"/>
      <c r="C19" s="940" t="s">
        <v>712</v>
      </c>
      <c r="D19" s="942">
        <f>'Служебный ОВ'!K52</f>
        <v>0</v>
      </c>
      <c r="E19" s="927"/>
      <c r="F19" s="927"/>
      <c r="G19" s="943"/>
      <c r="H19" s="940"/>
      <c r="I19" s="944"/>
      <c r="J19" s="927"/>
      <c r="K19" s="927"/>
      <c r="L19" s="2044"/>
      <c r="M19" s="2045"/>
      <c r="N19" s="2046"/>
      <c r="O19" s="927"/>
      <c r="P19" s="927"/>
      <c r="Q19" s="927"/>
      <c r="R19" s="927"/>
    </row>
    <row r="20" spans="1:18" x14ac:dyDescent="0.25">
      <c r="A20" s="927"/>
      <c r="B20" s="937"/>
      <c r="C20" s="940" t="s">
        <v>713</v>
      </c>
      <c r="D20" s="942">
        <f>'Служебный ОВ'!J52</f>
        <v>0</v>
      </c>
      <c r="E20" s="927"/>
      <c r="F20" s="927"/>
      <c r="G20" s="943"/>
      <c r="H20" s="940"/>
      <c r="I20" s="944"/>
      <c r="J20" s="927"/>
      <c r="K20" s="927"/>
      <c r="L20" s="2044"/>
      <c r="M20" s="2045"/>
      <c r="N20" s="2046"/>
      <c r="O20" s="927"/>
      <c r="P20" s="927"/>
      <c r="Q20" s="927"/>
      <c r="R20" s="927"/>
    </row>
    <row r="21" spans="1:18" ht="15.75" thickBot="1" x14ac:dyDescent="0.3">
      <c r="A21" s="927"/>
      <c r="B21" s="937" t="s">
        <v>245</v>
      </c>
      <c r="C21" s="940" t="s">
        <v>714</v>
      </c>
      <c r="D21" s="942">
        <f>'Служебный ОВ'!I52</f>
        <v>0</v>
      </c>
      <c r="E21" s="927"/>
      <c r="F21" s="927"/>
      <c r="G21" s="943"/>
      <c r="H21" s="940"/>
      <c r="I21" s="944"/>
      <c r="J21" s="927"/>
      <c r="K21" s="927"/>
      <c r="L21" s="2047"/>
      <c r="M21" s="2048"/>
      <c r="N21" s="2049"/>
      <c r="O21" s="927"/>
      <c r="P21" s="927"/>
      <c r="Q21" s="927"/>
      <c r="R21" s="927"/>
    </row>
    <row r="22" spans="1:18" x14ac:dyDescent="0.25">
      <c r="A22" s="927"/>
      <c r="B22" s="937"/>
      <c r="C22" s="940" t="s">
        <v>53</v>
      </c>
      <c r="D22" s="942">
        <f>0.1*SUM(D19:D21)</f>
        <v>0</v>
      </c>
      <c r="E22" s="927"/>
      <c r="F22" s="927"/>
      <c r="G22" s="943"/>
      <c r="H22" s="940"/>
      <c r="I22" s="944"/>
      <c r="J22" s="927"/>
      <c r="K22" s="927"/>
      <c r="L22" s="2050"/>
      <c r="M22" s="2051"/>
      <c r="N22" s="2052"/>
      <c r="O22" s="927"/>
      <c r="P22" s="927"/>
      <c r="Q22" s="927"/>
      <c r="R22" s="927"/>
    </row>
    <row r="23" spans="1:18" x14ac:dyDescent="0.25">
      <c r="A23" s="927"/>
      <c r="B23" s="937"/>
      <c r="C23" s="950" t="s">
        <v>120</v>
      </c>
      <c r="D23" s="942">
        <f>0.2*SUM(D19:D22)</f>
        <v>0</v>
      </c>
      <c r="E23" s="927"/>
      <c r="F23" s="927"/>
      <c r="G23" s="943"/>
      <c r="H23" s="940"/>
      <c r="I23" s="944"/>
      <c r="J23" s="927"/>
      <c r="K23" s="927"/>
      <c r="L23" s="2053"/>
      <c r="M23" s="2054"/>
      <c r="N23" s="2055"/>
      <c r="O23" s="927"/>
      <c r="P23" s="927"/>
      <c r="Q23" s="927"/>
      <c r="R23" s="927"/>
    </row>
    <row r="24" spans="1:18" x14ac:dyDescent="0.25">
      <c r="A24" s="927"/>
      <c r="B24" s="951"/>
      <c r="C24" s="952" t="s">
        <v>712</v>
      </c>
      <c r="D24" s="1558" t="str">
        <f>IF(Q107=1,'АЗ ОВ'!G54,"0,0")</f>
        <v>0,0</v>
      </c>
      <c r="E24" s="927"/>
      <c r="F24" s="927"/>
      <c r="G24" s="943"/>
      <c r="H24" s="940"/>
      <c r="I24" s="944"/>
      <c r="J24" s="927"/>
      <c r="K24" s="927"/>
      <c r="L24" s="2053"/>
      <c r="M24" s="2054"/>
      <c r="N24" s="2055"/>
      <c r="O24" s="927"/>
      <c r="P24" s="927"/>
      <c r="Q24" s="927"/>
      <c r="R24" s="927"/>
    </row>
    <row r="25" spans="1:18" x14ac:dyDescent="0.25">
      <c r="A25" s="927"/>
      <c r="B25" s="953"/>
      <c r="C25" s="952" t="s">
        <v>713</v>
      </c>
      <c r="D25" s="1558" t="str">
        <f>IF(Q107=1,'АЗ ОВ'!F54,"0,0")</f>
        <v>0,0</v>
      </c>
      <c r="E25" s="927"/>
      <c r="F25" s="927"/>
      <c r="G25" s="943"/>
      <c r="H25" s="940"/>
      <c r="I25" s="944"/>
      <c r="J25" s="927"/>
      <c r="K25" s="927"/>
      <c r="L25" s="2053"/>
      <c r="M25" s="2054"/>
      <c r="N25" s="2055"/>
      <c r="O25" s="927"/>
      <c r="P25" s="927"/>
      <c r="Q25" s="927"/>
      <c r="R25" s="927"/>
    </row>
    <row r="26" spans="1:18" x14ac:dyDescent="0.25">
      <c r="A26" s="927"/>
      <c r="B26" s="953" t="s">
        <v>139</v>
      </c>
      <c r="C26" s="952" t="s">
        <v>714</v>
      </c>
      <c r="D26" s="1558" t="str">
        <f>IF(Q107=1,'АЗ ОВ'!E54,"0,0")</f>
        <v>0,0</v>
      </c>
      <c r="E26" s="927"/>
      <c r="F26" s="927"/>
      <c r="G26" s="943"/>
      <c r="H26" s="940"/>
      <c r="I26" s="944"/>
      <c r="J26" s="927"/>
      <c r="K26" s="927"/>
      <c r="L26" s="2053"/>
      <c r="M26" s="2054"/>
      <c r="N26" s="2055"/>
      <c r="O26" s="927"/>
      <c r="P26" s="927"/>
      <c r="Q26" s="927"/>
      <c r="R26" s="927"/>
    </row>
    <row r="27" spans="1:18" x14ac:dyDescent="0.25">
      <c r="A27" s="927"/>
      <c r="B27" s="953"/>
      <c r="C27" s="952" t="s">
        <v>53</v>
      </c>
      <c r="D27" s="942">
        <f>0.1*SUM(D24:D26)</f>
        <v>0</v>
      </c>
      <c r="E27" s="927"/>
      <c r="F27" s="927"/>
      <c r="G27" s="943"/>
      <c r="H27" s="940"/>
      <c r="I27" s="944"/>
      <c r="J27" s="927"/>
      <c r="K27" s="927"/>
      <c r="L27" s="2053"/>
      <c r="M27" s="2054"/>
      <c r="N27" s="2055"/>
      <c r="O27" s="927"/>
      <c r="P27" s="927"/>
      <c r="Q27" s="927"/>
      <c r="R27" s="927"/>
    </row>
    <row r="28" spans="1:18" ht="15.75" thickBot="1" x14ac:dyDescent="0.3">
      <c r="A28" s="927"/>
      <c r="B28" s="954"/>
      <c r="C28" s="955" t="s">
        <v>120</v>
      </c>
      <c r="D28" s="942">
        <f>0.2*SUM(D24:D27)</f>
        <v>0</v>
      </c>
      <c r="E28" s="927"/>
      <c r="F28" s="927"/>
      <c r="G28" s="943"/>
      <c r="H28" s="940"/>
      <c r="I28" s="944"/>
      <c r="J28" s="927"/>
      <c r="K28" s="927"/>
      <c r="L28" s="2053"/>
      <c r="M28" s="2054"/>
      <c r="N28" s="2055"/>
      <c r="O28" s="927"/>
      <c r="P28" s="927"/>
      <c r="Q28" s="927"/>
      <c r="R28" s="927"/>
    </row>
    <row r="29" spans="1:18" ht="15.75" thickBot="1" x14ac:dyDescent="0.3">
      <c r="A29" s="927"/>
      <c r="B29" s="956"/>
      <c r="C29" s="957" t="s">
        <v>712</v>
      </c>
      <c r="D29" s="960">
        <f>SUM(D9,D14,D19)</f>
        <v>0</v>
      </c>
      <c r="E29" s="927"/>
      <c r="F29" s="927"/>
      <c r="G29" s="943"/>
      <c r="H29" s="940"/>
      <c r="I29" s="944"/>
      <c r="J29" s="927"/>
      <c r="K29" s="927"/>
      <c r="L29" s="2053"/>
      <c r="M29" s="2054"/>
      <c r="N29" s="2055"/>
      <c r="O29" s="927"/>
      <c r="P29" s="927"/>
      <c r="Q29" s="927"/>
      <c r="R29" s="927"/>
    </row>
    <row r="30" spans="1:18" ht="15.75" thickBot="1" x14ac:dyDescent="0.3">
      <c r="A30" s="927"/>
      <c r="B30" s="958"/>
      <c r="C30" s="959" t="s">
        <v>713</v>
      </c>
      <c r="D30" s="960">
        <f>SUM(D10,D15,D20)</f>
        <v>0</v>
      </c>
      <c r="E30" s="927"/>
      <c r="F30" s="927"/>
      <c r="G30" s="943"/>
      <c r="H30" s="940"/>
      <c r="I30" s="944"/>
      <c r="J30" s="927"/>
      <c r="K30" s="927"/>
      <c r="L30" s="2053"/>
      <c r="M30" s="2054"/>
      <c r="N30" s="2055"/>
      <c r="O30" s="927"/>
      <c r="P30" s="927"/>
      <c r="Q30" s="927"/>
      <c r="R30" s="927"/>
    </row>
    <row r="31" spans="1:18" ht="15.75" thickBot="1" x14ac:dyDescent="0.3">
      <c r="A31" s="927"/>
      <c r="B31" s="961" t="s">
        <v>52</v>
      </c>
      <c r="C31" s="959" t="s">
        <v>714</v>
      </c>
      <c r="D31" s="960">
        <f>SUM(D11,D16,D21)</f>
        <v>0</v>
      </c>
      <c r="E31" s="927"/>
      <c r="F31" s="927"/>
      <c r="G31" s="943"/>
      <c r="H31" s="940"/>
      <c r="I31" s="944"/>
      <c r="J31" s="927"/>
      <c r="K31" s="927"/>
      <c r="L31" s="2053"/>
      <c r="M31" s="2054"/>
      <c r="N31" s="2055"/>
      <c r="O31" s="927"/>
      <c r="P31" s="927"/>
      <c r="Q31" s="927"/>
      <c r="R31" s="927"/>
    </row>
    <row r="32" spans="1:18" ht="15.75" thickBot="1" x14ac:dyDescent="0.3">
      <c r="A32" s="927"/>
      <c r="B32" s="958"/>
      <c r="C32" s="959" t="s">
        <v>53</v>
      </c>
      <c r="D32" s="960">
        <f>0.1*SUM(D29:D31)</f>
        <v>0</v>
      </c>
      <c r="E32" s="927"/>
      <c r="F32" s="927"/>
      <c r="G32" s="943"/>
      <c r="H32" s="940"/>
      <c r="I32" s="944"/>
      <c r="J32" s="927"/>
      <c r="K32" s="927"/>
      <c r="L32" s="2053"/>
      <c r="M32" s="2054"/>
      <c r="N32" s="2055"/>
      <c r="O32" s="927"/>
      <c r="P32" s="927"/>
      <c r="Q32" s="927"/>
      <c r="R32" s="927"/>
    </row>
    <row r="33" spans="1:18" ht="15.75" thickBot="1" x14ac:dyDescent="0.3">
      <c r="A33" s="927"/>
      <c r="B33" s="962"/>
      <c r="C33" s="963" t="s">
        <v>120</v>
      </c>
      <c r="D33" s="960">
        <f>0.2*SUM(D29:D32)</f>
        <v>0</v>
      </c>
      <c r="E33" s="927"/>
      <c r="F33" s="927"/>
      <c r="G33" s="964"/>
      <c r="H33" s="965"/>
      <c r="I33" s="966"/>
      <c r="J33" s="927"/>
      <c r="K33" s="927"/>
      <c r="L33" s="2056"/>
      <c r="M33" s="2057"/>
      <c r="N33" s="2058"/>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2059" t="s">
        <v>717</v>
      </c>
      <c r="B36" s="2060"/>
      <c r="C36" s="2060"/>
      <c r="D36" s="2060"/>
      <c r="E36" s="2060"/>
      <c r="F36" s="2060"/>
      <c r="G36" s="2060"/>
      <c r="H36" s="2060"/>
      <c r="I36" s="2060"/>
      <c r="J36" s="2060"/>
      <c r="K36" s="2060"/>
      <c r="L36" s="2060"/>
      <c r="M36" s="2060"/>
      <c r="N36" s="2060"/>
      <c r="O36" s="2060"/>
      <c r="P36" s="2060"/>
      <c r="Q36" s="2061"/>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718</v>
      </c>
      <c r="C38" s="968"/>
      <c r="D38" s="967" t="s">
        <v>719</v>
      </c>
      <c r="E38" s="2062" t="s">
        <v>36</v>
      </c>
      <c r="F38" s="2063"/>
      <c r="G38" s="967" t="s">
        <v>720</v>
      </c>
      <c r="H38" s="967" t="s">
        <v>721</v>
      </c>
      <c r="I38" s="967" t="s">
        <v>722</v>
      </c>
      <c r="J38" s="2062" t="s">
        <v>36</v>
      </c>
      <c r="K38" s="2063"/>
      <c r="L38" s="967" t="s">
        <v>723</v>
      </c>
      <c r="M38" s="967" t="s">
        <v>721</v>
      </c>
      <c r="N38" s="967" t="s">
        <v>724</v>
      </c>
      <c r="O38" s="2062" t="s">
        <v>36</v>
      </c>
      <c r="P38" s="2063"/>
      <c r="Q38" s="969"/>
      <c r="R38" s="927"/>
    </row>
    <row r="39" spans="1:18" ht="16.899999999999999" customHeight="1" collapsed="1" x14ac:dyDescent="0.25">
      <c r="A39" s="927">
        <f>IF($B$11,1,0)</f>
        <v>1</v>
      </c>
      <c r="B39" s="970" t="b">
        <v>0</v>
      </c>
      <c r="C39" s="971"/>
      <c r="D39" s="940" t="str">
        <f>IF(B39, "Количество площадок","")</f>
        <v/>
      </c>
      <c r="E39" s="1993"/>
      <c r="F39" s="1993"/>
      <c r="G39" s="940" t="str">
        <f>IF(B39, "Количество узлов","")</f>
        <v/>
      </c>
      <c r="H39" s="972"/>
      <c r="I39" s="940" t="str">
        <f>IF(B39, "Количество кластеров","")</f>
        <v/>
      </c>
      <c r="J39" s="1993"/>
      <c r="K39" s="1993"/>
      <c r="L39" s="940"/>
      <c r="M39" s="970"/>
      <c r="N39" s="940"/>
      <c r="O39" s="1993"/>
      <c r="P39" s="1993"/>
      <c r="Q39" s="970" t="str">
        <f>IF(B39,1,"")</f>
        <v/>
      </c>
      <c r="R39" s="927"/>
    </row>
    <row r="40" spans="1:18" ht="27" hidden="1" customHeight="1" outlineLevel="1" thickBot="1" x14ac:dyDescent="0.3">
      <c r="A40" s="927"/>
      <c r="B40" s="2000" t="s">
        <v>1558</v>
      </c>
      <c r="C40" s="2001"/>
      <c r="D40" s="2001"/>
      <c r="E40" s="2001"/>
      <c r="F40" s="2001"/>
      <c r="G40" s="2001"/>
      <c r="H40" s="2001"/>
      <c r="I40" s="2001"/>
      <c r="J40" s="2001"/>
      <c r="K40" s="2001"/>
      <c r="L40" s="2001"/>
      <c r="M40" s="2001"/>
      <c r="N40" s="2001"/>
      <c r="O40" s="2001"/>
      <c r="P40" s="2001"/>
      <c r="Q40" s="2002"/>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2003" t="s">
        <v>1559</v>
      </c>
      <c r="C42" s="2004"/>
      <c r="D42" s="2004"/>
      <c r="E42" s="2004"/>
      <c r="F42" s="2004"/>
      <c r="G42" s="2004"/>
      <c r="H42" s="2004"/>
      <c r="I42" s="2004"/>
      <c r="J42" s="2004"/>
      <c r="K42" s="2004"/>
      <c r="L42" s="2004"/>
      <c r="M42" s="2004"/>
      <c r="N42" s="2004"/>
      <c r="O42" s="2004"/>
      <c r="P42" s="2004"/>
      <c r="Q42" s="2005"/>
      <c r="R42" s="927"/>
    </row>
    <row r="43" spans="1:18" s="118" customFormat="1" ht="28.9" hidden="1" customHeight="1" outlineLevel="1" x14ac:dyDescent="0.25">
      <c r="A43" s="927"/>
      <c r="B43" s="2030" t="s">
        <v>1560</v>
      </c>
      <c r="C43" s="2031"/>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30" t="s">
        <v>1561</v>
      </c>
      <c r="C44" s="2031"/>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30" t="s">
        <v>1562</v>
      </c>
      <c r="C45" s="2031"/>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30" t="s">
        <v>725</v>
      </c>
      <c r="C46" s="2031"/>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30" t="s">
        <v>726</v>
      </c>
      <c r="C47" s="2031"/>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30" t="s">
        <v>1563</v>
      </c>
      <c r="C48" s="2031"/>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30" t="s">
        <v>1564</v>
      </c>
      <c r="C49" s="2031"/>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30" t="s">
        <v>1565</v>
      </c>
      <c r="C50" s="2031"/>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2003" t="s">
        <v>1566</v>
      </c>
      <c r="C52" s="2004"/>
      <c r="D52" s="2004"/>
      <c r="E52" s="2004"/>
      <c r="F52" s="2004"/>
      <c r="G52" s="2004"/>
      <c r="H52" s="2004"/>
      <c r="I52" s="2004"/>
      <c r="J52" s="2004"/>
      <c r="K52" s="2004"/>
      <c r="L52" s="2004"/>
      <c r="M52" s="2004"/>
      <c r="N52" s="2004"/>
      <c r="O52" s="2004"/>
      <c r="P52" s="2004"/>
      <c r="Q52" s="2005"/>
      <c r="R52" s="927"/>
    </row>
    <row r="53" spans="1:18" ht="21" hidden="1" customHeight="1" outlineLevel="1" x14ac:dyDescent="0.25">
      <c r="A53" s="927"/>
      <c r="B53" s="2026" t="s">
        <v>727</v>
      </c>
      <c r="C53" s="2027"/>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26" t="s">
        <v>728</v>
      </c>
      <c r="C54" s="2027"/>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26" t="s">
        <v>729</v>
      </c>
      <c r="C55" s="2027"/>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26" t="s">
        <v>730</v>
      </c>
      <c r="C56" s="2027"/>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26" t="s">
        <v>731</v>
      </c>
      <c r="C57" s="2027"/>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26" t="s">
        <v>732</v>
      </c>
      <c r="C58" s="2027"/>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26" t="s">
        <v>733</v>
      </c>
      <c r="C59" s="2027"/>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2003" t="s">
        <v>1567</v>
      </c>
      <c r="C61" s="2004"/>
      <c r="D61" s="2004"/>
      <c r="E61" s="2004"/>
      <c r="F61" s="2004"/>
      <c r="G61" s="2004"/>
      <c r="H61" s="2004"/>
      <c r="I61" s="2004"/>
      <c r="J61" s="2004"/>
      <c r="K61" s="2004"/>
      <c r="L61" s="2004"/>
      <c r="M61" s="2004"/>
      <c r="N61" s="2004"/>
      <c r="O61" s="2004"/>
      <c r="P61" s="2004"/>
      <c r="Q61" s="2005"/>
      <c r="R61" s="927"/>
    </row>
    <row r="62" spans="1:18" ht="21.6" hidden="1" customHeight="1" outlineLevel="1" x14ac:dyDescent="0.25">
      <c r="A62" s="927"/>
      <c r="B62" s="2026" t="s">
        <v>734</v>
      </c>
      <c r="C62" s="2027"/>
      <c r="D62" s="977" t="s">
        <v>107</v>
      </c>
      <c r="E62" s="981"/>
      <c r="F62" s="981"/>
      <c r="G62" s="982"/>
      <c r="H62" s="982"/>
      <c r="I62" s="982"/>
      <c r="J62" s="981"/>
      <c r="K62" s="981"/>
      <c r="L62" s="982"/>
      <c r="M62" s="982"/>
      <c r="N62" s="982"/>
      <c r="O62" s="981"/>
      <c r="P62" s="981"/>
      <c r="Q62" s="983"/>
      <c r="R62" s="927"/>
    </row>
    <row r="63" spans="1:18" hidden="1" outlineLevel="1" x14ac:dyDescent="0.25">
      <c r="A63" s="927"/>
      <c r="B63" s="2026" t="s">
        <v>735</v>
      </c>
      <c r="C63" s="2027"/>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26" t="s">
        <v>736</v>
      </c>
      <c r="C64" s="2027"/>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26" t="s">
        <v>737</v>
      </c>
      <c r="C65" s="2027"/>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26" t="s">
        <v>738</v>
      </c>
      <c r="C66" s="2027"/>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26" t="s">
        <v>739</v>
      </c>
      <c r="C67" s="2027"/>
      <c r="D67" s="985"/>
      <c r="E67" s="981"/>
      <c r="F67" s="981"/>
      <c r="G67" s="982"/>
      <c r="H67" s="982"/>
      <c r="I67" s="982"/>
      <c r="J67" s="981"/>
      <c r="K67" s="981"/>
      <c r="L67" s="982"/>
      <c r="M67" s="982"/>
      <c r="N67" s="982"/>
      <c r="O67" s="981"/>
      <c r="P67" s="981"/>
      <c r="Q67" s="983"/>
      <c r="R67" s="927"/>
    </row>
    <row r="68" spans="1:18" hidden="1" outlineLevel="1" x14ac:dyDescent="0.25">
      <c r="A68" s="927"/>
      <c r="B68" s="2026" t="s">
        <v>740</v>
      </c>
      <c r="C68" s="2027"/>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26" t="s">
        <v>741</v>
      </c>
      <c r="C69" s="2027"/>
      <c r="D69" s="985"/>
      <c r="E69" s="981"/>
      <c r="F69" s="981"/>
      <c r="G69" s="982"/>
      <c r="H69" s="982"/>
      <c r="I69" s="982"/>
      <c r="J69" s="981"/>
      <c r="K69" s="981"/>
      <c r="L69" s="982"/>
      <c r="M69" s="982"/>
      <c r="N69" s="982"/>
      <c r="O69" s="981"/>
      <c r="P69" s="981"/>
      <c r="Q69" s="983"/>
      <c r="R69" s="927"/>
    </row>
    <row r="70" spans="1:18" hidden="1" outlineLevel="1" x14ac:dyDescent="0.25">
      <c r="A70" s="927"/>
      <c r="B70" s="2026" t="s">
        <v>1568</v>
      </c>
      <c r="C70" s="2027"/>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28" t="s">
        <v>742</v>
      </c>
      <c r="C71" s="2029"/>
      <c r="D71" s="985"/>
      <c r="E71" s="2023"/>
      <c r="F71" s="2023"/>
      <c r="G71" s="982"/>
      <c r="H71" s="982"/>
      <c r="I71" s="982"/>
      <c r="J71" s="2023"/>
      <c r="K71" s="2023"/>
      <c r="L71" s="982"/>
      <c r="M71" s="982"/>
      <c r="N71" s="982"/>
      <c r="O71" s="2023"/>
      <c r="P71" s="2023"/>
      <c r="Q71" s="983"/>
      <c r="R71" s="927"/>
    </row>
    <row r="72" spans="1:18" hidden="1" outlineLevel="1" x14ac:dyDescent="0.25">
      <c r="A72" s="927"/>
      <c r="B72" s="984"/>
      <c r="C72" s="982"/>
      <c r="D72" s="982"/>
      <c r="E72" s="2023"/>
      <c r="F72" s="2023"/>
      <c r="G72" s="982"/>
      <c r="H72" s="982"/>
      <c r="I72" s="982"/>
      <c r="J72" s="2023"/>
      <c r="K72" s="2023"/>
      <c r="L72" s="982"/>
      <c r="M72" s="982"/>
      <c r="N72" s="982"/>
      <c r="O72" s="2023"/>
      <c r="P72" s="2023"/>
      <c r="Q72" s="983"/>
      <c r="R72" s="927"/>
    </row>
    <row r="73" spans="1:18" ht="21" customHeight="1" collapsed="1" x14ac:dyDescent="0.25">
      <c r="A73" s="927">
        <f>IF($B$11,1,0)</f>
        <v>1</v>
      </c>
      <c r="B73" s="970" t="b">
        <v>0</v>
      </c>
      <c r="C73" s="971"/>
      <c r="D73" s="986" t="str">
        <f>IF(B73, "Количество площадок","")</f>
        <v/>
      </c>
      <c r="E73" s="1993"/>
      <c r="F73" s="1993"/>
      <c r="G73" s="987" t="str">
        <f>IF(B73, "Количество узлов упр-я","")</f>
        <v/>
      </c>
      <c r="H73" s="988"/>
      <c r="I73" s="987" t="str">
        <f>IF(B73, "Количество KICS","")</f>
        <v/>
      </c>
      <c r="J73" s="1993"/>
      <c r="K73" s="1993"/>
      <c r="L73" s="987" t="str">
        <f>IF(B73, "Количество KES","")</f>
        <v/>
      </c>
      <c r="M73" s="972"/>
      <c r="N73" s="940"/>
      <c r="O73" s="1993"/>
      <c r="P73" s="1993"/>
      <c r="Q73" s="970" t="str">
        <f>IF(B73,1,"")</f>
        <v/>
      </c>
      <c r="R73" s="927"/>
    </row>
    <row r="74" spans="1:18" ht="19.5" hidden="1" outlineLevel="1" thickBot="1" x14ac:dyDescent="0.3">
      <c r="A74" s="927"/>
      <c r="B74" s="2000" t="s">
        <v>743</v>
      </c>
      <c r="C74" s="2001"/>
      <c r="D74" s="2001"/>
      <c r="E74" s="2001"/>
      <c r="F74" s="2001"/>
      <c r="G74" s="2001"/>
      <c r="H74" s="2001"/>
      <c r="I74" s="2001"/>
      <c r="J74" s="2001"/>
      <c r="K74" s="2001"/>
      <c r="L74" s="2001"/>
      <c r="M74" s="2001"/>
      <c r="N74" s="2001"/>
      <c r="O74" s="2001"/>
      <c r="P74" s="2001"/>
      <c r="Q74" s="2002"/>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2003" t="s">
        <v>744</v>
      </c>
      <c r="C76" s="2004"/>
      <c r="D76" s="2004"/>
      <c r="E76" s="2004"/>
      <c r="F76" s="2004"/>
      <c r="G76" s="2004"/>
      <c r="H76" s="2004"/>
      <c r="I76" s="2004"/>
      <c r="J76" s="2004"/>
      <c r="K76" s="2004"/>
      <c r="L76" s="2004"/>
      <c r="M76" s="2004"/>
      <c r="N76" s="2004"/>
      <c r="O76" s="2004"/>
      <c r="P76" s="2004"/>
      <c r="Q76" s="2005"/>
      <c r="R76" s="927"/>
    </row>
    <row r="77" spans="1:18" ht="22.15" hidden="1" customHeight="1" outlineLevel="1" x14ac:dyDescent="0.25">
      <c r="A77" s="927"/>
      <c r="B77" s="2024" t="s">
        <v>745</v>
      </c>
      <c r="C77" s="2007"/>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2003" t="s">
        <v>746</v>
      </c>
      <c r="C79" s="2004"/>
      <c r="D79" s="2004"/>
      <c r="E79" s="2004"/>
      <c r="F79" s="2004"/>
      <c r="G79" s="2004"/>
      <c r="H79" s="2004"/>
      <c r="I79" s="2004"/>
      <c r="J79" s="2004"/>
      <c r="K79" s="2004"/>
      <c r="L79" s="2004"/>
      <c r="M79" s="2004"/>
      <c r="N79" s="2004"/>
      <c r="O79" s="2004"/>
      <c r="P79" s="2004"/>
      <c r="Q79" s="2005"/>
      <c r="R79" s="927"/>
    </row>
    <row r="80" spans="1:18" ht="23.45" hidden="1" customHeight="1" outlineLevel="1" x14ac:dyDescent="0.25">
      <c r="A80" s="927"/>
      <c r="B80" s="2024" t="s">
        <v>745</v>
      </c>
      <c r="C80" s="2007"/>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20"/>
      <c r="F82" s="2020"/>
      <c r="G82" s="940" t="str">
        <f>IF(B82, "Количество хостов","")</f>
        <v/>
      </c>
      <c r="H82" s="995"/>
      <c r="I82" s="938" t="str">
        <f>IF(B82, "Количество почтовых серверов","")</f>
        <v/>
      </c>
      <c r="J82" s="2020"/>
      <c r="K82" s="2020"/>
      <c r="L82" s="938" t="str">
        <f>IF(B82, "Количество правил фильтрации","")</f>
        <v/>
      </c>
      <c r="M82" s="995"/>
      <c r="N82" s="938"/>
      <c r="O82" s="2020"/>
      <c r="P82" s="2020"/>
      <c r="Q82" s="993" t="str">
        <f>IF(B82,1,"")</f>
        <v/>
      </c>
      <c r="R82" s="927"/>
    </row>
    <row r="83" spans="1:18" collapsed="1" x14ac:dyDescent="0.25">
      <c r="A83" s="927">
        <f>IF($B$11,1,0)</f>
        <v>1</v>
      </c>
      <c r="B83" s="996" t="b">
        <v>0</v>
      </c>
      <c r="C83" s="997"/>
      <c r="D83" s="940" t="str">
        <f>IF(B83, "Количество площадок","")</f>
        <v/>
      </c>
      <c r="E83" s="2025"/>
      <c r="F83" s="2025"/>
      <c r="G83" s="950" t="str">
        <f>IF(B83, "Количество устройств","")</f>
        <v/>
      </c>
      <c r="H83" s="998"/>
      <c r="I83" s="950" t="str">
        <f>IF(B83, "Количество кластеров","")</f>
        <v/>
      </c>
      <c r="J83" s="2025"/>
      <c r="K83" s="2025"/>
      <c r="L83" s="950" t="str">
        <f>IF(B83, "Кол-во VPN клиентов ","")</f>
        <v/>
      </c>
      <c r="M83" s="998"/>
      <c r="N83" s="950"/>
      <c r="O83" s="2025"/>
      <c r="P83" s="2025"/>
      <c r="Q83" s="993" t="str">
        <f>IF(B83,1,"")</f>
        <v/>
      </c>
      <c r="R83" s="927"/>
    </row>
    <row r="84" spans="1:18" ht="19.5" hidden="1" outlineLevel="1" thickBot="1" x14ac:dyDescent="0.3">
      <c r="A84" s="927"/>
      <c r="B84" s="2000" t="s">
        <v>747</v>
      </c>
      <c r="C84" s="2001"/>
      <c r="D84" s="2001"/>
      <c r="E84" s="2001"/>
      <c r="F84" s="2001"/>
      <c r="G84" s="2001"/>
      <c r="H84" s="2001"/>
      <c r="I84" s="2001"/>
      <c r="J84" s="2001"/>
      <c r="K84" s="2001"/>
      <c r="L84" s="2001"/>
      <c r="M84" s="2001"/>
      <c r="N84" s="2001"/>
      <c r="O84" s="2001"/>
      <c r="P84" s="2001"/>
      <c r="Q84" s="2002"/>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2003" t="s">
        <v>748</v>
      </c>
      <c r="C86" s="2004"/>
      <c r="D86" s="2004"/>
      <c r="E86" s="2004"/>
      <c r="F86" s="2004"/>
      <c r="G86" s="2004"/>
      <c r="H86" s="2004"/>
      <c r="I86" s="2004"/>
      <c r="J86" s="2004"/>
      <c r="K86" s="2004"/>
      <c r="L86" s="2004"/>
      <c r="M86" s="2004"/>
      <c r="N86" s="2004"/>
      <c r="O86" s="2004"/>
      <c r="P86" s="2004"/>
      <c r="Q86" s="2005"/>
      <c r="R86" s="927"/>
    </row>
    <row r="87" spans="1:18" ht="18" hidden="1" customHeight="1" outlineLevel="1" x14ac:dyDescent="0.25">
      <c r="A87" s="927"/>
      <c r="B87" s="2006" t="s">
        <v>749</v>
      </c>
      <c r="C87" s="2007"/>
      <c r="D87" s="999" t="s">
        <v>106</v>
      </c>
      <c r="E87" s="981"/>
      <c r="F87" s="981"/>
      <c r="G87" s="982"/>
      <c r="H87" s="982"/>
      <c r="I87" s="982"/>
      <c r="J87" s="981"/>
      <c r="K87" s="981"/>
      <c r="L87" s="982"/>
      <c r="M87" s="982"/>
      <c r="N87" s="982"/>
      <c r="O87" s="981"/>
      <c r="P87" s="981"/>
      <c r="Q87" s="982"/>
      <c r="R87" s="927"/>
    </row>
    <row r="88" spans="1:18" hidden="1" outlineLevel="1" x14ac:dyDescent="0.25">
      <c r="A88" s="927"/>
      <c r="B88" s="2023"/>
      <c r="C88" s="2023"/>
      <c r="D88" s="982"/>
      <c r="E88" s="981"/>
      <c r="F88" s="981"/>
      <c r="G88" s="982"/>
      <c r="H88" s="982"/>
      <c r="I88" s="982"/>
      <c r="J88" s="981"/>
      <c r="K88" s="981"/>
      <c r="L88" s="982"/>
      <c r="M88" s="982"/>
      <c r="N88" s="982"/>
      <c r="O88" s="981"/>
      <c r="P88" s="981"/>
      <c r="Q88" s="982"/>
      <c r="R88" s="927"/>
    </row>
    <row r="89" spans="1:18" hidden="1" outlineLevel="1" x14ac:dyDescent="0.25">
      <c r="A89" s="927"/>
      <c r="B89" s="2003" t="s">
        <v>750</v>
      </c>
      <c r="C89" s="2004"/>
      <c r="D89" s="2004"/>
      <c r="E89" s="2004"/>
      <c r="F89" s="2004"/>
      <c r="G89" s="2004"/>
      <c r="H89" s="2004"/>
      <c r="I89" s="2004"/>
      <c r="J89" s="2004"/>
      <c r="K89" s="2004"/>
      <c r="L89" s="2004"/>
      <c r="M89" s="2004"/>
      <c r="N89" s="2004"/>
      <c r="O89" s="2004"/>
      <c r="P89" s="2004"/>
      <c r="Q89" s="2005"/>
      <c r="R89" s="927"/>
    </row>
    <row r="90" spans="1:18" ht="30.6" hidden="1" customHeight="1" outlineLevel="1" x14ac:dyDescent="0.25">
      <c r="A90" s="927"/>
      <c r="B90" s="1998" t="s">
        <v>725</v>
      </c>
      <c r="C90" s="1999"/>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1998" t="s">
        <v>726</v>
      </c>
      <c r="C91" s="1999"/>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1998" t="s">
        <v>751</v>
      </c>
      <c r="C92" s="1999"/>
      <c r="D92" s="999" t="s">
        <v>106</v>
      </c>
      <c r="E92" s="981"/>
      <c r="F92" s="981"/>
      <c r="G92" s="982"/>
      <c r="H92" s="982"/>
      <c r="I92" s="982"/>
      <c r="J92" s="981"/>
      <c r="K92" s="981"/>
      <c r="L92" s="982"/>
      <c r="M92" s="982"/>
      <c r="N92" s="982"/>
      <c r="O92" s="981"/>
      <c r="P92" s="981"/>
      <c r="Q92" s="982"/>
      <c r="R92" s="927"/>
    </row>
    <row r="93" spans="1:18" hidden="1" outlineLevel="1" x14ac:dyDescent="0.25">
      <c r="A93" s="927"/>
      <c r="B93" s="2006" t="s">
        <v>752</v>
      </c>
      <c r="C93" s="2007"/>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2003" t="s">
        <v>753</v>
      </c>
      <c r="C95" s="2004"/>
      <c r="D95" s="2004"/>
      <c r="E95" s="2004"/>
      <c r="F95" s="2004"/>
      <c r="G95" s="2004"/>
      <c r="H95" s="2004"/>
      <c r="I95" s="2004"/>
      <c r="J95" s="2004"/>
      <c r="K95" s="2004"/>
      <c r="L95" s="2004"/>
      <c r="M95" s="2004"/>
      <c r="N95" s="2004"/>
      <c r="O95" s="2004"/>
      <c r="P95" s="2004"/>
      <c r="Q95" s="2005"/>
      <c r="R95" s="927"/>
    </row>
    <row r="96" spans="1:18" ht="25.15" hidden="1" customHeight="1" outlineLevel="1" x14ac:dyDescent="0.25">
      <c r="A96" s="927"/>
      <c r="B96" s="1998" t="s">
        <v>754</v>
      </c>
      <c r="C96" s="1999"/>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1998" t="s">
        <v>727</v>
      </c>
      <c r="C97" s="1999"/>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1998" t="s">
        <v>755</v>
      </c>
      <c r="C98" s="1999"/>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1998" t="s">
        <v>728</v>
      </c>
      <c r="C99" s="1999"/>
      <c r="D99" s="985"/>
      <c r="E99" s="981"/>
      <c r="F99" s="981"/>
      <c r="G99" s="982"/>
      <c r="H99" s="982"/>
      <c r="I99" s="982"/>
      <c r="J99" s="981"/>
      <c r="K99" s="981"/>
      <c r="L99" s="982"/>
      <c r="M99" s="982"/>
      <c r="N99" s="982"/>
      <c r="O99" s="981"/>
      <c r="P99" s="981"/>
      <c r="Q99" s="982"/>
      <c r="R99" s="927"/>
    </row>
    <row r="100" spans="1:18" hidden="1" outlineLevel="1" x14ac:dyDescent="0.25">
      <c r="A100" s="927"/>
      <c r="B100" s="2021"/>
      <c r="C100" s="2022"/>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2003" t="s">
        <v>756</v>
      </c>
      <c r="C101" s="2004"/>
      <c r="D101" s="2004"/>
      <c r="E101" s="2004"/>
      <c r="F101" s="2004"/>
      <c r="G101" s="2004"/>
      <c r="H101" s="2004"/>
      <c r="I101" s="2004"/>
      <c r="J101" s="2004"/>
      <c r="K101" s="2004"/>
      <c r="L101" s="2004"/>
      <c r="M101" s="2004"/>
      <c r="N101" s="2004"/>
      <c r="O101" s="2004"/>
      <c r="P101" s="2004"/>
      <c r="Q101" s="2005"/>
      <c r="R101" s="927"/>
    </row>
    <row r="102" spans="1:18" ht="14.45" hidden="1" customHeight="1" outlineLevel="1" x14ac:dyDescent="0.25">
      <c r="A102" s="927"/>
      <c r="B102" s="1998" t="s">
        <v>757</v>
      </c>
      <c r="C102" s="1999"/>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1998" t="s">
        <v>742</v>
      </c>
      <c r="C103" s="1999"/>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1998" t="s">
        <v>736</v>
      </c>
      <c r="C104" s="1999"/>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1998" t="s">
        <v>758</v>
      </c>
      <c r="C105" s="1999"/>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1993"/>
      <c r="F107" s="1993"/>
      <c r="G107" s="940" t="str">
        <f>IF(B107, "Кол-во хостов ","")</f>
        <v/>
      </c>
      <c r="H107" s="972"/>
      <c r="I107" s="940" t="str">
        <f>IF(B107, "Домен ","")</f>
        <v/>
      </c>
      <c r="J107" s="1993"/>
      <c r="K107" s="1993"/>
      <c r="L107" s="940"/>
      <c r="M107" s="972"/>
      <c r="N107" s="940"/>
      <c r="O107" s="1993"/>
      <c r="P107" s="1993"/>
      <c r="Q107" s="970" t="str">
        <f>IF(B107,1,"")</f>
        <v/>
      </c>
      <c r="R107" s="927"/>
    </row>
    <row r="108" spans="1:18" x14ac:dyDescent="0.25">
      <c r="A108" s="927">
        <f t="shared" ref="A108:A127" si="1">IF($B$11,1,0)</f>
        <v>1</v>
      </c>
      <c r="B108" s="993" t="b">
        <v>0</v>
      </c>
      <c r="C108" s="994"/>
      <c r="D108" s="938" t="str">
        <f t="shared" si="0"/>
        <v/>
      </c>
      <c r="E108" s="2020"/>
      <c r="F108" s="2020"/>
      <c r="G108" s="938" t="str">
        <f>IF(B108, "Кол-во серверов ПРК ","")</f>
        <v/>
      </c>
      <c r="H108" s="995"/>
      <c r="I108" s="938" t="str">
        <f>IF(B108, "Хосты с агентом","")</f>
        <v/>
      </c>
      <c r="J108" s="2020"/>
      <c r="K108" s="2020"/>
      <c r="L108" s="938"/>
      <c r="M108" s="995"/>
      <c r="N108" s="938"/>
      <c r="O108" s="2020"/>
      <c r="P108" s="2020"/>
      <c r="Q108" s="970" t="str">
        <f t="shared" ref="Q108:Q127" si="2">IF(B108,1,"")</f>
        <v/>
      </c>
      <c r="R108" s="927"/>
    </row>
    <row r="109" spans="1:18" x14ac:dyDescent="0.25">
      <c r="A109" s="927">
        <f t="shared" si="1"/>
        <v>1</v>
      </c>
      <c r="B109" s="970" t="b">
        <v>0</v>
      </c>
      <c r="C109" s="971"/>
      <c r="D109" s="940" t="str">
        <f t="shared" si="0"/>
        <v/>
      </c>
      <c r="E109" s="1993"/>
      <c r="F109" s="1993"/>
      <c r="G109" s="940" t="str">
        <f>IF(B109, "Количество устройств","")</f>
        <v/>
      </c>
      <c r="H109" s="972"/>
      <c r="I109" s="940"/>
      <c r="J109" s="1993"/>
      <c r="K109" s="1993"/>
      <c r="L109" s="940"/>
      <c r="M109" s="972"/>
      <c r="N109" s="940"/>
      <c r="O109" s="1993"/>
      <c r="P109" s="1993"/>
      <c r="Q109" s="970" t="str">
        <f t="shared" si="2"/>
        <v/>
      </c>
      <c r="R109" s="927"/>
    </row>
    <row r="110" spans="1:18" x14ac:dyDescent="0.25">
      <c r="A110" s="927">
        <f t="shared" si="1"/>
        <v>1</v>
      </c>
      <c r="B110" s="970" t="b">
        <v>0</v>
      </c>
      <c r="C110" s="971"/>
      <c r="D110" s="940" t="str">
        <f>IF(B110, "Количество площадок ","")</f>
        <v/>
      </c>
      <c r="E110" s="1993"/>
      <c r="F110" s="1993"/>
      <c r="G110" s="940" t="str">
        <f>IF(B110, "Количество компонентов","")</f>
        <v/>
      </c>
      <c r="H110" s="972"/>
      <c r="I110" s="940" t="str">
        <f>IF(B110, "Кол-во защищ. серверов","")</f>
        <v/>
      </c>
      <c r="J110" s="1993"/>
      <c r="K110" s="1993"/>
      <c r="L110" s="940"/>
      <c r="M110" s="972"/>
      <c r="N110" s="940"/>
      <c r="O110" s="1993"/>
      <c r="P110" s="1993"/>
      <c r="Q110" s="970" t="str">
        <f t="shared" si="2"/>
        <v/>
      </c>
      <c r="R110" s="927"/>
    </row>
    <row r="111" spans="1:18" x14ac:dyDescent="0.25">
      <c r="A111" s="927">
        <f t="shared" si="1"/>
        <v>1</v>
      </c>
      <c r="B111" s="970" t="b">
        <v>0</v>
      </c>
      <c r="C111" s="971"/>
      <c r="D111" s="940" t="str">
        <f>IF(B111, "Количество площадок ","")</f>
        <v/>
      </c>
      <c r="E111" s="1993"/>
      <c r="F111" s="1993"/>
      <c r="G111" s="940" t="str">
        <f>IF(B111, "Количество хостов","")</f>
        <v/>
      </c>
      <c r="H111" s="972"/>
      <c r="I111" s="940"/>
      <c r="J111" s="1993"/>
      <c r="K111" s="1993"/>
      <c r="L111" s="940"/>
      <c r="M111" s="972"/>
      <c r="N111" s="940"/>
      <c r="O111" s="1993"/>
      <c r="P111" s="1993"/>
      <c r="Q111" s="970" t="str">
        <f t="shared" si="2"/>
        <v/>
      </c>
      <c r="R111" s="927"/>
    </row>
    <row r="112" spans="1:18" x14ac:dyDescent="0.25">
      <c r="A112" s="927">
        <f t="shared" si="1"/>
        <v>1</v>
      </c>
      <c r="B112" s="970" t="b">
        <v>0</v>
      </c>
      <c r="C112" s="971"/>
      <c r="D112" s="940" t="str">
        <f>IF(B112, "Количество площадок ","")</f>
        <v/>
      </c>
      <c r="E112" s="1993"/>
      <c r="F112" s="1993"/>
      <c r="G112" s="940" t="str">
        <f>IF(B112, "Количество хостов","")</f>
        <v/>
      </c>
      <c r="H112" s="972"/>
      <c r="I112" s="940"/>
      <c r="J112" s="1993"/>
      <c r="K112" s="1993"/>
      <c r="L112" s="940"/>
      <c r="M112" s="972"/>
      <c r="N112" s="940"/>
      <c r="O112" s="1993"/>
      <c r="P112" s="1993"/>
      <c r="Q112" s="970" t="str">
        <f t="shared" si="2"/>
        <v/>
      </c>
      <c r="R112" s="927"/>
    </row>
    <row r="113" spans="1:18" x14ac:dyDescent="0.25">
      <c r="A113" s="927">
        <f t="shared" si="1"/>
        <v>1</v>
      </c>
      <c r="B113" s="970" t="b">
        <v>0</v>
      </c>
      <c r="C113" s="970"/>
      <c r="D113" s="940" t="str">
        <f>IF(B113, "Количество AiО","")</f>
        <v/>
      </c>
      <c r="E113" s="1993"/>
      <c r="F113" s="1993"/>
      <c r="G113" s="940" t="str">
        <f>IF(B113, "Количество хостов ядра","")</f>
        <v/>
      </c>
      <c r="H113" s="972"/>
      <c r="I113" s="940" t="str">
        <f>IF(B113, "Количество коллекторов","")</f>
        <v/>
      </c>
      <c r="J113" s="1993"/>
      <c r="K113" s="1993"/>
      <c r="L113" s="940" t="str">
        <f>IF(B113, "Количество корреляторов","")</f>
        <v/>
      </c>
      <c r="M113" s="972"/>
      <c r="N113" s="940" t="str">
        <f>IF(B113, "Количество источников","")</f>
        <v/>
      </c>
      <c r="O113" s="1993"/>
      <c r="P113" s="1993"/>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1993"/>
      <c r="F114" s="1993"/>
      <c r="G114" s="987" t="str">
        <f>IF(B114, "Количество агрегаторов трафика","")</f>
        <v/>
      </c>
      <c r="H114" s="972"/>
      <c r="I114" s="987" t="str">
        <f>IF(B114, "Количество брокеров сетевых пакетов","")</f>
        <v/>
      </c>
      <c r="J114" s="1993"/>
      <c r="K114" s="1993"/>
      <c r="L114" s="987" t="str">
        <f>IF(B114, "Количество точек мониторинга","")</f>
        <v/>
      </c>
      <c r="M114" s="972"/>
      <c r="N114" s="987" t="str">
        <f>IF(B114, "Количество узлов в защищаемых сегментах","")</f>
        <v/>
      </c>
      <c r="O114" s="1993"/>
      <c r="P114" s="1993"/>
      <c r="Q114" s="970" t="str">
        <f t="shared" si="2"/>
        <v/>
      </c>
      <c r="R114" s="927"/>
    </row>
    <row r="115" spans="1:18" ht="15" hidden="1" customHeight="1" outlineLevel="1" thickBot="1" x14ac:dyDescent="0.3">
      <c r="A115" s="927"/>
      <c r="B115" s="2000" t="s">
        <v>759</v>
      </c>
      <c r="C115" s="2001"/>
      <c r="D115" s="2001"/>
      <c r="E115" s="2001"/>
      <c r="F115" s="2001"/>
      <c r="G115" s="2001"/>
      <c r="H115" s="2001"/>
      <c r="I115" s="2001"/>
      <c r="J115" s="2001"/>
      <c r="K115" s="2001"/>
      <c r="L115" s="2001"/>
      <c r="M115" s="2001"/>
      <c r="N115" s="2001"/>
      <c r="O115" s="2001"/>
      <c r="P115" s="2001"/>
      <c r="Q115" s="2002"/>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2003" t="s">
        <v>760</v>
      </c>
      <c r="C117" s="2004"/>
      <c r="D117" s="2004"/>
      <c r="E117" s="2004"/>
      <c r="F117" s="2004"/>
      <c r="G117" s="2004"/>
      <c r="H117" s="2004"/>
      <c r="I117" s="2004"/>
      <c r="J117" s="2004"/>
      <c r="K117" s="2004"/>
      <c r="L117" s="2004"/>
      <c r="M117" s="2004"/>
      <c r="N117" s="2004"/>
      <c r="O117" s="2004"/>
      <c r="P117" s="2004"/>
      <c r="Q117" s="2005"/>
      <c r="R117" s="927"/>
    </row>
    <row r="118" spans="1:18" ht="30.6" hidden="1" customHeight="1" outlineLevel="1" x14ac:dyDescent="0.25">
      <c r="A118" s="927"/>
      <c r="B118" s="2018" t="s">
        <v>761</v>
      </c>
      <c r="C118" s="2019"/>
      <c r="D118" s="1001" t="s">
        <v>106</v>
      </c>
      <c r="E118" s="2013"/>
      <c r="F118" s="2013"/>
      <c r="G118" s="1002"/>
      <c r="H118" s="1003"/>
      <c r="I118" s="1002"/>
      <c r="J118" s="2013"/>
      <c r="K118" s="2013"/>
      <c r="L118" s="1002"/>
      <c r="M118" s="1003"/>
      <c r="N118" s="1002"/>
      <c r="O118" s="2013"/>
      <c r="P118" s="2013"/>
      <c r="Q118" s="1004"/>
      <c r="R118" s="927"/>
    </row>
    <row r="119" spans="1:18" ht="15" hidden="1" customHeight="1" outlineLevel="1" x14ac:dyDescent="0.25">
      <c r="A119" s="927"/>
      <c r="B119" s="2011" t="s">
        <v>762</v>
      </c>
      <c r="C119" s="2012"/>
      <c r="D119" s="1005" t="s">
        <v>106</v>
      </c>
      <c r="E119" s="2013"/>
      <c r="F119" s="2013"/>
      <c r="G119" s="1002"/>
      <c r="H119" s="1003"/>
      <c r="I119" s="1002"/>
      <c r="J119" s="2013"/>
      <c r="K119" s="2013"/>
      <c r="L119" s="1002"/>
      <c r="M119" s="1003"/>
      <c r="N119" s="1002"/>
      <c r="O119" s="2013"/>
      <c r="P119" s="2013"/>
      <c r="Q119" s="1004"/>
      <c r="R119" s="927"/>
    </row>
    <row r="120" spans="1:18" ht="15" hidden="1" customHeight="1" outlineLevel="1" x14ac:dyDescent="0.25">
      <c r="A120" s="927"/>
      <c r="B120" s="2011" t="s">
        <v>763</v>
      </c>
      <c r="C120" s="2012"/>
      <c r="D120" s="1005" t="s">
        <v>106</v>
      </c>
      <c r="E120" s="2013"/>
      <c r="F120" s="2013"/>
      <c r="G120" s="1002"/>
      <c r="H120" s="1003"/>
      <c r="I120" s="1002"/>
      <c r="J120" s="2013"/>
      <c r="K120" s="2013"/>
      <c r="L120" s="1002"/>
      <c r="M120" s="1003"/>
      <c r="N120" s="1002"/>
      <c r="O120" s="2013"/>
      <c r="P120" s="2013"/>
      <c r="Q120" s="1004"/>
      <c r="R120" s="927"/>
    </row>
    <row r="121" spans="1:18" ht="15" hidden="1" customHeight="1" outlineLevel="1" x14ac:dyDescent="0.25">
      <c r="A121" s="927"/>
      <c r="B121" s="2011" t="s">
        <v>764</v>
      </c>
      <c r="C121" s="2012"/>
      <c r="D121" s="1005"/>
      <c r="E121" s="2013"/>
      <c r="F121" s="2013"/>
      <c r="G121" s="1002"/>
      <c r="H121" s="1003"/>
      <c r="I121" s="1002"/>
      <c r="J121" s="2013"/>
      <c r="K121" s="2013"/>
      <c r="L121" s="1002"/>
      <c r="M121" s="1003"/>
      <c r="N121" s="1002"/>
      <c r="O121" s="2013"/>
      <c r="P121" s="2013"/>
      <c r="Q121" s="1004"/>
      <c r="R121" s="927"/>
    </row>
    <row r="122" spans="1:18" ht="36.6" hidden="1" customHeight="1" outlineLevel="1" x14ac:dyDescent="0.25">
      <c r="A122" s="927"/>
      <c r="B122" s="2016" t="s">
        <v>765</v>
      </c>
      <c r="C122" s="2017"/>
      <c r="D122" s="1006"/>
      <c r="E122" s="2013"/>
      <c r="F122" s="2013"/>
      <c r="G122" s="1002"/>
      <c r="H122" s="1003"/>
      <c r="I122" s="1002"/>
      <c r="J122" s="2013"/>
      <c r="K122" s="2013"/>
      <c r="L122" s="1002"/>
      <c r="M122" s="1003"/>
      <c r="N122" s="1002"/>
      <c r="O122" s="2013"/>
      <c r="P122" s="2013"/>
      <c r="Q122" s="1004"/>
      <c r="R122" s="927"/>
    </row>
    <row r="123" spans="1:18" ht="15" hidden="1" customHeight="1" outlineLevel="1" x14ac:dyDescent="0.25">
      <c r="A123" s="927"/>
      <c r="B123" s="2011" t="s">
        <v>766</v>
      </c>
      <c r="C123" s="2012"/>
      <c r="D123" s="1005" t="s">
        <v>106</v>
      </c>
      <c r="E123" s="2013"/>
      <c r="F123" s="2013"/>
      <c r="G123" s="1002"/>
      <c r="H123" s="1003"/>
      <c r="I123" s="1002"/>
      <c r="J123" s="2013"/>
      <c r="K123" s="2013"/>
      <c r="L123" s="1002"/>
      <c r="M123" s="1003"/>
      <c r="N123" s="1002"/>
      <c r="O123" s="2013"/>
      <c r="P123" s="2013"/>
      <c r="Q123" s="1004"/>
      <c r="R123" s="927"/>
    </row>
    <row r="124" spans="1:18" ht="15" hidden="1" customHeight="1" outlineLevel="1" thickBot="1" x14ac:dyDescent="0.3">
      <c r="A124" s="927"/>
      <c r="B124" s="2014" t="s">
        <v>752</v>
      </c>
      <c r="C124" s="2015"/>
      <c r="D124" s="1007" t="s">
        <v>106</v>
      </c>
      <c r="E124" s="2013"/>
      <c r="F124" s="2013"/>
      <c r="G124" s="1002"/>
      <c r="H124" s="1003"/>
      <c r="I124" s="1002"/>
      <c r="J124" s="2013"/>
      <c r="K124" s="2013"/>
      <c r="L124" s="1002"/>
      <c r="M124" s="1003"/>
      <c r="N124" s="1002"/>
      <c r="O124" s="2013"/>
      <c r="P124" s="2013"/>
      <c r="Q124" s="1004"/>
      <c r="R124" s="927"/>
    </row>
    <row r="125" spans="1:18" ht="4.1500000000000004" hidden="1" customHeight="1" outlineLevel="1" x14ac:dyDescent="0.25">
      <c r="A125" s="927"/>
      <c r="B125" s="1008"/>
      <c r="C125" s="1008"/>
      <c r="D125" s="1009"/>
      <c r="E125" s="2009"/>
      <c r="F125" s="2010"/>
      <c r="G125" s="1009"/>
      <c r="H125" s="1010"/>
      <c r="I125" s="1009"/>
      <c r="J125" s="2009"/>
      <c r="K125" s="2010"/>
      <c r="L125" s="1009"/>
      <c r="M125" s="1010"/>
      <c r="N125" s="1009"/>
      <c r="O125" s="2009"/>
      <c r="P125" s="2010"/>
      <c r="Q125" s="1008"/>
      <c r="R125" s="927"/>
    </row>
    <row r="126" spans="1:18" ht="13.9" customHeight="1" collapsed="1" x14ac:dyDescent="0.25">
      <c r="A126" s="927">
        <f t="shared" si="1"/>
        <v>1</v>
      </c>
      <c r="B126" s="970" t="b">
        <v>0</v>
      </c>
      <c r="C126" s="970"/>
      <c r="D126" s="940" t="str">
        <f>IF(B126, "Количество площадок ","")</f>
        <v/>
      </c>
      <c r="E126" s="1993"/>
      <c r="F126" s="1993"/>
      <c r="G126" s="940" t="str">
        <f>IF(B126, "Количество хостов","")</f>
        <v/>
      </c>
      <c r="H126" s="972"/>
      <c r="I126" s="940"/>
      <c r="J126" s="1993"/>
      <c r="K126" s="1993"/>
      <c r="L126" s="940"/>
      <c r="M126" s="972"/>
      <c r="N126" s="940"/>
      <c r="O126" s="1993"/>
      <c r="P126" s="1993"/>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2008"/>
      <c r="F127" s="2008"/>
      <c r="G127" s="987" t="str">
        <f>IF(B127, "Количество агрегаторов трафика","")</f>
        <v/>
      </c>
      <c r="H127" s="988"/>
      <c r="I127" s="987" t="str">
        <f>IF(B127, "Количество брокеров сетевых пакетов","")</f>
        <v/>
      </c>
      <c r="J127" s="2008"/>
      <c r="K127" s="2008"/>
      <c r="L127" s="987" t="str">
        <f>IF(B127, "Количество точек мониторинга","")</f>
        <v/>
      </c>
      <c r="M127" s="988"/>
      <c r="N127" s="987" t="str">
        <f>IF(B127, "Количество узлов в защищаемых сегментах","")</f>
        <v/>
      </c>
      <c r="O127" s="2008"/>
      <c r="P127" s="2008"/>
      <c r="Q127" s="970" t="str">
        <f t="shared" si="2"/>
        <v/>
      </c>
      <c r="R127" s="927"/>
    </row>
    <row r="128" spans="1:18" ht="19.5" hidden="1" outlineLevel="1" thickBot="1" x14ac:dyDescent="0.3">
      <c r="A128" s="927"/>
      <c r="B128" s="2000" t="s">
        <v>767</v>
      </c>
      <c r="C128" s="2001"/>
      <c r="D128" s="2001"/>
      <c r="E128" s="2001"/>
      <c r="F128" s="2001"/>
      <c r="G128" s="2001"/>
      <c r="H128" s="2001"/>
      <c r="I128" s="2001"/>
      <c r="J128" s="2001"/>
      <c r="K128" s="2001"/>
      <c r="L128" s="2001"/>
      <c r="M128" s="2001"/>
      <c r="N128" s="2001"/>
      <c r="O128" s="2001"/>
      <c r="P128" s="2001"/>
      <c r="Q128" s="2002"/>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2003" t="s">
        <v>760</v>
      </c>
      <c r="C130" s="2004"/>
      <c r="D130" s="2004"/>
      <c r="E130" s="2004"/>
      <c r="F130" s="2004"/>
      <c r="G130" s="2004"/>
      <c r="H130" s="2004"/>
      <c r="I130" s="2004"/>
      <c r="J130" s="2004"/>
      <c r="K130" s="2004"/>
      <c r="L130" s="2004"/>
      <c r="M130" s="2004"/>
      <c r="N130" s="2004"/>
      <c r="O130" s="2004"/>
      <c r="P130" s="2004"/>
      <c r="Q130" s="2005"/>
      <c r="R130" s="927"/>
    </row>
    <row r="131" spans="1:18" ht="28.9" hidden="1" customHeight="1" outlineLevel="1" x14ac:dyDescent="0.25">
      <c r="A131" s="927"/>
      <c r="B131" s="1998" t="s">
        <v>761</v>
      </c>
      <c r="C131" s="1999"/>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2006" t="s">
        <v>762</v>
      </c>
      <c r="C132" s="2007"/>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2006" t="s">
        <v>763</v>
      </c>
      <c r="C133" s="2007"/>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1998" t="s">
        <v>764</v>
      </c>
      <c r="C134" s="1999"/>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1998" t="s">
        <v>765</v>
      </c>
      <c r="C135" s="1999"/>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1998" t="s">
        <v>752</v>
      </c>
      <c r="C136" s="1999"/>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1993"/>
      <c r="F138" s="1993"/>
      <c r="G138" s="940" t="str">
        <f>IF(B138, "Количество хостов","")</f>
        <v/>
      </c>
      <c r="H138" s="972"/>
      <c r="I138" s="940"/>
      <c r="J138" s="1993"/>
      <c r="K138" s="1993"/>
      <c r="L138" s="940"/>
      <c r="M138" s="972"/>
      <c r="N138" s="940"/>
      <c r="O138" s="1993"/>
      <c r="P138" s="1993"/>
      <c r="Q138" s="970" t="str">
        <f>IF(B138,1,"")</f>
        <v/>
      </c>
      <c r="R138" s="927"/>
    </row>
    <row r="139" spans="1:18" ht="15.6" customHeight="1" x14ac:dyDescent="0.25">
      <c r="A139" s="927">
        <f t="shared" ref="A139:A164" si="3">IF($B$11,1,0)</f>
        <v>1</v>
      </c>
      <c r="B139" s="970" t="b">
        <v>0</v>
      </c>
      <c r="C139" s="970"/>
      <c r="D139" s="940" t="str">
        <f>IF(B139, "Количество площадок ","")</f>
        <v/>
      </c>
      <c r="E139" s="1993"/>
      <c r="F139" s="1993"/>
      <c r="G139" s="940" t="str">
        <f>IF(B139, "Количество узлов","")</f>
        <v/>
      </c>
      <c r="H139" s="972"/>
      <c r="I139" s="940" t="str">
        <f>IF(B139, "Количество хостов","")</f>
        <v/>
      </c>
      <c r="J139" s="1993"/>
      <c r="K139" s="1993"/>
      <c r="L139" s="940"/>
      <c r="M139" s="972"/>
      <c r="N139" s="940"/>
      <c r="O139" s="1993"/>
      <c r="P139" s="1993"/>
      <c r="Q139" s="970" t="str">
        <f t="shared" ref="Q139:Q164" si="4">IF(B139,1,"")</f>
        <v/>
      </c>
      <c r="R139" s="927"/>
    </row>
    <row r="140" spans="1:18" collapsed="1" x14ac:dyDescent="0.25">
      <c r="A140" s="927">
        <f t="shared" si="3"/>
        <v>1</v>
      </c>
      <c r="B140" s="970" t="b">
        <v>0</v>
      </c>
      <c r="C140" s="970"/>
      <c r="D140" s="940" t="str">
        <f>IF(B140, "Количество площадок ","")</f>
        <v/>
      </c>
      <c r="E140" s="1993"/>
      <c r="F140" s="1993"/>
      <c r="G140" s="940" t="str">
        <f>IF(B140, "Количество диодов","")</f>
        <v/>
      </c>
      <c r="H140" s="972"/>
      <c r="I140" s="940" t="str">
        <f>IF(B140, "Количество кластеров","")</f>
        <v/>
      </c>
      <c r="J140" s="1993"/>
      <c r="K140" s="1993"/>
      <c r="L140" s="940"/>
      <c r="M140" s="972"/>
      <c r="N140" s="940"/>
      <c r="O140" s="1993"/>
      <c r="P140" s="1993"/>
      <c r="Q140" s="970" t="str">
        <f t="shared" si="4"/>
        <v/>
      </c>
      <c r="R140" s="927"/>
    </row>
    <row r="141" spans="1:18" ht="19.5" hidden="1" outlineLevel="1" thickBot="1" x14ac:dyDescent="0.3">
      <c r="A141" s="927"/>
      <c r="B141" s="2000" t="s">
        <v>768</v>
      </c>
      <c r="C141" s="2001"/>
      <c r="D141" s="2001"/>
      <c r="E141" s="2001"/>
      <c r="F141" s="2001"/>
      <c r="G141" s="2001"/>
      <c r="H141" s="2001"/>
      <c r="I141" s="2001"/>
      <c r="J141" s="2001"/>
      <c r="K141" s="2001"/>
      <c r="L141" s="2001"/>
      <c r="M141" s="2001"/>
      <c r="N141" s="2001"/>
      <c r="O141" s="2001"/>
      <c r="P141" s="2001"/>
      <c r="Q141" s="2002"/>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2003" t="s">
        <v>760</v>
      </c>
      <c r="C143" s="2004"/>
      <c r="D143" s="2004"/>
      <c r="E143" s="2004"/>
      <c r="F143" s="2004"/>
      <c r="G143" s="2004"/>
      <c r="H143" s="2004"/>
      <c r="I143" s="2004"/>
      <c r="J143" s="2004"/>
      <c r="K143" s="2004"/>
      <c r="L143" s="2004"/>
      <c r="M143" s="2004"/>
      <c r="N143" s="2004"/>
      <c r="O143" s="2004"/>
      <c r="P143" s="2004"/>
      <c r="Q143" s="2005"/>
      <c r="R143" s="927"/>
    </row>
    <row r="144" spans="1:18" hidden="1" outlineLevel="1" x14ac:dyDescent="0.25">
      <c r="A144" s="927"/>
      <c r="B144" s="1998" t="s">
        <v>769</v>
      </c>
      <c r="C144" s="1999"/>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2006" t="s">
        <v>770</v>
      </c>
      <c r="C145" s="2007"/>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2006" t="s">
        <v>771</v>
      </c>
      <c r="C146" s="2007"/>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1998" t="s">
        <v>772</v>
      </c>
      <c r="C147" s="1999"/>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1998" t="s">
        <v>773</v>
      </c>
      <c r="C148" s="1999"/>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1998" t="s">
        <v>774</v>
      </c>
      <c r="C149" s="1999"/>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1998" t="s">
        <v>775</v>
      </c>
      <c r="C150" s="1999"/>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1993"/>
      <c r="F152" s="1993"/>
      <c r="G152" s="940" t="str">
        <f>IF(B152, "Количество хостов","")</f>
        <v/>
      </c>
      <c r="H152" s="972"/>
      <c r="I152" s="940" t="str">
        <f>IF(B152, "Количество ВМ","")</f>
        <v/>
      </c>
      <c r="J152" s="1993"/>
      <c r="K152" s="1993"/>
      <c r="L152" s="940"/>
      <c r="M152" s="972"/>
      <c r="N152" s="940"/>
      <c r="O152" s="1993"/>
      <c r="P152" s="1993"/>
      <c r="Q152" s="970" t="str">
        <f t="shared" si="4"/>
        <v/>
      </c>
      <c r="R152" s="927"/>
    </row>
    <row r="153" spans="1:18" x14ac:dyDescent="0.25">
      <c r="A153" s="927">
        <f t="shared" si="3"/>
        <v>1</v>
      </c>
      <c r="B153" s="970" t="b">
        <v>0</v>
      </c>
      <c r="C153" s="970"/>
      <c r="D153" s="940" t="str">
        <f t="shared" si="5"/>
        <v/>
      </c>
      <c r="E153" s="1993"/>
      <c r="F153" s="1993"/>
      <c r="G153" s="940" t="str">
        <f>IF(B153, "Кол-во хостов вирт-ции","")</f>
        <v/>
      </c>
      <c r="H153" s="972"/>
      <c r="I153" s="940" t="str">
        <f>IF(B153, "Количество брокеров","")</f>
        <v/>
      </c>
      <c r="J153" s="1993"/>
      <c r="K153" s="1993"/>
      <c r="L153" s="940" t="str">
        <f>IF(B153, "Количество ВМ","")</f>
        <v/>
      </c>
      <c r="M153" s="972"/>
      <c r="N153" s="940" t="str">
        <f>IF(B153, "Кол-во золотых образов","")</f>
        <v/>
      </c>
      <c r="O153" s="1993"/>
      <c r="P153" s="1993"/>
      <c r="Q153" s="970" t="str">
        <f t="shared" si="4"/>
        <v/>
      </c>
      <c r="R153" s="927"/>
    </row>
    <row r="154" spans="1:18" x14ac:dyDescent="0.25">
      <c r="A154" s="927">
        <f t="shared" si="3"/>
        <v>1</v>
      </c>
      <c r="B154" s="970" t="b">
        <v>0</v>
      </c>
      <c r="C154" s="970"/>
      <c r="D154" s="940" t="str">
        <f t="shared" si="5"/>
        <v/>
      </c>
      <c r="E154" s="1993"/>
      <c r="F154" s="1993"/>
      <c r="G154" s="940" t="str">
        <f t="shared" ref="G154:G159" si="6">IF(B154, "Количество хостов","")</f>
        <v/>
      </c>
      <c r="H154" s="972"/>
      <c r="I154" s="940"/>
      <c r="J154" s="1993"/>
      <c r="K154" s="1993"/>
      <c r="L154" s="940"/>
      <c r="M154" s="972"/>
      <c r="N154" s="940"/>
      <c r="O154" s="1993"/>
      <c r="P154" s="1993"/>
      <c r="Q154" s="970" t="str">
        <f t="shared" si="4"/>
        <v/>
      </c>
      <c r="R154" s="927"/>
    </row>
    <row r="155" spans="1:18" x14ac:dyDescent="0.25">
      <c r="A155" s="927">
        <f t="shared" si="3"/>
        <v>1</v>
      </c>
      <c r="B155" s="970" t="b">
        <v>0</v>
      </c>
      <c r="C155" s="970"/>
      <c r="D155" s="940" t="str">
        <f t="shared" si="5"/>
        <v/>
      </c>
      <c r="E155" s="1993"/>
      <c r="F155" s="1993"/>
      <c r="G155" s="940" t="str">
        <f t="shared" si="6"/>
        <v/>
      </c>
      <c r="H155" s="972"/>
      <c r="I155" s="940" t="str">
        <f>IF(B155, "Количество endpoint","")</f>
        <v/>
      </c>
      <c r="J155" s="1993"/>
      <c r="K155" s="1993"/>
      <c r="L155" s="940"/>
      <c r="M155" s="972"/>
      <c r="N155" s="940"/>
      <c r="O155" s="1993"/>
      <c r="P155" s="1993"/>
      <c r="Q155" s="970" t="str">
        <f t="shared" si="4"/>
        <v/>
      </c>
      <c r="R155" s="927"/>
    </row>
    <row r="156" spans="1:18" x14ac:dyDescent="0.25">
      <c r="A156" s="927">
        <f t="shared" si="3"/>
        <v>1</v>
      </c>
      <c r="B156" s="970" t="b">
        <v>0</v>
      </c>
      <c r="C156" s="970"/>
      <c r="D156" s="940" t="str">
        <f t="shared" si="5"/>
        <v/>
      </c>
      <c r="E156" s="1993"/>
      <c r="F156" s="1993"/>
      <c r="G156" s="940" t="str">
        <f t="shared" si="6"/>
        <v/>
      </c>
      <c r="H156" s="972"/>
      <c r="I156" s="940" t="s">
        <v>1206</v>
      </c>
      <c r="J156" s="1993"/>
      <c r="K156" s="1993"/>
      <c r="L156" s="940"/>
      <c r="M156" s="972"/>
      <c r="N156" s="940"/>
      <c r="O156" s="1993"/>
      <c r="P156" s="1993"/>
      <c r="Q156" s="970" t="str">
        <f t="shared" si="4"/>
        <v/>
      </c>
      <c r="R156" s="927"/>
    </row>
    <row r="157" spans="1:18" x14ac:dyDescent="0.25">
      <c r="A157" s="927">
        <f t="shared" si="3"/>
        <v>1</v>
      </c>
      <c r="B157" s="970" t="b">
        <v>0</v>
      </c>
      <c r="C157" s="970"/>
      <c r="D157" s="940" t="str">
        <f t="shared" si="5"/>
        <v/>
      </c>
      <c r="E157" s="1993"/>
      <c r="F157" s="1993"/>
      <c r="G157" s="940" t="str">
        <f t="shared" si="6"/>
        <v/>
      </c>
      <c r="H157" s="972"/>
      <c r="I157" s="940" t="str">
        <f>IF(B157, "Количество клиентов","")</f>
        <v/>
      </c>
      <c r="J157" s="1993"/>
      <c r="K157" s="1993"/>
      <c r="L157" s="940"/>
      <c r="M157" s="972"/>
      <c r="N157" s="940"/>
      <c r="O157" s="1993"/>
      <c r="P157" s="1993"/>
      <c r="Q157" s="970" t="str">
        <f t="shared" si="4"/>
        <v/>
      </c>
      <c r="R157" s="927"/>
    </row>
    <row r="158" spans="1:18" x14ac:dyDescent="0.25">
      <c r="A158" s="927">
        <f t="shared" si="3"/>
        <v>1</v>
      </c>
      <c r="B158" s="970" t="b">
        <v>0</v>
      </c>
      <c r="C158" s="970"/>
      <c r="D158" s="940" t="str">
        <f t="shared" ref="D158:D160" si="7">IF(B158, "Количество площадок ","")</f>
        <v/>
      </c>
      <c r="E158" s="1993"/>
      <c r="F158" s="1993"/>
      <c r="G158" s="940" t="str">
        <f t="shared" si="6"/>
        <v/>
      </c>
      <c r="H158" s="972"/>
      <c r="I158" s="940" t="str">
        <f>IF(B158, "Количество АСО","")</f>
        <v/>
      </c>
      <c r="J158" s="1993"/>
      <c r="K158" s="1993"/>
      <c r="L158" s="940"/>
      <c r="M158" s="972"/>
      <c r="N158" s="940"/>
      <c r="O158" s="1993"/>
      <c r="P158" s="1993"/>
      <c r="Q158" s="970" t="str">
        <f t="shared" si="4"/>
        <v/>
      </c>
      <c r="R158" s="927"/>
    </row>
    <row r="159" spans="1:18" x14ac:dyDescent="0.25">
      <c r="A159" s="927">
        <f t="shared" si="3"/>
        <v>1</v>
      </c>
      <c r="B159" s="970" t="b">
        <v>0</v>
      </c>
      <c r="C159" s="970"/>
      <c r="D159" s="940" t="str">
        <f>IF(B159, "Количество площадок ","")</f>
        <v/>
      </c>
      <c r="E159" s="1993"/>
      <c r="F159" s="1993"/>
      <c r="G159" s="940" t="str">
        <f t="shared" si="6"/>
        <v/>
      </c>
      <c r="H159" s="972"/>
      <c r="I159" s="940" t="str">
        <f>IF(B159, "Количество endpoint","")</f>
        <v/>
      </c>
      <c r="J159" s="1993"/>
      <c r="K159" s="1993"/>
      <c r="L159" s="940"/>
      <c r="M159" s="972"/>
      <c r="N159" s="940"/>
      <c r="O159" s="1993"/>
      <c r="P159" s="1993"/>
      <c r="Q159" s="970" t="str">
        <f t="shared" si="4"/>
        <v/>
      </c>
      <c r="R159" s="927"/>
    </row>
    <row r="160" spans="1:18" x14ac:dyDescent="0.25">
      <c r="A160" s="927">
        <f t="shared" si="3"/>
        <v>1</v>
      </c>
      <c r="B160" s="1015" t="b">
        <v>0</v>
      </c>
      <c r="C160" s="970"/>
      <c r="D160" s="1016" t="str">
        <f t="shared" si="7"/>
        <v/>
      </c>
      <c r="E160" s="1994"/>
      <c r="F160" s="1995"/>
      <c r="G160" s="987" t="str">
        <f>IF(B160, "Количество СХД","")</f>
        <v/>
      </c>
      <c r="H160" s="988"/>
      <c r="I160" s="940"/>
      <c r="J160" s="1996"/>
      <c r="K160" s="1997"/>
      <c r="L160" s="940"/>
      <c r="M160" s="972"/>
      <c r="N160" s="940"/>
      <c r="O160" s="1996"/>
      <c r="P160" s="1997"/>
      <c r="Q160" s="970" t="str">
        <f t="shared" si="4"/>
        <v/>
      </c>
      <c r="R160" s="927"/>
    </row>
    <row r="161" spans="1:18" x14ac:dyDescent="0.25">
      <c r="A161" s="927">
        <f t="shared" si="3"/>
        <v>1</v>
      </c>
      <c r="B161" s="970" t="b">
        <v>0</v>
      </c>
      <c r="C161" s="970"/>
      <c r="D161" s="940" t="str">
        <f>IF(B161, "Количество площадок ","")</f>
        <v/>
      </c>
      <c r="E161" s="1993"/>
      <c r="F161" s="1993"/>
      <c r="G161" s="940" t="str">
        <f>IF(B161, "Количество серверов","")</f>
        <v/>
      </c>
      <c r="H161" s="972"/>
      <c r="I161" s="940" t="str">
        <f>IF(B161, "Количество сенсеров","")</f>
        <v/>
      </c>
      <c r="J161" s="1993"/>
      <c r="K161" s="1993"/>
      <c r="L161" s="940" t="str">
        <f>IF(B161, "Количество ЗОКИИ","")</f>
        <v/>
      </c>
      <c r="M161" s="972"/>
      <c r="N161" s="940"/>
      <c r="O161" s="1993"/>
      <c r="P161" s="1993"/>
      <c r="Q161" s="970" t="str">
        <f t="shared" si="4"/>
        <v/>
      </c>
      <c r="R161" s="927"/>
    </row>
    <row r="162" spans="1:18" x14ac:dyDescent="0.25">
      <c r="A162" s="927">
        <f t="shared" si="3"/>
        <v>1</v>
      </c>
      <c r="B162" s="970" t="b">
        <v>0</v>
      </c>
      <c r="C162" s="970"/>
      <c r="D162" s="940" t="str">
        <f>IF(B162, "Количество площадок ","")</f>
        <v/>
      </c>
      <c r="E162" s="1993"/>
      <c r="F162" s="1993"/>
      <c r="G162" s="940"/>
      <c r="H162" s="972"/>
      <c r="I162" s="940"/>
      <c r="J162" s="1993"/>
      <c r="K162" s="1993"/>
      <c r="L162" s="940"/>
      <c r="M162" s="972"/>
      <c r="N162" s="940"/>
      <c r="O162" s="1993"/>
      <c r="P162" s="1993"/>
      <c r="Q162" s="970" t="str">
        <f t="shared" si="4"/>
        <v/>
      </c>
      <c r="R162" s="927"/>
    </row>
    <row r="163" spans="1:18" x14ac:dyDescent="0.25">
      <c r="A163" s="927">
        <f t="shared" si="3"/>
        <v>1</v>
      </c>
      <c r="B163" s="970" t="b">
        <v>0</v>
      </c>
      <c r="C163" s="970"/>
      <c r="D163" s="940" t="str">
        <f>IF(B163, "Количество площадок ","")</f>
        <v/>
      </c>
      <c r="E163" s="1993"/>
      <c r="F163" s="1993"/>
      <c r="G163" s="940" t="str">
        <f>IF(B163, "Количество узлов","")</f>
        <v/>
      </c>
      <c r="H163" s="972"/>
      <c r="I163" s="940"/>
      <c r="J163" s="1993"/>
      <c r="K163" s="1993"/>
      <c r="L163" s="940"/>
      <c r="M163" s="972"/>
      <c r="N163" s="940"/>
      <c r="O163" s="1993"/>
      <c r="P163" s="1993"/>
      <c r="Q163" s="970" t="str">
        <f t="shared" si="4"/>
        <v/>
      </c>
      <c r="R163" s="927"/>
    </row>
    <row r="164" spans="1:18" x14ac:dyDescent="0.25">
      <c r="A164" s="927">
        <f t="shared" si="3"/>
        <v>1</v>
      </c>
      <c r="B164" s="970" t="b">
        <v>0</v>
      </c>
      <c r="C164" s="970"/>
      <c r="D164" s="940" t="str">
        <f>IF(B164, "Количество площадок ","")</f>
        <v/>
      </c>
      <c r="E164" s="1993"/>
      <c r="F164" s="1993"/>
      <c r="G164" s="940" t="str">
        <f>IF(B164, "Количество АСО","")</f>
        <v/>
      </c>
      <c r="H164" s="972"/>
      <c r="I164" s="940"/>
      <c r="J164" s="1993"/>
      <c r="K164" s="1993"/>
      <c r="L164" s="940"/>
      <c r="M164" s="972"/>
      <c r="N164" s="940"/>
      <c r="O164" s="1993"/>
      <c r="P164" s="1993"/>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A1:Q1"/>
    <mergeCell ref="C2:D2"/>
    <mergeCell ref="C3:D3"/>
    <mergeCell ref="C4:D4"/>
    <mergeCell ref="B7:D7"/>
    <mergeCell ref="G7:I7"/>
    <mergeCell ref="L7:N7"/>
    <mergeCell ref="E39:F39"/>
    <mergeCell ref="J39:K39"/>
    <mergeCell ref="O39:P39"/>
    <mergeCell ref="B40:Q40"/>
    <mergeCell ref="B42:Q42"/>
    <mergeCell ref="B43:C43"/>
    <mergeCell ref="L8:N13"/>
    <mergeCell ref="L14:N21"/>
    <mergeCell ref="L22:N33"/>
    <mergeCell ref="A36:Q36"/>
    <mergeCell ref="E38:F38"/>
    <mergeCell ref="J38:K38"/>
    <mergeCell ref="O38:P38"/>
    <mergeCell ref="B50:C50"/>
    <mergeCell ref="B52:Q52"/>
    <mergeCell ref="B53:C53"/>
    <mergeCell ref="B54:C54"/>
    <mergeCell ref="B55:C55"/>
    <mergeCell ref="B56:C56"/>
    <mergeCell ref="B44:C44"/>
    <mergeCell ref="B45:C45"/>
    <mergeCell ref="B46:C46"/>
    <mergeCell ref="B47:C47"/>
    <mergeCell ref="B48:C48"/>
    <mergeCell ref="B49:C49"/>
    <mergeCell ref="B64:C64"/>
    <mergeCell ref="B65:C65"/>
    <mergeCell ref="B66:C66"/>
    <mergeCell ref="B67:C67"/>
    <mergeCell ref="B68:C68"/>
    <mergeCell ref="B69:C69"/>
    <mergeCell ref="B57:C57"/>
    <mergeCell ref="B58:C58"/>
    <mergeCell ref="B59:C59"/>
    <mergeCell ref="B61:Q61"/>
    <mergeCell ref="B62:C62"/>
    <mergeCell ref="B63:C6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B98:C98"/>
    <mergeCell ref="B99:C99"/>
    <mergeCell ref="B100:C100"/>
    <mergeCell ref="B101:Q101"/>
    <mergeCell ref="B102:C102"/>
    <mergeCell ref="B103:C103"/>
    <mergeCell ref="B91:C91"/>
    <mergeCell ref="B92:C92"/>
    <mergeCell ref="B93:C93"/>
    <mergeCell ref="B95:Q95"/>
    <mergeCell ref="B96:C96"/>
    <mergeCell ref="B97:C97"/>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E113:F113"/>
    <mergeCell ref="J113:K113"/>
    <mergeCell ref="O113:P113"/>
    <mergeCell ref="E114:F114"/>
    <mergeCell ref="J114:K114"/>
    <mergeCell ref="O114:P114"/>
    <mergeCell ref="E111:F111"/>
    <mergeCell ref="J111:K111"/>
    <mergeCell ref="O111:P111"/>
    <mergeCell ref="E112:F112"/>
    <mergeCell ref="J112:K112"/>
    <mergeCell ref="O112:P11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E127:F127"/>
    <mergeCell ref="J127:K127"/>
    <mergeCell ref="O127:P127"/>
    <mergeCell ref="B128:Q128"/>
    <mergeCell ref="B130:Q130"/>
    <mergeCell ref="B131:C131"/>
    <mergeCell ref="E125:F125"/>
    <mergeCell ref="J125:K125"/>
    <mergeCell ref="O125:P125"/>
    <mergeCell ref="E126:F126"/>
    <mergeCell ref="J126:K126"/>
    <mergeCell ref="O126:P126"/>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B148:C148"/>
    <mergeCell ref="B149:C149"/>
    <mergeCell ref="B150:C150"/>
    <mergeCell ref="E152:F152"/>
    <mergeCell ref="J152:K152"/>
    <mergeCell ref="O152:P152"/>
    <mergeCell ref="B141:Q141"/>
    <mergeCell ref="B143:Q143"/>
    <mergeCell ref="B144:C144"/>
    <mergeCell ref="B145:C145"/>
    <mergeCell ref="B146:C146"/>
    <mergeCell ref="B147:C147"/>
    <mergeCell ref="E155:F155"/>
    <mergeCell ref="J155:K155"/>
    <mergeCell ref="O155:P155"/>
    <mergeCell ref="E156:F156"/>
    <mergeCell ref="J156:K156"/>
    <mergeCell ref="O156:P156"/>
    <mergeCell ref="E153:F153"/>
    <mergeCell ref="J153:K153"/>
    <mergeCell ref="O153:P153"/>
    <mergeCell ref="E154:F154"/>
    <mergeCell ref="J154:K154"/>
    <mergeCell ref="O154:P154"/>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63:F163"/>
    <mergeCell ref="J163:K163"/>
    <mergeCell ref="O163:P163"/>
    <mergeCell ref="E164:F164"/>
    <mergeCell ref="J164:K164"/>
    <mergeCell ref="O164:P164"/>
    <mergeCell ref="E161:F161"/>
    <mergeCell ref="J161:K161"/>
    <mergeCell ref="O161:P161"/>
    <mergeCell ref="E162:F162"/>
    <mergeCell ref="J162:K162"/>
    <mergeCell ref="O162:P162"/>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638</v>
      </c>
      <c r="D1" s="1393" t="s">
        <v>1586</v>
      </c>
      <c r="E1" s="1394"/>
      <c r="J1" s="1391" t="s">
        <v>1458</v>
      </c>
      <c r="L1" s="1270" t="s">
        <v>73</v>
      </c>
      <c r="M1" s="1395" t="s">
        <v>109</v>
      </c>
      <c r="N1" s="1396" t="s">
        <v>1660</v>
      </c>
      <c r="Q1" s="1582" t="s">
        <v>73</v>
      </c>
      <c r="R1" s="1582" t="s">
        <v>1225</v>
      </c>
    </row>
    <row r="2" spans="1:18" ht="61.5" thickBot="1" x14ac:dyDescent="0.3">
      <c r="A2" s="1397"/>
      <c r="C2" s="1392" t="s">
        <v>1372</v>
      </c>
      <c r="D2" s="1393" t="s">
        <v>1459</v>
      </c>
      <c r="E2" s="1398"/>
      <c r="N2" s="1396" t="s">
        <v>1661</v>
      </c>
      <c r="Q2" s="1582" t="s">
        <v>108</v>
      </c>
      <c r="R2" s="1582" t="s">
        <v>106</v>
      </c>
    </row>
    <row r="3" spans="1:18" ht="49.5" thickBot="1" x14ac:dyDescent="0.3">
      <c r="A3" s="1399"/>
      <c r="C3" s="1392" t="s">
        <v>636</v>
      </c>
      <c r="D3" s="1393" t="s">
        <v>1460</v>
      </c>
      <c r="J3" s="1393" t="s">
        <v>1461</v>
      </c>
      <c r="N3" s="1396" t="s">
        <v>1662</v>
      </c>
      <c r="Q3" s="1582" t="s">
        <v>109</v>
      </c>
      <c r="R3" s="1582" t="s">
        <v>107</v>
      </c>
    </row>
    <row r="4" spans="1:18" ht="16.899999999999999" customHeight="1" thickBot="1" x14ac:dyDescent="0.3">
      <c r="A4" s="1400"/>
      <c r="C4" s="1392" t="s">
        <v>1385</v>
      </c>
      <c r="Q4" s="1582" t="s">
        <v>80</v>
      </c>
    </row>
    <row r="5" spans="1:18" ht="18" customHeight="1" thickBot="1" x14ac:dyDescent="0.25">
      <c r="A5" s="1401"/>
      <c r="C5" s="1392" t="s">
        <v>1462</v>
      </c>
      <c r="F5" s="1402"/>
    </row>
    <row r="6" spans="1:18" ht="17.45" customHeight="1" thickBot="1" x14ac:dyDescent="0.25">
      <c r="A6" s="1403"/>
      <c r="C6" s="1392" t="s">
        <v>113</v>
      </c>
      <c r="F6" s="1402"/>
    </row>
    <row r="7" spans="1:18" ht="19.899999999999999" customHeight="1" thickBot="1" x14ac:dyDescent="0.25">
      <c r="A7" s="1404"/>
      <c r="C7" s="1392" t="s">
        <v>1463</v>
      </c>
      <c r="F7" s="1402"/>
    </row>
    <row r="8" spans="1:18" ht="36" x14ac:dyDescent="0.2">
      <c r="A8" s="1405" t="s">
        <v>1464</v>
      </c>
      <c r="B8" s="1405" t="s">
        <v>1465</v>
      </c>
      <c r="C8" s="1406" t="s">
        <v>1466</v>
      </c>
      <c r="D8" s="1406" t="s">
        <v>1467</v>
      </c>
      <c r="E8" s="1406" t="s">
        <v>69</v>
      </c>
      <c r="F8" s="1407" t="s">
        <v>1468</v>
      </c>
      <c r="G8" s="1408" t="s">
        <v>714</v>
      </c>
      <c r="H8" s="1408" t="s">
        <v>1469</v>
      </c>
      <c r="I8" s="1408" t="s">
        <v>1470</v>
      </c>
      <c r="J8" s="1407" t="s">
        <v>1471</v>
      </c>
      <c r="K8" s="1408" t="s">
        <v>714</v>
      </c>
      <c r="L8" s="1408" t="s">
        <v>1469</v>
      </c>
      <c r="M8" s="1408" t="s">
        <v>1470</v>
      </c>
      <c r="N8" s="1406" t="s">
        <v>272</v>
      </c>
    </row>
    <row r="9" spans="1:18" ht="21.75" hidden="1" thickBot="1" x14ac:dyDescent="0.4">
      <c r="A9" s="2151" t="s">
        <v>1472</v>
      </c>
      <c r="B9" s="2152"/>
      <c r="C9" s="2152"/>
      <c r="D9" s="2152"/>
      <c r="E9" s="2153"/>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142"/>
      <c r="B10" s="2142"/>
      <c r="C10" s="2145" t="s">
        <v>1394</v>
      </c>
      <c r="D10" s="1585" t="s">
        <v>1391</v>
      </c>
      <c r="E10" s="1409">
        <v>20</v>
      </c>
      <c r="F10" s="2136">
        <f>SUM(G10:I12)</f>
        <v>0</v>
      </c>
      <c r="G10" s="2133">
        <f>SUM(G13:G24)</f>
        <v>0</v>
      </c>
      <c r="H10" s="2133">
        <f t="shared" ref="H10:I10" si="0">SUM(H13:H24)</f>
        <v>0</v>
      </c>
      <c r="I10" s="2133">
        <f t="shared" si="0"/>
        <v>0</v>
      </c>
      <c r="J10" s="2133">
        <f t="shared" ref="J10" si="1">ROUNDUP(SUM(J13:J24),2)</f>
        <v>0</v>
      </c>
      <c r="K10" s="2133">
        <f>ROUNDUP(SUM(K13:K24),2)</f>
        <v>0</v>
      </c>
      <c r="L10" s="2133">
        <f t="shared" ref="L10:M10" si="2">ROUNDUP(SUM(L13:L24),2)</f>
        <v>0</v>
      </c>
      <c r="M10" s="2133">
        <f t="shared" si="2"/>
        <v>0</v>
      </c>
      <c r="N10" s="2148"/>
    </row>
    <row r="11" spans="1:18" ht="30.75" hidden="1" customHeight="1" outlineLevel="1" thickBot="1" x14ac:dyDescent="0.25">
      <c r="A11" s="2143"/>
      <c r="B11" s="2143"/>
      <c r="C11" s="2146"/>
      <c r="D11" s="1586" t="s">
        <v>1392</v>
      </c>
      <c r="E11" s="1409">
        <v>20</v>
      </c>
      <c r="F11" s="2137"/>
      <c r="G11" s="2134"/>
      <c r="H11" s="2134"/>
      <c r="I11" s="2134"/>
      <c r="J11" s="2134"/>
      <c r="K11" s="2134"/>
      <c r="L11" s="2134"/>
      <c r="M11" s="2134"/>
      <c r="N11" s="2149"/>
    </row>
    <row r="12" spans="1:18" ht="16.5" hidden="1" customHeight="1" outlineLevel="1" thickBot="1" x14ac:dyDescent="0.25">
      <c r="A12" s="2144"/>
      <c r="B12" s="2144"/>
      <c r="C12" s="2147"/>
      <c r="D12" s="1586" t="s">
        <v>1393</v>
      </c>
      <c r="E12" s="1409">
        <v>3</v>
      </c>
      <c r="F12" s="2138"/>
      <c r="G12" s="2135"/>
      <c r="H12" s="2135"/>
      <c r="I12" s="2135"/>
      <c r="J12" s="2135"/>
      <c r="K12" s="2135"/>
      <c r="L12" s="2135"/>
      <c r="M12" s="2135"/>
      <c r="N12" s="2150"/>
    </row>
    <row r="13" spans="1:18" ht="15" hidden="1" customHeight="1" outlineLevel="2" x14ac:dyDescent="0.2">
      <c r="A13" s="1410">
        <v>0</v>
      </c>
      <c r="B13" s="1411">
        <v>0</v>
      </c>
      <c r="C13" s="1412" t="s">
        <v>1395</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1374</v>
      </c>
    </row>
    <row r="14" spans="1:18" ht="24" hidden="1" outlineLevel="2" x14ac:dyDescent="0.2">
      <c r="A14" s="1410">
        <v>0</v>
      </c>
      <c r="B14" s="1417">
        <v>1</v>
      </c>
      <c r="C14" s="1418" t="s">
        <v>1473</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1474</v>
      </c>
    </row>
    <row r="15" spans="1:18" ht="48" hidden="1" outlineLevel="2" x14ac:dyDescent="0.2">
      <c r="A15" s="1410">
        <v>0</v>
      </c>
      <c r="B15" s="1417">
        <v>1</v>
      </c>
      <c r="C15" s="1418" t="s">
        <v>1397</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1398</v>
      </c>
    </row>
    <row r="16" spans="1:18" ht="15.75" hidden="1" outlineLevel="2" x14ac:dyDescent="0.2">
      <c r="A16" s="1410">
        <v>0</v>
      </c>
      <c r="B16" s="1417">
        <v>1</v>
      </c>
      <c r="C16" s="1418" t="s">
        <v>1399</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1400</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1401</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1402</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1374</v>
      </c>
    </row>
    <row r="20" spans="1:14" ht="24" hidden="1" outlineLevel="2" x14ac:dyDescent="0.2">
      <c r="A20" s="1410">
        <v>0</v>
      </c>
      <c r="B20" s="1417">
        <v>1</v>
      </c>
      <c r="C20" s="1412" t="s">
        <v>1403</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1475</v>
      </c>
    </row>
    <row r="21" spans="1:14" ht="15" hidden="1" customHeight="1" outlineLevel="2" x14ac:dyDescent="0.2">
      <c r="A21" s="1410">
        <v>0</v>
      </c>
      <c r="B21" s="1417">
        <v>1</v>
      </c>
      <c r="C21" s="1412" t="s">
        <v>1404</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1405</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1406</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1476</v>
      </c>
    </row>
    <row r="24" spans="1:14" ht="34.5" hidden="1" customHeight="1" outlineLevel="2" thickBot="1" x14ac:dyDescent="0.25">
      <c r="A24" s="1410">
        <v>0</v>
      </c>
      <c r="B24" s="1417">
        <v>1</v>
      </c>
      <c r="C24" s="1418" t="s">
        <v>1407</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1477</v>
      </c>
    </row>
    <row r="25" spans="1:14" ht="16.5" hidden="1" customHeight="1" outlineLevel="1" thickBot="1" x14ac:dyDescent="0.25">
      <c r="A25" s="2142"/>
      <c r="B25" s="2142"/>
      <c r="C25" s="2145" t="s">
        <v>1478</v>
      </c>
      <c r="D25" s="1585" t="s">
        <v>875</v>
      </c>
      <c r="E25" s="1409">
        <v>1</v>
      </c>
      <c r="F25" s="2136">
        <f>SUM(G25:I27)</f>
        <v>149</v>
      </c>
      <c r="G25" s="2133">
        <f>ROUNDUP(G28+G31+G33+G35,0)</f>
        <v>68</v>
      </c>
      <c r="H25" s="2133">
        <f>ROUNDUP(H28+H31+H33+H35,0)</f>
        <v>59</v>
      </c>
      <c r="I25" s="2133">
        <f>ROUNDUP(I28+I31+I33+I35,0)</f>
        <v>22</v>
      </c>
      <c r="J25" s="2133">
        <f>ROUNDUP(SUM(K25:M27),2)</f>
        <v>18.5</v>
      </c>
      <c r="K25" s="2133">
        <f>ROUNDUP(SUM(K28,K31,K33,K35),2)</f>
        <v>8.4499999999999993</v>
      </c>
      <c r="L25" s="2133">
        <f>ROUNDUP(SUM(L28,L31,L33,L35),2)</f>
        <v>7.3</v>
      </c>
      <c r="M25" s="2133">
        <f>ROUNDUP(SUM(M28,M31,M33,M35),2)</f>
        <v>2.75</v>
      </c>
      <c r="N25" s="2139" t="s">
        <v>1479</v>
      </c>
    </row>
    <row r="26" spans="1:14" ht="16.5" hidden="1" customHeight="1" outlineLevel="1" thickBot="1" x14ac:dyDescent="0.25">
      <c r="A26" s="2143"/>
      <c r="B26" s="2143"/>
      <c r="C26" s="2146"/>
      <c r="D26" s="1587" t="s">
        <v>1357</v>
      </c>
      <c r="E26" s="1409">
        <v>20</v>
      </c>
      <c r="F26" s="2137"/>
      <c r="G26" s="2134"/>
      <c r="H26" s="2134"/>
      <c r="I26" s="2134"/>
      <c r="J26" s="2134"/>
      <c r="K26" s="2134"/>
      <c r="L26" s="2134"/>
      <c r="M26" s="2134"/>
      <c r="N26" s="2140"/>
    </row>
    <row r="27" spans="1:14" ht="27" hidden="1" customHeight="1" outlineLevel="1" thickBot="1" x14ac:dyDescent="0.25">
      <c r="A27" s="2144"/>
      <c r="B27" s="2144"/>
      <c r="C27" s="2147"/>
      <c r="D27" s="1588" t="s">
        <v>1480</v>
      </c>
      <c r="E27" s="1409" t="s">
        <v>106</v>
      </c>
      <c r="F27" s="2138"/>
      <c r="G27" s="2135"/>
      <c r="H27" s="2135"/>
      <c r="I27" s="2135"/>
      <c r="J27" s="2135"/>
      <c r="K27" s="2135"/>
      <c r="L27" s="2135"/>
      <c r="M27" s="2135"/>
      <c r="N27" s="2141"/>
    </row>
    <row r="28" spans="1:14" ht="31.5" hidden="1" outlineLevel="2" x14ac:dyDescent="0.2">
      <c r="A28" s="1420"/>
      <c r="B28" s="1420"/>
      <c r="C28" s="1589" t="s">
        <v>1351</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1352</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1353</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1587</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1588</v>
      </c>
    </row>
    <row r="32" spans="1:14" ht="15.75" hidden="1" outlineLevel="3" x14ac:dyDescent="0.2">
      <c r="A32" s="1410">
        <v>1</v>
      </c>
      <c r="B32" s="1417">
        <v>1</v>
      </c>
      <c r="C32" s="1423" t="s">
        <v>1359</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1361</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1589</v>
      </c>
    </row>
    <row r="34" spans="1:14" ht="24" hidden="1" outlineLevel="3" x14ac:dyDescent="0.2">
      <c r="A34" s="1410">
        <v>1</v>
      </c>
      <c r="B34" s="1417">
        <v>1</v>
      </c>
      <c r="C34" s="1425" t="s">
        <v>1363</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1364</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1590</v>
      </c>
    </row>
    <row r="36" spans="1:14" ht="15.75" hidden="1" outlineLevel="3" x14ac:dyDescent="0.2">
      <c r="A36" s="1410">
        <v>1</v>
      </c>
      <c r="B36" s="1417">
        <v>1</v>
      </c>
      <c r="C36" s="1423" t="s">
        <v>1364</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1367</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1481</v>
      </c>
    </row>
    <row r="38" spans="1:14" ht="12.75" hidden="1" customHeight="1" outlineLevel="1" thickBot="1" x14ac:dyDescent="0.25">
      <c r="A38" s="2142"/>
      <c r="B38" s="2142"/>
      <c r="C38" s="2145" t="s">
        <v>1482</v>
      </c>
      <c r="D38" s="1585" t="s">
        <v>1420</v>
      </c>
      <c r="E38" s="1409">
        <v>1</v>
      </c>
      <c r="F38" s="2136">
        <f>SUM(G38:I40)</f>
        <v>0</v>
      </c>
      <c r="G38" s="2133">
        <f>ROUNDUP(SUM(G41:G41),0)</f>
        <v>0</v>
      </c>
      <c r="H38" s="2133">
        <f t="shared" ref="H38:I38" si="16">ROUNDUP(SUM(H41:H41),0)</f>
        <v>0</v>
      </c>
      <c r="I38" s="2133">
        <f t="shared" si="16"/>
        <v>0</v>
      </c>
      <c r="J38" s="2136">
        <f>ROUNDUP(SUM(J41),2)</f>
        <v>0</v>
      </c>
      <c r="K38" s="2136">
        <f t="shared" ref="K38:M38" si="17">ROUNDUP(SUM(K41),2)</f>
        <v>0</v>
      </c>
      <c r="L38" s="2136">
        <f t="shared" si="17"/>
        <v>0</v>
      </c>
      <c r="M38" s="2136">
        <f t="shared" si="17"/>
        <v>0</v>
      </c>
      <c r="N38" s="2139" t="s">
        <v>1483</v>
      </c>
    </row>
    <row r="39" spans="1:14" ht="12.6" hidden="1" customHeight="1" outlineLevel="1" thickBot="1" x14ac:dyDescent="0.25">
      <c r="A39" s="2143"/>
      <c r="B39" s="2143"/>
      <c r="C39" s="2146"/>
      <c r="D39" s="1586" t="s">
        <v>1421</v>
      </c>
      <c r="E39" s="1409">
        <v>1</v>
      </c>
      <c r="F39" s="2137"/>
      <c r="G39" s="2134"/>
      <c r="H39" s="2134"/>
      <c r="I39" s="2134"/>
      <c r="J39" s="2137"/>
      <c r="K39" s="2137"/>
      <c r="L39" s="2137"/>
      <c r="M39" s="2137"/>
      <c r="N39" s="2140"/>
    </row>
    <row r="40" spans="1:14" ht="24.75" hidden="1" outlineLevel="1" thickBot="1" x14ac:dyDescent="0.25">
      <c r="A40" s="2144"/>
      <c r="B40" s="2144"/>
      <c r="C40" s="2147"/>
      <c r="D40" s="1586" t="s">
        <v>1422</v>
      </c>
      <c r="E40" s="1409" t="s">
        <v>106</v>
      </c>
      <c r="F40" s="2138"/>
      <c r="G40" s="2135"/>
      <c r="H40" s="2135"/>
      <c r="I40" s="2135"/>
      <c r="J40" s="2138"/>
      <c r="K40" s="2138"/>
      <c r="L40" s="2138"/>
      <c r="M40" s="2138"/>
      <c r="N40" s="2141"/>
    </row>
    <row r="41" spans="1:14" ht="16.5" hidden="1" outlineLevel="2" thickBot="1" x14ac:dyDescent="0.25">
      <c r="A41" s="1410">
        <v>0</v>
      </c>
      <c r="B41" s="1417">
        <v>1</v>
      </c>
      <c r="C41" s="1423" t="s">
        <v>1424</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142"/>
      <c r="B42" s="2142"/>
      <c r="C42" s="2145" t="s">
        <v>1484</v>
      </c>
      <c r="D42" s="1594" t="s">
        <v>1229</v>
      </c>
      <c r="E42" s="1409">
        <v>1</v>
      </c>
      <c r="F42" s="2136">
        <f>SUM(G42:I44)</f>
        <v>0</v>
      </c>
      <c r="G42" s="2133">
        <f>ROUNDUP(G45+G49+G85,0)</f>
        <v>0</v>
      </c>
      <c r="H42" s="2133">
        <f>ROUNDUP(H45+H49+H85,0)</f>
        <v>0</v>
      </c>
      <c r="I42" s="2133">
        <f t="shared" ref="I42" si="19">ROUNDUP(I45+I49+I85,0)</f>
        <v>0</v>
      </c>
      <c r="J42" s="2136">
        <f>ROUNDUP(SUM(J45,J49,J85),2)</f>
        <v>0</v>
      </c>
      <c r="K42" s="2136">
        <f>ROUNDUP(SUM(K45,K49,K85),2)</f>
        <v>0</v>
      </c>
      <c r="L42" s="2136">
        <f t="shared" ref="L42:M42" si="20">ROUNDUP(SUM(L45,L49,L85),2)</f>
        <v>0</v>
      </c>
      <c r="M42" s="2136">
        <f t="shared" si="20"/>
        <v>0</v>
      </c>
      <c r="N42" s="2139" t="s">
        <v>1485</v>
      </c>
    </row>
    <row r="43" spans="1:14" ht="12.6" hidden="1" customHeight="1" outlineLevel="1" thickBot="1" x14ac:dyDescent="0.25">
      <c r="A43" s="2143"/>
      <c r="B43" s="2143"/>
      <c r="C43" s="2146"/>
      <c r="D43" s="1595" t="s">
        <v>1230</v>
      </c>
      <c r="E43" s="1409" t="s">
        <v>106</v>
      </c>
      <c r="F43" s="2137"/>
      <c r="G43" s="2134"/>
      <c r="H43" s="2134"/>
      <c r="I43" s="2134"/>
      <c r="J43" s="2137"/>
      <c r="K43" s="2137"/>
      <c r="L43" s="2137"/>
      <c r="M43" s="2137"/>
      <c r="N43" s="2140"/>
    </row>
    <row r="44" spans="1:14" ht="24.75" hidden="1" outlineLevel="1" thickBot="1" x14ac:dyDescent="0.25">
      <c r="A44" s="2144"/>
      <c r="B44" s="2144"/>
      <c r="C44" s="2147"/>
      <c r="D44" s="1595" t="s">
        <v>1231</v>
      </c>
      <c r="E44" s="1409" t="s">
        <v>106</v>
      </c>
      <c r="F44" s="2138"/>
      <c r="G44" s="2135"/>
      <c r="H44" s="2135"/>
      <c r="I44" s="2135"/>
      <c r="J44" s="2138"/>
      <c r="K44" s="2138"/>
      <c r="L44" s="2138"/>
      <c r="M44" s="2138"/>
      <c r="N44" s="2141"/>
    </row>
    <row r="45" spans="1:14" ht="15.75" hidden="1" outlineLevel="2" x14ac:dyDescent="0.2">
      <c r="A45" s="1420"/>
      <c r="B45" s="1420"/>
      <c r="C45" s="1596" t="s">
        <v>1235</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1237</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1238</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1239</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1240</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1243</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1244</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1245</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1246</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1247</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1248</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1249</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1250</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1251</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1252</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1253</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1254</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1255</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1256</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1257</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1258</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1259</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1260</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1261</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1262</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1263</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1264</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1265</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1266</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1267</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1268</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1269</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1270</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1486</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1272</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1273</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1274</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1275</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1276</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1487</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1278</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1279</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1280</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30" t="s">
        <v>1488</v>
      </c>
      <c r="B88" s="2131"/>
      <c r="C88" s="2131"/>
      <c r="D88" s="2131"/>
      <c r="E88" s="2132"/>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25"/>
      <c r="B89" s="2125"/>
      <c r="C89" s="2116" t="s">
        <v>1478</v>
      </c>
      <c r="D89" s="1430" t="s">
        <v>875</v>
      </c>
      <c r="E89" s="1409">
        <v>1</v>
      </c>
      <c r="F89" s="2116">
        <f>SUM(G89:I89)</f>
        <v>128</v>
      </c>
      <c r="G89" s="2116">
        <f>ROUNDUP(G92+G95+G97+G99+G101,0)</f>
        <v>54</v>
      </c>
      <c r="H89" s="2116">
        <f t="shared" ref="H89:I89" si="33">ROUNDUP(H92+H95+H97+H99+H101,0)</f>
        <v>50</v>
      </c>
      <c r="I89" s="2116">
        <f t="shared" si="33"/>
        <v>24</v>
      </c>
      <c r="J89" s="2116">
        <f>ROUNDUP(SUM(K89:M91),2)</f>
        <v>15.86</v>
      </c>
      <c r="K89" s="2116">
        <f t="shared" ref="K89:M89" si="34">ROUNDUP(SUM(K92,K95,K97,K99,K101),2)</f>
        <v>6.68</v>
      </c>
      <c r="L89" s="2116">
        <f t="shared" si="34"/>
        <v>6.24</v>
      </c>
      <c r="M89" s="2116">
        <f t="shared" si="34"/>
        <v>2.94</v>
      </c>
      <c r="N89" s="2119" t="s">
        <v>1479</v>
      </c>
    </row>
    <row r="90" spans="1:14" ht="16.5" hidden="1" customHeight="1" outlineLevel="1" thickBot="1" x14ac:dyDescent="0.25">
      <c r="A90" s="2126"/>
      <c r="B90" s="2126"/>
      <c r="C90" s="2118"/>
      <c r="D90" s="1431" t="s">
        <v>1281</v>
      </c>
      <c r="E90" s="1409">
        <v>10</v>
      </c>
      <c r="F90" s="2118"/>
      <c r="G90" s="2118"/>
      <c r="H90" s="2118"/>
      <c r="I90" s="2118"/>
      <c r="J90" s="2118"/>
      <c r="K90" s="2118"/>
      <c r="L90" s="2118"/>
      <c r="M90" s="2118"/>
      <c r="N90" s="2120"/>
    </row>
    <row r="91" spans="1:14" ht="24.75" hidden="1" outlineLevel="1" thickBot="1" x14ac:dyDescent="0.25">
      <c r="A91" s="2127"/>
      <c r="B91" s="2127"/>
      <c r="C91" s="2117"/>
      <c r="D91" s="1432" t="s">
        <v>1480</v>
      </c>
      <c r="E91" s="1409" t="s">
        <v>106</v>
      </c>
      <c r="F91" s="2117"/>
      <c r="G91" s="2117"/>
      <c r="H91" s="2117"/>
      <c r="I91" s="2117"/>
      <c r="J91" s="2117"/>
      <c r="K91" s="2117"/>
      <c r="L91" s="2117"/>
      <c r="M91" s="2117"/>
      <c r="N91" s="2121"/>
    </row>
    <row r="92" spans="1:14" ht="31.5" hidden="1" outlineLevel="2" x14ac:dyDescent="0.2">
      <c r="A92" s="1433"/>
      <c r="B92" s="1433"/>
      <c r="C92" s="1597" t="s">
        <v>1351</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1352</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1353</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1380</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1379</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1361</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1591</v>
      </c>
    </row>
    <row r="98" spans="1:14" ht="24.75" hidden="1" outlineLevel="3" thickBot="1" x14ac:dyDescent="0.25">
      <c r="A98" s="1437">
        <v>1</v>
      </c>
      <c r="B98" s="1417">
        <v>1</v>
      </c>
      <c r="C98" s="1442" t="s">
        <v>1363</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1378</v>
      </c>
      <c r="D99" s="1603" t="s">
        <v>1376</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1591</v>
      </c>
    </row>
    <row r="100" spans="1:14" ht="15.75" hidden="1" outlineLevel="3" x14ac:dyDescent="0.2">
      <c r="A100" s="1437">
        <v>1</v>
      </c>
      <c r="B100" s="1417">
        <v>1</v>
      </c>
      <c r="C100" s="1442" t="s">
        <v>1375</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1364</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1592</v>
      </c>
    </row>
    <row r="102" spans="1:14" ht="15.75" hidden="1" outlineLevel="3" x14ac:dyDescent="0.2">
      <c r="A102" s="1437">
        <v>1</v>
      </c>
      <c r="B102" s="1417">
        <v>1</v>
      </c>
      <c r="C102" s="1438" t="s">
        <v>1364</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1367</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1371</v>
      </c>
    </row>
    <row r="104" spans="1:14" ht="16.5" hidden="1" customHeight="1" outlineLevel="1" thickBot="1" x14ac:dyDescent="0.25">
      <c r="A104" s="2125"/>
      <c r="B104" s="2125"/>
      <c r="C104" s="2116" t="s">
        <v>1482</v>
      </c>
      <c r="D104" s="1430" t="s">
        <v>1420</v>
      </c>
      <c r="E104" s="1409">
        <v>1</v>
      </c>
      <c r="F104" s="2116">
        <f>SUM(G104:I105)</f>
        <v>0</v>
      </c>
      <c r="G104" s="2116">
        <f>ROUNDUP(SUM(G106:G106),0)</f>
        <v>0</v>
      </c>
      <c r="H104" s="2116">
        <f t="shared" ref="H104:I104" si="46">ROUNDUP(SUM(H106:H106),0)</f>
        <v>0</v>
      </c>
      <c r="I104" s="2116">
        <f t="shared" si="46"/>
        <v>0</v>
      </c>
      <c r="J104" s="2116">
        <f>ROUNDUP(SUM(J106),2)</f>
        <v>0</v>
      </c>
      <c r="K104" s="2116">
        <f>ROUNDUP(SUM(K106),2)</f>
        <v>0</v>
      </c>
      <c r="L104" s="2116">
        <f t="shared" ref="L104:M104" si="47">ROUNDUP(SUM(L106),2)</f>
        <v>0</v>
      </c>
      <c r="M104" s="2116">
        <f t="shared" si="47"/>
        <v>0</v>
      </c>
      <c r="N104" s="2128" t="s">
        <v>1489</v>
      </c>
    </row>
    <row r="105" spans="1:14" ht="16.5" hidden="1" customHeight="1" outlineLevel="1" thickBot="1" x14ac:dyDescent="0.25">
      <c r="A105" s="2127"/>
      <c r="B105" s="2127"/>
      <c r="C105" s="2117"/>
      <c r="D105" s="1445" t="s">
        <v>1421</v>
      </c>
      <c r="E105" s="1409">
        <v>1</v>
      </c>
      <c r="F105" s="2117"/>
      <c r="G105" s="2117"/>
      <c r="H105" s="2117"/>
      <c r="I105" s="2117"/>
      <c r="J105" s="2117"/>
      <c r="K105" s="2117"/>
      <c r="L105" s="2117"/>
      <c r="M105" s="2117"/>
      <c r="N105" s="2129"/>
    </row>
    <row r="106" spans="1:14" ht="16.5" hidden="1" outlineLevel="2" thickBot="1" x14ac:dyDescent="0.25">
      <c r="A106" s="1437">
        <v>0</v>
      </c>
      <c r="B106" s="1417">
        <v>1</v>
      </c>
      <c r="C106" s="1438" t="s">
        <v>1427</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1410</v>
      </c>
      <c r="D107" s="1430" t="s">
        <v>1281</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1411</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1413</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25"/>
      <c r="B110" s="2125"/>
      <c r="C110" s="2116" t="s">
        <v>1490</v>
      </c>
      <c r="D110" s="1449" t="s">
        <v>1281</v>
      </c>
      <c r="E110" s="1409">
        <v>2</v>
      </c>
      <c r="F110" s="2116">
        <f>SUM(G110:I110)</f>
        <v>0</v>
      </c>
      <c r="G110" s="2116">
        <f>G113+G117+G145+G147+G149+G151+G153+G155+G158+G160</f>
        <v>0</v>
      </c>
      <c r="H110" s="2116">
        <f t="shared" ref="H110:I110" si="51">H113+H117+H145+H147+H149+H151+H153+H155+H158+H160</f>
        <v>0</v>
      </c>
      <c r="I110" s="2116">
        <f t="shared" si="51"/>
        <v>0</v>
      </c>
      <c r="J110" s="2116">
        <f>ROUNDUP(SUM(K110:M112),2)</f>
        <v>0</v>
      </c>
      <c r="K110" s="2116">
        <f>ROUNDUP(SUM(K113,K117,K145,K147,K149,K151,K153,K155,K158,K160),2)</f>
        <v>0</v>
      </c>
      <c r="L110" s="2116">
        <f t="shared" ref="L110:M110" si="52">ROUNDUP(SUM(L113,L117,L145,L147,L149,L151,L153,L155,L158,L160),2)</f>
        <v>0</v>
      </c>
      <c r="M110" s="2116">
        <f t="shared" si="52"/>
        <v>0</v>
      </c>
      <c r="N110" s="2119"/>
    </row>
    <row r="111" spans="1:14" ht="12.6" hidden="1" customHeight="1" outlineLevel="1" thickBot="1" x14ac:dyDescent="0.25">
      <c r="A111" s="2126"/>
      <c r="B111" s="2126"/>
      <c r="C111" s="2118"/>
      <c r="D111" s="1450" t="s">
        <v>1230</v>
      </c>
      <c r="E111" s="1409" t="s">
        <v>107</v>
      </c>
      <c r="F111" s="2118"/>
      <c r="G111" s="2118"/>
      <c r="H111" s="2118"/>
      <c r="I111" s="2118"/>
      <c r="J111" s="2118"/>
      <c r="K111" s="2118"/>
      <c r="L111" s="2118"/>
      <c r="M111" s="2118"/>
      <c r="N111" s="2120"/>
    </row>
    <row r="112" spans="1:14" ht="24.75" hidden="1" outlineLevel="1" thickBot="1" x14ac:dyDescent="0.25">
      <c r="A112" s="2127"/>
      <c r="B112" s="2127"/>
      <c r="C112" s="2117"/>
      <c r="D112" s="1450" t="s">
        <v>1231</v>
      </c>
      <c r="E112" s="1409" t="s">
        <v>107</v>
      </c>
      <c r="F112" s="2117"/>
      <c r="G112" s="2117"/>
      <c r="H112" s="2117"/>
      <c r="I112" s="2117"/>
      <c r="J112" s="2117"/>
      <c r="K112" s="2117"/>
      <c r="L112" s="2117"/>
      <c r="M112" s="2117"/>
      <c r="N112" s="2121"/>
    </row>
    <row r="113" spans="1:14" ht="15.75" hidden="1" outlineLevel="2" x14ac:dyDescent="0.25">
      <c r="A113" s="1433"/>
      <c r="B113" s="1433"/>
      <c r="C113" s="1434" t="s">
        <v>1235</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1237</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1238</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1239</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1282</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1593</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1284</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1285</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1286</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1287</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1288</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1289</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1572</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1290</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1291</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1573</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1292</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1293</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1294</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1295</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1296</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1574</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1575</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1576</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1577</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1297</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1578</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1579</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1580</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1298</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1581</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1318</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1299</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1300</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1301</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1302</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1303</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1304</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1305</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1306</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1307</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1582</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1308</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1309</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1310</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1311</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1583</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1312</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1313</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1314</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1315</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1316</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1317</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22" t="s">
        <v>1491</v>
      </c>
      <c r="B166" s="2123"/>
      <c r="C166" s="2123"/>
      <c r="D166" s="2123"/>
      <c r="E166" s="2124"/>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112"/>
      <c r="B167" s="2112"/>
      <c r="C167" s="2104" t="s">
        <v>1478</v>
      </c>
      <c r="D167" s="1454" t="s">
        <v>875</v>
      </c>
      <c r="E167" s="1409">
        <v>1</v>
      </c>
      <c r="F167" s="2104">
        <f>SUM(G167:I169)</f>
        <v>161</v>
      </c>
      <c r="G167" s="2104">
        <f>ROUNDUP(G170+G173+G175+G177+G179,0)</f>
        <v>67</v>
      </c>
      <c r="H167" s="2104">
        <f t="shared" ref="H167:I167" si="84">ROUNDUP(H170+H173+H175+H177+H179,0)</f>
        <v>63</v>
      </c>
      <c r="I167" s="2104">
        <f t="shared" si="84"/>
        <v>31</v>
      </c>
      <c r="J167" s="2104">
        <f>ROUNDUP(SUM(J170,J173,J175,J177,J179),2)</f>
        <v>19.87</v>
      </c>
      <c r="K167" s="2104">
        <f t="shared" ref="K167:M167" si="85">ROUNDUP(SUM(K170,K173,K175,K177,K179),2)</f>
        <v>8.34</v>
      </c>
      <c r="L167" s="2104">
        <f t="shared" si="85"/>
        <v>7.76</v>
      </c>
      <c r="M167" s="2104">
        <f t="shared" si="85"/>
        <v>3.78</v>
      </c>
      <c r="N167" s="2107" t="s">
        <v>1479</v>
      </c>
    </row>
    <row r="168" spans="1:14" ht="16.5" customHeight="1" outlineLevel="1" thickBot="1" x14ac:dyDescent="0.25">
      <c r="A168" s="2114"/>
      <c r="B168" s="2114"/>
      <c r="C168" s="2105"/>
      <c r="D168" s="1455" t="s">
        <v>1319</v>
      </c>
      <c r="E168" s="1409">
        <v>1</v>
      </c>
      <c r="F168" s="2105"/>
      <c r="G168" s="2105"/>
      <c r="H168" s="2105"/>
      <c r="I168" s="2105"/>
      <c r="J168" s="2105"/>
      <c r="K168" s="2105"/>
      <c r="L168" s="2105"/>
      <c r="M168" s="2105"/>
      <c r="N168" s="2115"/>
    </row>
    <row r="169" spans="1:14" ht="30" customHeight="1" outlineLevel="1" thickBot="1" x14ac:dyDescent="0.25">
      <c r="A169" s="2113"/>
      <c r="B169" s="2113"/>
      <c r="C169" s="2106"/>
      <c r="D169" s="1456" t="s">
        <v>1480</v>
      </c>
      <c r="E169" s="1409" t="s">
        <v>106</v>
      </c>
      <c r="F169" s="2106"/>
      <c r="G169" s="2106"/>
      <c r="H169" s="2106"/>
      <c r="I169" s="2106"/>
      <c r="J169" s="2106"/>
      <c r="K169" s="2106"/>
      <c r="L169" s="2106"/>
      <c r="M169" s="2106"/>
      <c r="N169" s="2108"/>
    </row>
    <row r="170" spans="1:14" ht="31.5" outlineLevel="2" x14ac:dyDescent="0.2">
      <c r="A170" s="1457"/>
      <c r="B170" s="1457"/>
      <c r="C170" s="1604" t="s">
        <v>1351</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1352</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1353</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1492</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1493</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1361</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1363</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1494</v>
      </c>
      <c r="D177" s="1609" t="s">
        <v>1376</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1375</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1364</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1364</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1367</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1495</v>
      </c>
    </row>
    <row r="182" spans="1:14" ht="12.6" customHeight="1" outlineLevel="1" thickBot="1" x14ac:dyDescent="0.25">
      <c r="A182" s="2112"/>
      <c r="B182" s="2112"/>
      <c r="C182" s="2104" t="s">
        <v>1482</v>
      </c>
      <c r="D182" s="1454" t="s">
        <v>1420</v>
      </c>
      <c r="E182" s="1409">
        <v>1</v>
      </c>
      <c r="F182" s="2104">
        <f>SUM(G182:I183)</f>
        <v>64</v>
      </c>
      <c r="G182" s="2104">
        <f>SUM(G184:G184)</f>
        <v>19.2</v>
      </c>
      <c r="H182" s="2104">
        <f>SUM(H184:H184)</f>
        <v>25.6</v>
      </c>
      <c r="I182" s="2104">
        <f>SUM(I184:I184)</f>
        <v>19.2</v>
      </c>
      <c r="J182" s="2104">
        <f>SUM(J184)</f>
        <v>8</v>
      </c>
      <c r="K182" s="2104">
        <f>SUM(K184)</f>
        <v>2.4</v>
      </c>
      <c r="L182" s="2104">
        <f>SUM(L184)</f>
        <v>3.2</v>
      </c>
      <c r="M182" s="2104">
        <f>SUM(M184)</f>
        <v>2.4</v>
      </c>
      <c r="N182" s="2107" t="s">
        <v>1496</v>
      </c>
    </row>
    <row r="183" spans="1:14" ht="12.6" customHeight="1" outlineLevel="1" thickBot="1" x14ac:dyDescent="0.25">
      <c r="A183" s="2113"/>
      <c r="B183" s="2113"/>
      <c r="C183" s="2106"/>
      <c r="D183" s="1469" t="s">
        <v>1421</v>
      </c>
      <c r="E183" s="1409">
        <v>1</v>
      </c>
      <c r="F183" s="2106"/>
      <c r="G183" s="2106"/>
      <c r="H183" s="2106"/>
      <c r="I183" s="2106"/>
      <c r="J183" s="2106"/>
      <c r="K183" s="2106"/>
      <c r="L183" s="2106"/>
      <c r="M183" s="2106"/>
      <c r="N183" s="2108"/>
    </row>
    <row r="184" spans="1:14" ht="16.5" outlineLevel="2" thickBot="1" x14ac:dyDescent="0.25">
      <c r="A184" s="1461">
        <v>1</v>
      </c>
      <c r="B184" s="1417">
        <v>1</v>
      </c>
      <c r="C184" s="1463" t="s">
        <v>1429</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1414</v>
      </c>
      <c r="D185" s="1455" t="s">
        <v>1319</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1415</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1416</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112"/>
      <c r="B188" s="2112"/>
      <c r="C188" s="2104" t="s">
        <v>1497</v>
      </c>
      <c r="D188" s="1472" t="s">
        <v>1319</v>
      </c>
      <c r="E188" s="1409">
        <v>1</v>
      </c>
      <c r="F188" s="2104">
        <f>SUM(G188:I190)</f>
        <v>118.65</v>
      </c>
      <c r="G188" s="2104">
        <f>G191+G195+G220</f>
        <v>74.08</v>
      </c>
      <c r="H188" s="2104">
        <f>H191+H195+H220</f>
        <v>32.971000000000004</v>
      </c>
      <c r="I188" s="2104">
        <f>I191+I195+I220</f>
        <v>11.599000000000002</v>
      </c>
      <c r="J188" s="2104">
        <f>SUM(K188:M190)</f>
        <v>14.831250000000001</v>
      </c>
      <c r="K188" s="2104">
        <f t="shared" ref="K188:L188" si="100">SUM(K191+K195+K220)</f>
        <v>9.26</v>
      </c>
      <c r="L188" s="2104">
        <f t="shared" si="100"/>
        <v>4.1213750000000005</v>
      </c>
      <c r="M188" s="2104">
        <f>SUM(M191+M195+M220)</f>
        <v>1.4498750000000002</v>
      </c>
      <c r="N188" s="2107"/>
    </row>
    <row r="189" spans="1:14" ht="12.6" customHeight="1" outlineLevel="1" thickBot="1" x14ac:dyDescent="0.25">
      <c r="A189" s="2114"/>
      <c r="B189" s="2114"/>
      <c r="C189" s="2105"/>
      <c r="D189" s="1473" t="s">
        <v>1230</v>
      </c>
      <c r="E189" s="1409" t="s">
        <v>106</v>
      </c>
      <c r="F189" s="2105"/>
      <c r="G189" s="2105"/>
      <c r="H189" s="2105"/>
      <c r="I189" s="2105"/>
      <c r="J189" s="2105"/>
      <c r="K189" s="2105"/>
      <c r="L189" s="2105"/>
      <c r="M189" s="2105"/>
      <c r="N189" s="2115"/>
    </row>
    <row r="190" spans="1:14" ht="24.75" outlineLevel="1" thickBot="1" x14ac:dyDescent="0.25">
      <c r="A190" s="2113"/>
      <c r="B190" s="2113"/>
      <c r="C190" s="2106"/>
      <c r="D190" s="1473" t="s">
        <v>1231</v>
      </c>
      <c r="E190" s="1409" t="s">
        <v>106</v>
      </c>
      <c r="F190" s="2106"/>
      <c r="G190" s="2106"/>
      <c r="H190" s="2106"/>
      <c r="I190" s="2106"/>
      <c r="J190" s="2106"/>
      <c r="K190" s="2106"/>
      <c r="L190" s="2106"/>
      <c r="M190" s="2106"/>
      <c r="N190" s="2108"/>
    </row>
    <row r="191" spans="1:14" ht="15.75" outlineLevel="2" x14ac:dyDescent="0.25">
      <c r="A191" s="1457"/>
      <c r="B191" s="1457"/>
      <c r="C191" s="1458" t="s">
        <v>1235</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1237</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1238</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1239</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1320</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1321</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1322</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1244</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1245</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1279</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1246</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1323</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1248</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1324</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1325</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1326</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1327</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1328</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1253</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1329</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1330</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1331</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1332</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1294</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1333</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1274</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1334</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1335</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1336</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1337</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1338</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1250</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112"/>
      <c r="B223" s="2112"/>
      <c r="C223" s="2104" t="s">
        <v>1441</v>
      </c>
      <c r="D223" s="1472" t="s">
        <v>1420</v>
      </c>
      <c r="E223" s="1409">
        <v>1</v>
      </c>
      <c r="F223" s="2104">
        <f>SUM(G223:I224)</f>
        <v>0</v>
      </c>
      <c r="G223" s="2104">
        <f>SUM(G225:G236)</f>
        <v>0</v>
      </c>
      <c r="H223" s="2104">
        <f t="shared" ref="H223:I223" si="110">SUM(H225:H236)</f>
        <v>0</v>
      </c>
      <c r="I223" s="2104">
        <f t="shared" si="110"/>
        <v>0</v>
      </c>
      <c r="J223" s="2104">
        <f>SUM(K223:M224)</f>
        <v>0</v>
      </c>
      <c r="K223" s="2104">
        <f>SUM(K225:K236)</f>
        <v>0</v>
      </c>
      <c r="L223" s="2104">
        <f t="shared" ref="L223:M223" si="111">SUM(L225:L236)</f>
        <v>0</v>
      </c>
      <c r="M223" s="2104">
        <f t="shared" si="111"/>
        <v>0</v>
      </c>
      <c r="N223" s="2107"/>
    </row>
    <row r="224" spans="1:14" ht="16.5" customHeight="1" outlineLevel="1" thickBot="1" x14ac:dyDescent="0.25">
      <c r="A224" s="2113"/>
      <c r="B224" s="2113"/>
      <c r="C224" s="2106"/>
      <c r="D224" s="1472" t="s">
        <v>1440</v>
      </c>
      <c r="E224" s="1409" t="s">
        <v>106</v>
      </c>
      <c r="F224" s="2106"/>
      <c r="G224" s="2106"/>
      <c r="H224" s="2106"/>
      <c r="I224" s="2106"/>
      <c r="J224" s="2106"/>
      <c r="K224" s="2106"/>
      <c r="L224" s="2106"/>
      <c r="M224" s="2106"/>
      <c r="N224" s="2108"/>
    </row>
    <row r="225" spans="1:14" ht="12" customHeight="1" outlineLevel="2" x14ac:dyDescent="0.2">
      <c r="A225" s="1461">
        <v>0</v>
      </c>
      <c r="B225" s="1417">
        <v>1</v>
      </c>
      <c r="C225" s="1467" t="s">
        <v>1442</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1443</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1445</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1446</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1447</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1448</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1449</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1450</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1452</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1454</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1456</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1457</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109" t="s">
        <v>1498</v>
      </c>
      <c r="B237" s="2110"/>
      <c r="C237" s="2110"/>
      <c r="D237" s="2110"/>
      <c r="E237" s="2111"/>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100"/>
      <c r="B238" s="2100"/>
      <c r="C238" s="2092" t="s">
        <v>1478</v>
      </c>
      <c r="D238" s="1476" t="s">
        <v>875</v>
      </c>
      <c r="E238" s="1409">
        <v>1</v>
      </c>
      <c r="F238" s="2092">
        <f>SUM(G238:I240)</f>
        <v>67</v>
      </c>
      <c r="G238" s="2092">
        <f>ROUNDUP(G241+G244+G246+G248+G250,0)</f>
        <v>25</v>
      </c>
      <c r="H238" s="2092">
        <f>ROUNDUP(H241+H244+H246+H248+H250,0)</f>
        <v>26</v>
      </c>
      <c r="I238" s="2092">
        <f>ROUNDUP(I241+I244+I246+I248+I250,0)</f>
        <v>16</v>
      </c>
      <c r="J238" s="2092">
        <f>ROUNDUP(SUM(K238:M240),2)</f>
        <v>8.1999999999999993</v>
      </c>
      <c r="K238" s="2092">
        <f>ROUNDUP(SUM(K241,K244,K246,K248,K250),2)</f>
        <v>3.03</v>
      </c>
      <c r="L238" s="2092">
        <f>ROUNDUP(SUM(L241,L244,L246,L248,L250),2)</f>
        <v>3.18</v>
      </c>
      <c r="M238" s="2092">
        <f>ROUNDUP(SUM(M241,M244,M246,M248,M250),2)</f>
        <v>1.99</v>
      </c>
      <c r="N238" s="2098" t="s">
        <v>1479</v>
      </c>
    </row>
    <row r="239" spans="1:14" ht="24.75" hidden="1" outlineLevel="1" thickBot="1" x14ac:dyDescent="0.25">
      <c r="A239" s="2101"/>
      <c r="B239" s="2101"/>
      <c r="C239" s="2093"/>
      <c r="D239" s="1477" t="s">
        <v>1499</v>
      </c>
      <c r="E239" s="1409">
        <v>1</v>
      </c>
      <c r="F239" s="2093"/>
      <c r="G239" s="2093"/>
      <c r="H239" s="2093"/>
      <c r="I239" s="2093"/>
      <c r="J239" s="2093"/>
      <c r="K239" s="2093"/>
      <c r="L239" s="2093"/>
      <c r="M239" s="2093"/>
      <c r="N239" s="2099"/>
    </row>
    <row r="240" spans="1:14" ht="24.75" hidden="1" outlineLevel="1" thickBot="1" x14ac:dyDescent="0.25">
      <c r="A240" s="2102"/>
      <c r="B240" s="2102"/>
      <c r="C240" s="2094"/>
      <c r="D240" s="1478" t="s">
        <v>1480</v>
      </c>
      <c r="E240" s="1409" t="s">
        <v>106</v>
      </c>
      <c r="F240" s="2094"/>
      <c r="G240" s="2094"/>
      <c r="H240" s="2094"/>
      <c r="I240" s="2094"/>
      <c r="J240" s="2094"/>
      <c r="K240" s="2094"/>
      <c r="L240" s="2094"/>
      <c r="M240" s="2094"/>
      <c r="N240" s="2103"/>
    </row>
    <row r="241" spans="1:14" ht="31.5" hidden="1" outlineLevel="2" x14ac:dyDescent="0.2">
      <c r="A241" s="1479"/>
      <c r="B241" s="1479"/>
      <c r="C241" s="1610" t="s">
        <v>1351</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1352</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1353</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1382</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1384</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1361</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1591</v>
      </c>
    </row>
    <row r="247" spans="1:14" ht="24.75" hidden="1" outlineLevel="3" thickBot="1" x14ac:dyDescent="0.25">
      <c r="A247" s="1482">
        <v>1</v>
      </c>
      <c r="B247" s="1417">
        <v>1</v>
      </c>
      <c r="C247" s="1487" t="s">
        <v>1363</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1386</v>
      </c>
      <c r="D248" s="1615" t="s">
        <v>1376</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1591</v>
      </c>
    </row>
    <row r="249" spans="1:14" ht="15.75" hidden="1" outlineLevel="3" x14ac:dyDescent="0.2">
      <c r="A249" s="1482">
        <v>1</v>
      </c>
      <c r="B249" s="1417">
        <v>1</v>
      </c>
      <c r="C249" s="1487" t="s">
        <v>1387</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1364</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1364</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1367</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1389</v>
      </c>
    </row>
    <row r="253" spans="1:14" ht="16.5" hidden="1" customHeight="1" outlineLevel="1" thickBot="1" x14ac:dyDescent="0.25">
      <c r="A253" s="2100"/>
      <c r="B253" s="2100"/>
      <c r="C253" s="2092" t="s">
        <v>1482</v>
      </c>
      <c r="D253" s="1489" t="s">
        <v>1420</v>
      </c>
      <c r="E253" s="1409">
        <v>2</v>
      </c>
      <c r="F253" s="2092">
        <f>SUM(G253:I254)</f>
        <v>0</v>
      </c>
      <c r="G253" s="2092">
        <f>ROUNDUP(SUM(G255:G255),0)</f>
        <v>0</v>
      </c>
      <c r="H253" s="2092">
        <f t="shared" ref="H253:I253" si="130">ROUNDUP(SUM(H255:H255),0)</f>
        <v>0</v>
      </c>
      <c r="I253" s="2092">
        <f t="shared" si="130"/>
        <v>0</v>
      </c>
      <c r="J253" s="2092">
        <f>ROUNDUP(SUM(J255),2)</f>
        <v>0</v>
      </c>
      <c r="K253" s="2092">
        <f t="shared" ref="K253:M253" si="131">ROUNDUP(SUM(K255),2)</f>
        <v>0</v>
      </c>
      <c r="L253" s="2092">
        <f t="shared" si="131"/>
        <v>0</v>
      </c>
      <c r="M253" s="2092">
        <f t="shared" si="131"/>
        <v>0</v>
      </c>
      <c r="N253" s="2098" t="s">
        <v>1500</v>
      </c>
    </row>
    <row r="254" spans="1:14" ht="18" hidden="1" customHeight="1" outlineLevel="1" thickBot="1" x14ac:dyDescent="0.25">
      <c r="A254" s="2102"/>
      <c r="B254" s="2102"/>
      <c r="C254" s="2094"/>
      <c r="D254" s="1490" t="s">
        <v>1421</v>
      </c>
      <c r="E254" s="1409">
        <v>2</v>
      </c>
      <c r="F254" s="2094"/>
      <c r="G254" s="2094"/>
      <c r="H254" s="2094"/>
      <c r="I254" s="2094"/>
      <c r="J254" s="2094"/>
      <c r="K254" s="2094"/>
      <c r="L254" s="2094"/>
      <c r="M254" s="2094"/>
      <c r="N254" s="2099"/>
    </row>
    <row r="255" spans="1:14" ht="16.5" hidden="1" outlineLevel="2" thickBot="1" x14ac:dyDescent="0.25">
      <c r="A255" s="1482">
        <v>0</v>
      </c>
      <c r="B255" s="1580">
        <v>0</v>
      </c>
      <c r="C255" s="1487" t="s">
        <v>1501</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100"/>
      <c r="B256" s="2100"/>
      <c r="C256" s="2092" t="s">
        <v>1502</v>
      </c>
      <c r="D256" s="1489" t="s">
        <v>1339</v>
      </c>
      <c r="E256" s="1409">
        <v>1</v>
      </c>
      <c r="F256" s="2092">
        <f>SUM(G256:I258)</f>
        <v>0</v>
      </c>
      <c r="G256" s="2092">
        <f>ROUNDUP(G259+G263,0)</f>
        <v>0</v>
      </c>
      <c r="H256" s="2092">
        <f t="shared" ref="H256:I256" si="133">ROUNDUP(H259+H263,0)</f>
        <v>0</v>
      </c>
      <c r="I256" s="2092">
        <f t="shared" si="133"/>
        <v>0</v>
      </c>
      <c r="J256" s="2092">
        <f>ROUNDUP(SUM(J259,J263),2)</f>
        <v>0</v>
      </c>
      <c r="K256" s="2092">
        <f t="shared" ref="K256:L256" si="134">ROUNDUP(SUM(K259,K263),2)</f>
        <v>0</v>
      </c>
      <c r="L256" s="2092">
        <f t="shared" si="134"/>
        <v>0</v>
      </c>
      <c r="M256" s="2092">
        <f>ROUNDUP(SUM(M259,M263),2)</f>
        <v>0</v>
      </c>
      <c r="N256" s="2098"/>
    </row>
    <row r="257" spans="1:14" ht="12.6" hidden="1" customHeight="1" outlineLevel="1" thickBot="1" x14ac:dyDescent="0.25">
      <c r="A257" s="2101"/>
      <c r="B257" s="2101"/>
      <c r="C257" s="2093"/>
      <c r="D257" s="1490" t="s">
        <v>1230</v>
      </c>
      <c r="E257" s="1409" t="s">
        <v>106</v>
      </c>
      <c r="F257" s="2093"/>
      <c r="G257" s="2093"/>
      <c r="H257" s="2093"/>
      <c r="I257" s="2093"/>
      <c r="J257" s="2093"/>
      <c r="K257" s="2093"/>
      <c r="L257" s="2093"/>
      <c r="M257" s="2093"/>
      <c r="N257" s="2099"/>
    </row>
    <row r="258" spans="1:14" ht="24.75" hidden="1" outlineLevel="1" thickBot="1" x14ac:dyDescent="0.25">
      <c r="A258" s="2102"/>
      <c r="B258" s="2102"/>
      <c r="C258" s="2094"/>
      <c r="D258" s="1490" t="s">
        <v>1231</v>
      </c>
      <c r="E258" s="1409" t="s">
        <v>106</v>
      </c>
      <c r="F258" s="2094"/>
      <c r="G258" s="2094"/>
      <c r="H258" s="2094"/>
      <c r="I258" s="2094"/>
      <c r="J258" s="2094"/>
      <c r="K258" s="2094"/>
      <c r="L258" s="2094"/>
      <c r="M258" s="2094"/>
      <c r="N258" s="2103"/>
    </row>
    <row r="259" spans="1:14" ht="15.75" hidden="1" outlineLevel="2" x14ac:dyDescent="0.2">
      <c r="A259" s="1479"/>
      <c r="B259" s="1479"/>
      <c r="C259" s="1610" t="s">
        <v>1235</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1237</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1238</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1239</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1282</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1340</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1341</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1342</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1343</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1344</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1345</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1346</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1347</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1348</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1349</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1350</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086" t="s">
        <v>1462</v>
      </c>
      <c r="B275" s="2087"/>
      <c r="C275" s="2087"/>
      <c r="D275" s="2087"/>
      <c r="E275" s="2088"/>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1417</v>
      </c>
      <c r="D276" s="1496" t="s">
        <v>1409</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1418</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1419</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089" t="s">
        <v>113</v>
      </c>
      <c r="B279" s="2090"/>
      <c r="C279" s="2090"/>
      <c r="D279" s="2090"/>
      <c r="E279" s="2091"/>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1433</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1434</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1434</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1435</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1436</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1436</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1438</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095" t="s">
        <v>1503</v>
      </c>
      <c r="B287" s="2096"/>
      <c r="C287" s="2096"/>
      <c r="D287" s="2096"/>
      <c r="E287" s="2097"/>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084"/>
      <c r="B288" s="2084"/>
      <c r="C288" s="2082" t="s">
        <v>1430</v>
      </c>
      <c r="D288" s="1520" t="s">
        <v>1420</v>
      </c>
      <c r="E288" s="1409">
        <v>1</v>
      </c>
      <c r="F288" s="2082">
        <f>SUM(G288:I289)</f>
        <v>0</v>
      </c>
      <c r="G288" s="2082">
        <f>ROUNDUP(G290,0)</f>
        <v>0</v>
      </c>
      <c r="H288" s="2082">
        <f t="shared" ref="H288:I288" si="154">ROUNDUP(H290,0)</f>
        <v>0</v>
      </c>
      <c r="I288" s="2082">
        <f t="shared" si="154"/>
        <v>0</v>
      </c>
      <c r="J288" s="2082">
        <f>SUM(K288:M289)</f>
        <v>0</v>
      </c>
      <c r="K288" s="2082">
        <f>ROUNDUP(K290,0)</f>
        <v>0</v>
      </c>
      <c r="L288" s="2082">
        <f t="shared" ref="L288:M288" si="155">ROUNDUP(L290,0)</f>
        <v>0</v>
      </c>
      <c r="M288" s="2082">
        <f t="shared" si="155"/>
        <v>0</v>
      </c>
      <c r="N288" s="2080"/>
    </row>
    <row r="289" spans="1:14" ht="12.6" hidden="1" customHeight="1" outlineLevel="1" thickBot="1" x14ac:dyDescent="0.25">
      <c r="A289" s="2085"/>
      <c r="B289" s="2085"/>
      <c r="C289" s="2083"/>
      <c r="D289" s="1520" t="s">
        <v>1421</v>
      </c>
      <c r="E289" s="1409">
        <v>1</v>
      </c>
      <c r="F289" s="2083"/>
      <c r="G289" s="2083"/>
      <c r="H289" s="2083"/>
      <c r="I289" s="2083"/>
      <c r="J289" s="2083"/>
      <c r="K289" s="2083"/>
      <c r="L289" s="2083"/>
      <c r="M289" s="2083"/>
      <c r="N289" s="2081"/>
    </row>
    <row r="290" spans="1:14" ht="15.75" hidden="1" outlineLevel="2" x14ac:dyDescent="0.2">
      <c r="A290" s="1521">
        <v>0</v>
      </c>
      <c r="B290" s="1417">
        <v>1</v>
      </c>
      <c r="C290" s="1522" t="s">
        <v>1430</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A9:E9"/>
    <mergeCell ref="A10:A12"/>
    <mergeCell ref="B10:B12"/>
    <mergeCell ref="C10:C12"/>
    <mergeCell ref="F10:F12"/>
    <mergeCell ref="G10:G12"/>
    <mergeCell ref="L10:L12"/>
    <mergeCell ref="F38:F40"/>
    <mergeCell ref="G38:G40"/>
    <mergeCell ref="H25:H27"/>
    <mergeCell ref="I25:I27"/>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N288:N289"/>
    <mergeCell ref="H288:H289"/>
    <mergeCell ref="I288:I289"/>
    <mergeCell ref="J288:J289"/>
    <mergeCell ref="K288:K289"/>
    <mergeCell ref="A288:A289"/>
    <mergeCell ref="B288:B289"/>
    <mergeCell ref="C288:C289"/>
    <mergeCell ref="F288:F289"/>
    <mergeCell ref="G288:G289"/>
    <mergeCell ref="L288:L289"/>
    <mergeCell ref="M288:M289"/>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69" r:id="rId4" name="Audit_KII">
          <controlPr locked="0" defaultSize="0" autoLine="0" r:id="rId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4" name="Audit_KII"/>
      </mc:Fallback>
    </mc:AlternateContent>
    <mc:AlternateContent xmlns:mc="http://schemas.openxmlformats.org/markup-compatibility/2006">
      <mc:Choice Requires="x14">
        <control shapeId="109570" r:id="rId6" name="MUiN_KII">
          <controlPr locked="0" defaultSize="0" autoLine="0" r:id="rId7">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6" name="MUiN_KII"/>
      </mc:Fallback>
    </mc:AlternateContent>
    <mc:AlternateContent xmlns:mc="http://schemas.openxmlformats.org/markup-compatibility/2006">
      <mc:Choice Requires="x14">
        <control shapeId="109571" r:id="rId8" name="ORD_KII">
          <controlPr locked="0" defaultSize="0" autoLine="0" r:id="rId9">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8" name="ORD_KII"/>
      </mc:Fallback>
    </mc:AlternateContent>
    <mc:AlternateContent xmlns:mc="http://schemas.openxmlformats.org/markup-compatibility/2006">
      <mc:Choice Requires="x14">
        <control shapeId="109572" r:id="rId10" name="Audit_PDN">
          <controlPr locked="0" defaultSize="0" autoLine="0" r:id="rId11">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10" name="Audit_PDN"/>
      </mc:Fallback>
    </mc:AlternateContent>
    <mc:AlternateContent xmlns:mc="http://schemas.openxmlformats.org/markup-compatibility/2006">
      <mc:Choice Requires="x14">
        <control shapeId="109573" r:id="rId12" name="MUiN_PDN">
          <controlPr locked="0" defaultSize="0" autoLine="0" autoPict="0" r:id="rId13">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12" name="MUiN_PDN"/>
      </mc:Fallback>
    </mc:AlternateContent>
    <mc:AlternateContent xmlns:mc="http://schemas.openxmlformats.org/markup-compatibility/2006">
      <mc:Choice Requires="x14">
        <control shapeId="109574" r:id="rId14" name="Klass_PDN">
          <controlPr locked="0" defaultSize="0" autoLine="0" r:id="rId1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14" name="Klass_PDN"/>
      </mc:Fallback>
    </mc:AlternateContent>
    <mc:AlternateContent xmlns:mc="http://schemas.openxmlformats.org/markup-compatibility/2006">
      <mc:Choice Requires="x14">
        <control shapeId="109575" r:id="rId16" name="ORD_PDN">
          <controlPr locked="0" defaultSize="0" autoLine="0" r:id="rId17">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16" name="ORD_PDN"/>
      </mc:Fallback>
    </mc:AlternateContent>
    <mc:AlternateContent xmlns:mc="http://schemas.openxmlformats.org/markup-compatibility/2006">
      <mc:Choice Requires="x14">
        <control shapeId="109576" r:id="rId18" name="Audit_GIS">
          <controlPr locked="0" defaultSize="0" autoLine="0" r:id="rId19">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18" name="Audit_GIS"/>
      </mc:Fallback>
    </mc:AlternateContent>
    <mc:AlternateContent xmlns:mc="http://schemas.openxmlformats.org/markup-compatibility/2006">
      <mc:Choice Requires="x14">
        <control shapeId="109577" r:id="rId20" name="MUiN_GIS">
          <controlPr locked="0" defaultSize="0" autoLine="0" r:id="rId21">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20" name="MUiN_GIS"/>
      </mc:Fallback>
    </mc:AlternateContent>
    <mc:AlternateContent xmlns:mc="http://schemas.openxmlformats.org/markup-compatibility/2006">
      <mc:Choice Requires="x14">
        <control shapeId="109578" r:id="rId22" name="Klass_GIS">
          <controlPr locked="0" defaultSize="0" autoLine="0" r:id="rId23">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22" name="Klass_GIS"/>
      </mc:Fallback>
    </mc:AlternateContent>
    <mc:AlternateContent xmlns:mc="http://schemas.openxmlformats.org/markup-compatibility/2006">
      <mc:Choice Requires="x14">
        <control shapeId="109579" r:id="rId24" name="ORD_GIS">
          <controlPr locked="0" defaultSize="0" autoLine="0" r:id="rId2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24" name="ORD_GIS"/>
      </mc:Fallback>
    </mc:AlternateContent>
    <mc:AlternateContent xmlns:mc="http://schemas.openxmlformats.org/markup-compatibility/2006">
      <mc:Choice Requires="x14">
        <control shapeId="109580" r:id="rId26" name="Attestat">
          <controlPr locked="0" defaultSize="0" autoLine="0" r:id="rId27">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26" name="Attestat"/>
      </mc:Fallback>
    </mc:AlternateContent>
    <mc:AlternateContent xmlns:mc="http://schemas.openxmlformats.org/markup-compatibility/2006">
      <mc:Choice Requires="x14">
        <control shapeId="109581" r:id="rId28" name="Audit_KT">
          <controlPr locked="0" defaultSize="0" autoLine="0" r:id="rId29">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28" name="Audit_KT"/>
      </mc:Fallback>
    </mc:AlternateContent>
    <mc:AlternateContent xmlns:mc="http://schemas.openxmlformats.org/markup-compatibility/2006">
      <mc:Choice Requires="x14">
        <control shapeId="109582" r:id="rId30" name="MUiN_KT">
          <controlPr locked="0" defaultSize="0" autoLine="0" r:id="rId31">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30" name="MUiN_KT"/>
      </mc:Fallback>
    </mc:AlternateContent>
    <mc:AlternateContent xmlns:mc="http://schemas.openxmlformats.org/markup-compatibility/2006">
      <mc:Choice Requires="x14">
        <control shapeId="109583" r:id="rId32" name="ORD_KT">
          <controlPr locked="0" defaultSize="0" autoLine="0" r:id="rId33">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32" name="ORD_KT"/>
      </mc:Fallback>
    </mc:AlternateContent>
    <mc:AlternateContent xmlns:mc="http://schemas.openxmlformats.org/markup-compatibility/2006">
      <mc:Choice Requires="x14">
        <control shapeId="109584" r:id="rId34" name="Klass_AS">
          <controlPr locked="0" defaultSize="0" autoLine="0" r:id="rId3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34" name="Klass_AS"/>
      </mc:Fallback>
    </mc:AlternateContent>
    <mc:AlternateContent xmlns:mc="http://schemas.openxmlformats.org/markup-compatibility/2006">
      <mc:Choice Requires="x14">
        <control shapeId="109585" r:id="rId36" name="Vuln">
          <controlPr locked="0" defaultSize="0" autoLine="0" r:id="rId37">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36" name="Vuln"/>
      </mc:Fallback>
    </mc:AlternateContent>
    <mc:AlternateContent xmlns:mc="http://schemas.openxmlformats.org/markup-compatibility/2006">
      <mc:Choice Requires="x14">
        <control shapeId="109586" r:id="rId38" name="MUiN_TSOD">
          <controlPr locked="0" defaultSize="0" autoLine="0" r:id="rId39">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38" name="MUiN_TSOD"/>
      </mc:Fallback>
    </mc:AlternateContent>
    <mc:AlternateContent xmlns:mc="http://schemas.openxmlformats.org/markup-compatibility/2006">
      <mc:Choice Requires="x14">
        <control shapeId="109587" r:id="rId40" name="Show_KII">
          <controlPr locked="0" defaultSize="0" autoLine="0" r:id="rId41">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40" name="Show_KII"/>
      </mc:Fallback>
    </mc:AlternateContent>
    <mc:AlternateContent xmlns:mc="http://schemas.openxmlformats.org/markup-compatibility/2006">
      <mc:Choice Requires="x14">
        <control shapeId="109588" r:id="rId42" name="Show_PDN">
          <controlPr locked="0" defaultSize="0" autoLine="0" r:id="rId43">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42" name="Show_PDN"/>
      </mc:Fallback>
    </mc:AlternateContent>
    <mc:AlternateContent xmlns:mc="http://schemas.openxmlformats.org/markup-compatibility/2006">
      <mc:Choice Requires="x14">
        <control shapeId="109589" r:id="rId44" name="Show_GIS">
          <controlPr locked="0" defaultSize="0" autoLine="0" autoPict="0" r:id="rId4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44" name="Show_GIS"/>
      </mc:Fallback>
    </mc:AlternateContent>
    <mc:AlternateContent xmlns:mc="http://schemas.openxmlformats.org/markup-compatibility/2006">
      <mc:Choice Requires="x14">
        <control shapeId="109590" r:id="rId46" name="Show_KT">
          <controlPr locked="0" defaultSize="0" autoLine="0" r:id="rId47">
            <anchor moveWithCells="1" sizeWithCells="1">
              <from>
                <xdr:col>1</xdr:col>
                <xdr:colOff>476250</xdr:colOff>
                <xdr:row>3</xdr:row>
                <xdr:rowOff>0</xdr:rowOff>
              </from>
              <to>
                <xdr:col>1</xdr:col>
                <xdr:colOff>619125</xdr:colOff>
                <xdr:row>3</xdr:row>
                <xdr:rowOff>190500</xdr:rowOff>
              </to>
            </anchor>
          </controlPr>
        </control>
      </mc:Choice>
      <mc:Fallback>
        <control shapeId="109590" r:id="rId46" name="Show_KT"/>
      </mc:Fallback>
    </mc:AlternateContent>
    <mc:AlternateContent xmlns:mc="http://schemas.openxmlformats.org/markup-compatibility/2006">
      <mc:Choice Requires="x14">
        <control shapeId="109591" r:id="rId48" name="Show_AS">
          <controlPr locked="0" defaultSize="0" autoLine="0" r:id="rId49">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48" name="Show_AS"/>
      </mc:Fallback>
    </mc:AlternateContent>
    <mc:AlternateContent xmlns:mc="http://schemas.openxmlformats.org/markup-compatibility/2006">
      <mc:Choice Requires="x14">
        <control shapeId="109592" r:id="rId50" name="Show_Vuln">
          <controlPr locked="0" defaultSize="0" autoLine="0" r:id="rId51">
            <anchor moveWithCells="1" sizeWithCells="1">
              <from>
                <xdr:col>1</xdr:col>
                <xdr:colOff>476250</xdr:colOff>
                <xdr:row>5</xdr:row>
                <xdr:rowOff>0</xdr:rowOff>
              </from>
              <to>
                <xdr:col>1</xdr:col>
                <xdr:colOff>619125</xdr:colOff>
                <xdr:row>5</xdr:row>
                <xdr:rowOff>190500</xdr:rowOff>
              </to>
            </anchor>
          </controlPr>
        </control>
      </mc:Choice>
      <mc:Fallback>
        <control shapeId="109592" r:id="rId50" name="Show_Vuln"/>
      </mc:Fallback>
    </mc:AlternateContent>
    <mc:AlternateContent xmlns:mc="http://schemas.openxmlformats.org/markup-compatibility/2006">
      <mc:Choice Requires="x14">
        <control shapeId="109593" r:id="rId52" name="Show_TSOD">
          <controlPr locked="0" defaultSize="0" autoLine="0" r:id="rId53">
            <anchor moveWithCells="1" sizeWithCells="1">
              <from>
                <xdr:col>1</xdr:col>
                <xdr:colOff>476250</xdr:colOff>
                <xdr:row>6</xdr:row>
                <xdr:rowOff>0</xdr:rowOff>
              </from>
              <to>
                <xdr:col>1</xdr:col>
                <xdr:colOff>619125</xdr:colOff>
                <xdr:row>6</xdr:row>
                <xdr:rowOff>190500</xdr:rowOff>
              </to>
            </anchor>
          </controlPr>
        </control>
      </mc:Choice>
      <mc:Fallback>
        <control shapeId="109593" r:id="rId52" name="Show_TSOD"/>
      </mc:Fallback>
    </mc:AlternateContent>
    <mc:AlternateContent xmlns:mc="http://schemas.openxmlformats.org/markup-compatibility/2006">
      <mc:Choice Requires="x14">
        <control shapeId="109594" r:id="rId54" name="Kategorirovanie">
          <controlPr locked="0" defaultSize="0" autoLine="0" r:id="rId5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54" name="Kategorirovanie"/>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1390</v>
      </c>
      <c r="B1" s="1376" t="s">
        <v>1227</v>
      </c>
      <c r="C1" s="2160" t="s">
        <v>1228</v>
      </c>
      <c r="D1" s="1377" t="s">
        <v>1391</v>
      </c>
      <c r="E1" s="1377" t="s">
        <v>1392</v>
      </c>
      <c r="F1" s="1377" t="s">
        <v>1393</v>
      </c>
      <c r="G1" s="2161" t="s">
        <v>38</v>
      </c>
      <c r="H1" s="2159" t="s">
        <v>714</v>
      </c>
      <c r="I1" s="2159" t="s">
        <v>713</v>
      </c>
      <c r="J1" s="2159" t="s">
        <v>712</v>
      </c>
      <c r="K1" s="2159" t="s">
        <v>272</v>
      </c>
    </row>
    <row r="2" spans="1:11" ht="15.75" x14ac:dyDescent="0.25">
      <c r="A2" s="1379" t="s">
        <v>36</v>
      </c>
      <c r="B2" s="206">
        <f>IF(ТрЗ_ОКиА!$M$1="Простой", 1, IF(ТрЗ_ОКиА!$M$1="Обычный",2,3))</f>
        <v>2</v>
      </c>
      <c r="C2" s="2160"/>
      <c r="D2" s="184">
        <f>ТрЗ_ОКиА!E10</f>
        <v>20</v>
      </c>
      <c r="E2" s="184">
        <f>ТрЗ_ОКиА!E11</f>
        <v>20</v>
      </c>
      <c r="F2" s="184">
        <f>ТрЗ_ОКиА!E12</f>
        <v>3</v>
      </c>
      <c r="G2" s="2161"/>
      <c r="H2" s="2159"/>
      <c r="I2" s="2159"/>
      <c r="J2" s="2159"/>
      <c r="K2" s="2159"/>
    </row>
    <row r="3" spans="1:11" ht="15.75" x14ac:dyDescent="0.25">
      <c r="A3" s="1384" t="s">
        <v>1394</v>
      </c>
      <c r="B3" s="1384"/>
      <c r="C3" s="1384"/>
      <c r="D3" s="1384"/>
      <c r="E3" s="1384"/>
      <c r="F3" s="1384"/>
      <c r="G3" s="1384"/>
      <c r="H3" s="1385"/>
      <c r="I3" s="1385"/>
      <c r="J3" s="1385"/>
      <c r="K3" s="1385"/>
    </row>
    <row r="4" spans="1:11" x14ac:dyDescent="0.25">
      <c r="A4" s="1970" t="s">
        <v>1395</v>
      </c>
      <c r="B4" s="129" t="s">
        <v>32</v>
      </c>
      <c r="C4" s="814">
        <f>8*3</f>
        <v>24</v>
      </c>
      <c r="D4" s="658">
        <v>0</v>
      </c>
      <c r="E4" s="764">
        <v>0</v>
      </c>
      <c r="F4" s="764">
        <v>0</v>
      </c>
      <c r="G4" s="814">
        <f xml:space="preserve"> SUM(C4:F4)</f>
        <v>24</v>
      </c>
      <c r="H4" s="813">
        <f>G4*70%</f>
        <v>16.799999999999997</v>
      </c>
      <c r="I4" s="813">
        <f>G4*20%</f>
        <v>4.8000000000000007</v>
      </c>
      <c r="J4" s="813">
        <f>G4*10%</f>
        <v>2.4000000000000004</v>
      </c>
      <c r="K4" s="1885" t="s">
        <v>1374</v>
      </c>
    </row>
    <row r="5" spans="1:11" x14ac:dyDescent="0.25">
      <c r="A5" s="1970"/>
      <c r="B5" s="129" t="s">
        <v>33</v>
      </c>
      <c r="C5" s="814">
        <f>8*4</f>
        <v>32</v>
      </c>
      <c r="D5" s="658">
        <v>0</v>
      </c>
      <c r="E5" s="764">
        <v>0</v>
      </c>
      <c r="F5" s="764">
        <v>0</v>
      </c>
      <c r="G5" s="814">
        <f xml:space="preserve"> SUM(C5:F5)</f>
        <v>32</v>
      </c>
      <c r="H5" s="813">
        <f>G5*60%</f>
        <v>19.2</v>
      </c>
      <c r="I5" s="813">
        <f>G5*25%</f>
        <v>8</v>
      </c>
      <c r="J5" s="813">
        <f>G5*15%</f>
        <v>4.8</v>
      </c>
      <c r="K5" s="1886"/>
    </row>
    <row r="6" spans="1:11" x14ac:dyDescent="0.25">
      <c r="A6" s="1970"/>
      <c r="B6" s="129" t="s">
        <v>34</v>
      </c>
      <c r="C6" s="814">
        <f>8*7</f>
        <v>56</v>
      </c>
      <c r="D6" s="658">
        <v>0</v>
      </c>
      <c r="E6" s="764">
        <v>0</v>
      </c>
      <c r="F6" s="764">
        <v>0</v>
      </c>
      <c r="G6" s="814">
        <f xml:space="preserve"> SUM(C6:F6)</f>
        <v>56</v>
      </c>
      <c r="H6" s="813">
        <f>G6*40%</f>
        <v>22.400000000000002</v>
      </c>
      <c r="I6" s="813">
        <f>G6*30%</f>
        <v>16.8</v>
      </c>
      <c r="J6" s="813">
        <f>G6*30%</f>
        <v>16.8</v>
      </c>
      <c r="K6" s="1887"/>
    </row>
    <row r="7" spans="1:11" x14ac:dyDescent="0.25">
      <c r="A7" s="2154" t="s">
        <v>1396</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54"/>
      <c r="B8" s="129" t="s">
        <v>33</v>
      </c>
      <c r="C8" s="814">
        <v>1</v>
      </c>
      <c r="D8" s="658">
        <v>0</v>
      </c>
      <c r="E8" s="764">
        <v>0</v>
      </c>
      <c r="F8" s="764">
        <v>0</v>
      </c>
      <c r="G8" s="814">
        <f t="shared" si="0"/>
        <v>1</v>
      </c>
      <c r="H8" s="813">
        <f>G8*40%</f>
        <v>0.4</v>
      </c>
      <c r="I8" s="813">
        <f>G8*40%</f>
        <v>0.4</v>
      </c>
      <c r="J8" s="813">
        <f>G8*20%</f>
        <v>0.2</v>
      </c>
      <c r="K8" s="129"/>
    </row>
    <row r="9" spans="1:11" x14ac:dyDescent="0.25">
      <c r="A9" s="2154"/>
      <c r="B9" s="129" t="s">
        <v>34</v>
      </c>
      <c r="C9" s="814">
        <v>2</v>
      </c>
      <c r="D9" s="658">
        <v>0</v>
      </c>
      <c r="E9" s="764">
        <v>0</v>
      </c>
      <c r="F9" s="764">
        <v>0</v>
      </c>
      <c r="G9" s="814">
        <f t="shared" si="0"/>
        <v>2</v>
      </c>
      <c r="H9" s="813">
        <f>G9*20%</f>
        <v>0.4</v>
      </c>
      <c r="I9" s="813">
        <f>G9*40%</f>
        <v>0.8</v>
      </c>
      <c r="J9" s="813">
        <f>G9*40%</f>
        <v>0.8</v>
      </c>
      <c r="K9" s="129"/>
    </row>
    <row r="10" spans="1:11" x14ac:dyDescent="0.25">
      <c r="A10" s="2154" t="s">
        <v>1397</v>
      </c>
      <c r="B10" s="129" t="s">
        <v>32</v>
      </c>
      <c r="C10" s="814">
        <v>6</v>
      </c>
      <c r="D10" s="629">
        <f>$D$2*0.1</f>
        <v>2</v>
      </c>
      <c r="E10" s="764">
        <v>0</v>
      </c>
      <c r="F10" s="764">
        <v>0</v>
      </c>
      <c r="G10" s="814">
        <f t="shared" si="0"/>
        <v>8</v>
      </c>
      <c r="H10" s="813">
        <f>G10*70%</f>
        <v>5.6</v>
      </c>
      <c r="I10" s="813">
        <f>G10*20%</f>
        <v>1.6</v>
      </c>
      <c r="J10" s="813">
        <f>G10*10%</f>
        <v>0.8</v>
      </c>
      <c r="K10" s="2156" t="s">
        <v>1398</v>
      </c>
    </row>
    <row r="11" spans="1:11" x14ac:dyDescent="0.25">
      <c r="A11" s="2154"/>
      <c r="B11" s="129" t="s">
        <v>33</v>
      </c>
      <c r="C11" s="814">
        <v>8</v>
      </c>
      <c r="D11" s="629">
        <f>$D$2*0.1</f>
        <v>2</v>
      </c>
      <c r="E11" s="764">
        <v>0</v>
      </c>
      <c r="F11" s="764">
        <v>0</v>
      </c>
      <c r="G11" s="814">
        <f t="shared" si="0"/>
        <v>10</v>
      </c>
      <c r="H11" s="813">
        <f>G11*25%</f>
        <v>2.5</v>
      </c>
      <c r="I11" s="813">
        <f>G11*60%</f>
        <v>6</v>
      </c>
      <c r="J11" s="813">
        <f>G11*15%</f>
        <v>1.5</v>
      </c>
      <c r="K11" s="2157"/>
    </row>
    <row r="12" spans="1:11" ht="47.25" customHeight="1" x14ac:dyDescent="0.25">
      <c r="A12" s="2154"/>
      <c r="B12" s="129" t="s">
        <v>34</v>
      </c>
      <c r="C12" s="814">
        <v>10</v>
      </c>
      <c r="D12" s="629">
        <f>$D$2*0.2</f>
        <v>4</v>
      </c>
      <c r="E12" s="764">
        <v>0</v>
      </c>
      <c r="F12" s="764">
        <v>0</v>
      </c>
      <c r="G12" s="814">
        <f t="shared" si="0"/>
        <v>14</v>
      </c>
      <c r="H12" s="813">
        <f>G12*30%</f>
        <v>4.2</v>
      </c>
      <c r="I12" s="813">
        <f>G12*10%</f>
        <v>1.4000000000000001</v>
      </c>
      <c r="J12" s="813">
        <f>G12*60%</f>
        <v>8.4</v>
      </c>
      <c r="K12" s="2158"/>
    </row>
    <row r="13" spans="1:11" x14ac:dyDescent="0.25">
      <c r="A13" s="2154" t="s">
        <v>1399</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54"/>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54"/>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70" t="s">
        <v>1400</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70"/>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70"/>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70" t="s">
        <v>1401</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70"/>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70"/>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70" t="s">
        <v>1402</v>
      </c>
      <c r="B22" s="129" t="s">
        <v>32</v>
      </c>
      <c r="C22" s="814">
        <v>3</v>
      </c>
      <c r="D22" s="764">
        <v>0</v>
      </c>
      <c r="E22" s="630">
        <f>$E$2*6</f>
        <v>120</v>
      </c>
      <c r="F22" s="764">
        <v>0</v>
      </c>
      <c r="G22" s="814">
        <f t="shared" si="0"/>
        <v>123</v>
      </c>
      <c r="H22" s="813">
        <f>G22*70%</f>
        <v>86.1</v>
      </c>
      <c r="I22" s="813">
        <f>G22*20%</f>
        <v>24.6</v>
      </c>
      <c r="J22" s="813">
        <f>G22*10%</f>
        <v>12.3</v>
      </c>
      <c r="K22" s="1885" t="s">
        <v>1374</v>
      </c>
    </row>
    <row r="23" spans="1:11" x14ac:dyDescent="0.25">
      <c r="A23" s="1970"/>
      <c r="B23" s="129" t="s">
        <v>33</v>
      </c>
      <c r="C23" s="814">
        <v>4</v>
      </c>
      <c r="D23" s="764">
        <v>0</v>
      </c>
      <c r="E23" s="630">
        <f>$E$2*8</f>
        <v>160</v>
      </c>
      <c r="F23" s="764">
        <v>0</v>
      </c>
      <c r="G23" s="814">
        <f t="shared" si="0"/>
        <v>164</v>
      </c>
      <c r="H23" s="813">
        <f>G23*40%</f>
        <v>65.600000000000009</v>
      </c>
      <c r="I23" s="813">
        <f>G23*50%</f>
        <v>82</v>
      </c>
      <c r="J23" s="813">
        <f>G23*10%</f>
        <v>16.400000000000002</v>
      </c>
      <c r="K23" s="1886"/>
    </row>
    <row r="24" spans="1:11" x14ac:dyDescent="0.25">
      <c r="A24" s="1970"/>
      <c r="B24" s="129" t="s">
        <v>34</v>
      </c>
      <c r="C24" s="814">
        <v>6</v>
      </c>
      <c r="D24" s="764">
        <v>0</v>
      </c>
      <c r="E24" s="630">
        <f>$E$2*10</f>
        <v>200</v>
      </c>
      <c r="F24" s="764">
        <v>0</v>
      </c>
      <c r="G24" s="814">
        <f t="shared" si="0"/>
        <v>206</v>
      </c>
      <c r="H24" s="813">
        <f>G24*40%</f>
        <v>82.4</v>
      </c>
      <c r="I24" s="813">
        <f>G24*30%</f>
        <v>61.8</v>
      </c>
      <c r="J24" s="813">
        <f>G24*30%</f>
        <v>61.8</v>
      </c>
      <c r="K24" s="1887"/>
    </row>
    <row r="25" spans="1:11" x14ac:dyDescent="0.25">
      <c r="A25" s="1970" t="s">
        <v>1403</v>
      </c>
      <c r="B25" s="129" t="s">
        <v>32</v>
      </c>
      <c r="C25" s="658">
        <v>0</v>
      </c>
      <c r="D25" s="658">
        <v>0</v>
      </c>
      <c r="E25" s="629">
        <f>0.5*($E$2-$F$2)</f>
        <v>8.5</v>
      </c>
      <c r="F25" s="630">
        <f>4*$F$2</f>
        <v>12</v>
      </c>
      <c r="G25" s="814">
        <f t="shared" si="0"/>
        <v>20.5</v>
      </c>
      <c r="H25" s="813">
        <f>G25*50%</f>
        <v>10.25</v>
      </c>
      <c r="I25" s="813">
        <f>G25*30%</f>
        <v>6.1499999999999995</v>
      </c>
      <c r="J25" s="813">
        <f>G25*20%</f>
        <v>4.1000000000000005</v>
      </c>
      <c r="K25" s="2155"/>
    </row>
    <row r="26" spans="1:11" x14ac:dyDescent="0.25">
      <c r="A26" s="1970"/>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55"/>
    </row>
    <row r="27" spans="1:11" x14ac:dyDescent="0.25">
      <c r="A27" s="1970"/>
      <c r="B27" s="129" t="s">
        <v>34</v>
      </c>
      <c r="C27" s="813">
        <v>0</v>
      </c>
      <c r="D27" s="813">
        <v>0</v>
      </c>
      <c r="E27" s="629">
        <f>1*($E$2-$F$2)</f>
        <v>17</v>
      </c>
      <c r="F27" s="630">
        <f>6*$F$2</f>
        <v>18</v>
      </c>
      <c r="G27" s="814">
        <f t="shared" si="0"/>
        <v>35</v>
      </c>
      <c r="H27" s="813">
        <f>G27*20%</f>
        <v>7</v>
      </c>
      <c r="I27" s="813">
        <f>G27*20%</f>
        <v>7</v>
      </c>
      <c r="J27" s="813">
        <f>G27*60%</f>
        <v>21</v>
      </c>
      <c r="K27" s="2155"/>
    </row>
    <row r="28" spans="1:11" x14ac:dyDescent="0.25">
      <c r="A28" s="1970" t="s">
        <v>1404</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70"/>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70"/>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70" t="s">
        <v>1405</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70"/>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70"/>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54" t="s">
        <v>1406</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54"/>
      <c r="B35" s="129" t="s">
        <v>33</v>
      </c>
      <c r="C35" s="814">
        <f>4</f>
        <v>4</v>
      </c>
      <c r="D35" s="658">
        <v>0</v>
      </c>
      <c r="E35" s="764">
        <v>0</v>
      </c>
      <c r="F35" s="764">
        <v>0</v>
      </c>
      <c r="G35" s="814">
        <f t="shared" si="0"/>
        <v>4</v>
      </c>
      <c r="H35" s="813">
        <f>G35*40%</f>
        <v>1.6</v>
      </c>
      <c r="I35" s="813">
        <f>G35*50%</f>
        <v>2</v>
      </c>
      <c r="J35" s="813">
        <f>G35*10%</f>
        <v>0.4</v>
      </c>
      <c r="K35" s="129"/>
    </row>
    <row r="36" spans="1:11" x14ac:dyDescent="0.25">
      <c r="A36" s="2154"/>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54" t="s">
        <v>1407</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54"/>
      <c r="B38" s="129" t="s">
        <v>33</v>
      </c>
      <c r="C38" s="764">
        <v>0</v>
      </c>
      <c r="D38" s="764">
        <v>0</v>
      </c>
      <c r="E38" s="630">
        <f>$E$2*3</f>
        <v>60</v>
      </c>
      <c r="F38" s="764">
        <v>0</v>
      </c>
      <c r="G38" s="814">
        <f t="shared" si="0"/>
        <v>60</v>
      </c>
      <c r="H38" s="813">
        <f>G38*10%</f>
        <v>6</v>
      </c>
      <c r="I38" s="813">
        <f>G38*60%</f>
        <v>36</v>
      </c>
      <c r="J38" s="813">
        <f>G38*30%</f>
        <v>18</v>
      </c>
      <c r="K38" s="129"/>
    </row>
    <row r="39" spans="1:11" x14ac:dyDescent="0.25">
      <c r="A39" s="2154"/>
      <c r="B39" s="129" t="s">
        <v>34</v>
      </c>
      <c r="C39" s="764">
        <v>0</v>
      </c>
      <c r="D39" s="764">
        <v>0</v>
      </c>
      <c r="E39" s="630">
        <f>$E$2*5</f>
        <v>100</v>
      </c>
      <c r="F39" s="764">
        <v>0</v>
      </c>
      <c r="G39" s="814">
        <f t="shared" si="0"/>
        <v>100</v>
      </c>
      <c r="H39" s="813">
        <f>G39*10%</f>
        <v>10</v>
      </c>
      <c r="I39" s="813">
        <f>G39*20%</f>
        <v>20</v>
      </c>
      <c r="J39" s="813">
        <f>G39*70%</f>
        <v>70</v>
      </c>
      <c r="K39" s="129"/>
    </row>
  </sheetData>
  <mergeCells count="22">
    <mergeCell ref="K1:K2"/>
    <mergeCell ref="C1:C2"/>
    <mergeCell ref="G1:G2"/>
    <mergeCell ref="H1:H2"/>
    <mergeCell ref="I1:I2"/>
    <mergeCell ref="J1:J2"/>
    <mergeCell ref="K22:K24"/>
    <mergeCell ref="A25:A27"/>
    <mergeCell ref="K25:K27"/>
    <mergeCell ref="A4:A6"/>
    <mergeCell ref="K4:K6"/>
    <mergeCell ref="A7:A9"/>
    <mergeCell ref="A10:A12"/>
    <mergeCell ref="K10:K12"/>
    <mergeCell ref="A13:A15"/>
    <mergeCell ref="A28:A30"/>
    <mergeCell ref="A31:A33"/>
    <mergeCell ref="A34:A36"/>
    <mergeCell ref="A37:A39"/>
    <mergeCell ref="A16:A18"/>
    <mergeCell ref="A19:A21"/>
    <mergeCell ref="A22:A24"/>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99" t="s">
        <v>1381</v>
      </c>
      <c r="B1" s="2200"/>
      <c r="C1" s="2200"/>
      <c r="D1" s="2200"/>
      <c r="E1" s="2200"/>
      <c r="F1" s="2200"/>
      <c r="G1" s="2200"/>
      <c r="H1" s="2200"/>
      <c r="I1" s="2200"/>
      <c r="J1" s="2200"/>
      <c r="K1" s="2201"/>
    </row>
    <row r="2" spans="1:14" x14ac:dyDescent="0.25">
      <c r="A2" s="2154" t="s">
        <v>1352</v>
      </c>
      <c r="B2" s="129" t="s">
        <v>32</v>
      </c>
      <c r="C2" s="814">
        <v>8</v>
      </c>
      <c r="D2" s="814">
        <v>0</v>
      </c>
      <c r="E2" s="814">
        <v>0</v>
      </c>
      <c r="F2" s="814">
        <v>0</v>
      </c>
      <c r="G2" s="814">
        <f t="shared" ref="G2:G7" si="0" xml:space="preserve"> SUM(C2:F2)</f>
        <v>8</v>
      </c>
      <c r="H2" s="813">
        <f>G2*80%</f>
        <v>6.4</v>
      </c>
      <c r="I2" s="813">
        <f>G2*20%</f>
        <v>1.6</v>
      </c>
      <c r="J2" s="813">
        <f>G2*0</f>
        <v>0</v>
      </c>
      <c r="K2" s="2155"/>
    </row>
    <row r="3" spans="1:14" x14ac:dyDescent="0.25">
      <c r="A3" s="2154"/>
      <c r="B3" s="129" t="s">
        <v>33</v>
      </c>
      <c r="C3" s="813">
        <v>12</v>
      </c>
      <c r="D3" s="814">
        <v>0</v>
      </c>
      <c r="E3" s="814">
        <v>0</v>
      </c>
      <c r="F3" s="814">
        <v>0</v>
      </c>
      <c r="G3" s="814">
        <f t="shared" si="0"/>
        <v>12</v>
      </c>
      <c r="H3" s="813">
        <f>G3*60%</f>
        <v>7.1999999999999993</v>
      </c>
      <c r="I3" s="813">
        <f>G3*30%</f>
        <v>3.5999999999999996</v>
      </c>
      <c r="J3" s="813">
        <f>G3*10%</f>
        <v>1.2000000000000002</v>
      </c>
      <c r="K3" s="2155"/>
    </row>
    <row r="4" spans="1:14" ht="14.45" customHeight="1" x14ac:dyDescent="0.25">
      <c r="A4" s="2154"/>
      <c r="B4" s="129" t="s">
        <v>34</v>
      </c>
      <c r="C4" s="813">
        <v>16</v>
      </c>
      <c r="D4" s="814">
        <v>0</v>
      </c>
      <c r="E4" s="814">
        <v>0</v>
      </c>
      <c r="F4" s="814">
        <v>0</v>
      </c>
      <c r="G4" s="814">
        <f t="shared" si="0"/>
        <v>16</v>
      </c>
      <c r="H4" s="813">
        <f>G4*50%</f>
        <v>8</v>
      </c>
      <c r="I4" s="813">
        <f>G4*30%</f>
        <v>4.8</v>
      </c>
      <c r="J4" s="813">
        <f>G4*20%</f>
        <v>3.2</v>
      </c>
      <c r="K4" s="2155"/>
    </row>
    <row r="5" spans="1:14" ht="14.45" customHeight="1" x14ac:dyDescent="0.25">
      <c r="A5" s="2162" t="s">
        <v>1353</v>
      </c>
      <c r="B5" s="129" t="s">
        <v>32</v>
      </c>
      <c r="C5" s="814">
        <v>8</v>
      </c>
      <c r="D5" s="814">
        <v>0</v>
      </c>
      <c r="E5" s="814">
        <v>0</v>
      </c>
      <c r="F5" s="814">
        <v>0</v>
      </c>
      <c r="G5" s="814">
        <f t="shared" si="0"/>
        <v>8</v>
      </c>
      <c r="H5" s="813">
        <f>G5*80%</f>
        <v>6.4</v>
      </c>
      <c r="I5" s="813">
        <f>G5*20%</f>
        <v>1.6</v>
      </c>
      <c r="J5" s="813">
        <v>0</v>
      </c>
      <c r="K5" s="2155"/>
    </row>
    <row r="6" spans="1:14" ht="14.45" customHeight="1" x14ac:dyDescent="0.25">
      <c r="A6" s="2163"/>
      <c r="B6" s="129" t="s">
        <v>33</v>
      </c>
      <c r="C6" s="813">
        <v>12</v>
      </c>
      <c r="D6" s="814">
        <v>0</v>
      </c>
      <c r="E6" s="814">
        <v>0</v>
      </c>
      <c r="F6" s="814">
        <v>0</v>
      </c>
      <c r="G6" s="814">
        <f t="shared" si="0"/>
        <v>12</v>
      </c>
      <c r="H6" s="813">
        <f>G6*60%</f>
        <v>7.1999999999999993</v>
      </c>
      <c r="I6" s="813">
        <f>G6*30%</f>
        <v>3.5999999999999996</v>
      </c>
      <c r="J6" s="813">
        <f>G6*10%</f>
        <v>1.2000000000000002</v>
      </c>
      <c r="K6" s="2155"/>
    </row>
    <row r="7" spans="1:14" ht="14.45" customHeight="1" x14ac:dyDescent="0.25">
      <c r="A7" s="2164"/>
      <c r="B7" s="129" t="s">
        <v>34</v>
      </c>
      <c r="C7" s="813">
        <v>16</v>
      </c>
      <c r="D7" s="814">
        <v>0</v>
      </c>
      <c r="E7" s="814">
        <v>0</v>
      </c>
      <c r="F7" s="814">
        <v>0</v>
      </c>
      <c r="G7" s="814">
        <f t="shared" si="0"/>
        <v>16</v>
      </c>
      <c r="H7" s="813">
        <f>G7*50%</f>
        <v>8</v>
      </c>
      <c r="I7" s="813">
        <f>G7*30%</f>
        <v>4.8</v>
      </c>
      <c r="J7" s="813">
        <f>G7*20%</f>
        <v>3.2</v>
      </c>
      <c r="K7" s="2155"/>
    </row>
    <row r="8" spans="1:14" ht="30.6" customHeight="1" x14ac:dyDescent="0.25">
      <c r="A8" s="2171" t="s">
        <v>1492</v>
      </c>
      <c r="B8" s="2172"/>
      <c r="C8" s="2172"/>
      <c r="D8" s="2172"/>
      <c r="E8" s="2172"/>
      <c r="F8" s="2172"/>
      <c r="G8" s="2172"/>
      <c r="H8" s="2172"/>
      <c r="I8" s="2172"/>
      <c r="J8" s="2172"/>
      <c r="K8" s="2173"/>
    </row>
    <row r="9" spans="1:14" ht="118.15" customHeight="1" x14ac:dyDescent="0.25">
      <c r="A9" s="879" t="s">
        <v>1355</v>
      </c>
      <c r="B9" s="1527" t="s">
        <v>1227</v>
      </c>
      <c r="C9" s="2198" t="s">
        <v>1356</v>
      </c>
      <c r="D9" s="1377" t="s">
        <v>875</v>
      </c>
      <c r="E9" s="1377" t="s">
        <v>1319</v>
      </c>
      <c r="F9" s="1378" t="s">
        <v>1358</v>
      </c>
      <c r="G9" s="2161" t="s">
        <v>38</v>
      </c>
      <c r="H9" s="2159" t="s">
        <v>714</v>
      </c>
      <c r="I9" s="2159" t="s">
        <v>713</v>
      </c>
      <c r="J9" s="2159" t="s">
        <v>712</v>
      </c>
      <c r="K9" s="2159" t="s">
        <v>272</v>
      </c>
    </row>
    <row r="10" spans="1:14" ht="14.45" customHeight="1" x14ac:dyDescent="0.25">
      <c r="A10" s="1379" t="s">
        <v>36</v>
      </c>
      <c r="B10" s="206">
        <f>IF(ТрЗ_ОКиА!$M$1="Простой", 1, IF(ТрЗ_ОКиА!$M$1="Обычный",2,3))</f>
        <v>2</v>
      </c>
      <c r="C10" s="2198"/>
      <c r="D10" s="184">
        <f>ТрЗ_ОКиА!E167</f>
        <v>1</v>
      </c>
      <c r="E10" s="184">
        <f>ТрЗ_ОКиА!E168</f>
        <v>1</v>
      </c>
      <c r="F10" s="184">
        <f>IF(ТрЗ_ОКиА!E169="Да",1,0)</f>
        <v>1</v>
      </c>
      <c r="G10" s="2161"/>
      <c r="H10" s="2159"/>
      <c r="I10" s="2159"/>
      <c r="J10" s="2159"/>
      <c r="K10" s="2159"/>
    </row>
    <row r="11" spans="1:14" ht="14.45" customHeight="1" x14ac:dyDescent="0.25">
      <c r="A11" s="2195" t="s">
        <v>1504</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1360</v>
      </c>
      <c r="N11" s="879"/>
    </row>
    <row r="12" spans="1:14" ht="14.45" customHeight="1" x14ac:dyDescent="0.25">
      <c r="A12" s="2196"/>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636</v>
      </c>
      <c r="N12" s="1382">
        <v>1.3</v>
      </c>
    </row>
    <row r="13" spans="1:14" ht="14.45" customHeight="1" x14ac:dyDescent="0.25">
      <c r="A13" s="2197"/>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71" t="s">
        <v>1361</v>
      </c>
      <c r="B14" s="2172"/>
      <c r="C14" s="2172"/>
      <c r="D14" s="2172"/>
      <c r="E14" s="2172"/>
      <c r="F14" s="2172"/>
      <c r="G14" s="2172"/>
      <c r="H14" s="2172"/>
      <c r="I14" s="2172"/>
      <c r="J14" s="2172"/>
      <c r="K14" s="2173"/>
    </row>
    <row r="15" spans="1:14" ht="31.5" x14ac:dyDescent="0.25">
      <c r="A15" s="879"/>
      <c r="B15" s="1527" t="s">
        <v>1227</v>
      </c>
      <c r="C15" s="2198" t="s">
        <v>1362</v>
      </c>
      <c r="D15" s="1377" t="s">
        <v>875</v>
      </c>
      <c r="E15" s="1377"/>
      <c r="F15" s="1377"/>
      <c r="G15" s="2161" t="s">
        <v>38</v>
      </c>
      <c r="H15" s="2159" t="s">
        <v>714</v>
      </c>
      <c r="I15" s="2159" t="s">
        <v>713</v>
      </c>
      <c r="J15" s="2159" t="s">
        <v>712</v>
      </c>
      <c r="K15" s="2159" t="s">
        <v>272</v>
      </c>
    </row>
    <row r="16" spans="1:14" ht="14.45" customHeight="1" x14ac:dyDescent="0.25">
      <c r="A16" s="1379" t="s">
        <v>36</v>
      </c>
      <c r="B16" s="206">
        <f>IF(ТрЗ_ОКиА!$M$1="Простой", 1, IF(ТрЗ_ОКиА!$M$1="Обычный",2,3))</f>
        <v>2</v>
      </c>
      <c r="C16" s="2198"/>
      <c r="D16" s="184">
        <f>ТрЗ_ОКиА!E167</f>
        <v>1</v>
      </c>
      <c r="E16" s="184">
        <v>0</v>
      </c>
      <c r="F16" s="184">
        <v>0</v>
      </c>
      <c r="G16" s="2161"/>
      <c r="H16" s="2159"/>
      <c r="I16" s="2159"/>
      <c r="J16" s="2159"/>
      <c r="K16" s="2159"/>
    </row>
    <row r="17" spans="1:14" ht="14.45" customHeight="1" x14ac:dyDescent="0.25">
      <c r="A17" s="2162" t="s">
        <v>1363</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63"/>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64"/>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71" t="s">
        <v>1494</v>
      </c>
      <c r="B20" s="2172"/>
      <c r="C20" s="2172"/>
      <c r="D20" s="2172"/>
      <c r="E20" s="2172"/>
      <c r="F20" s="2172"/>
      <c r="G20" s="2172"/>
      <c r="H20" s="2172"/>
      <c r="I20" s="2172"/>
      <c r="J20" s="2172"/>
      <c r="K20" s="2173"/>
    </row>
    <row r="21" spans="1:14" ht="28.9" customHeight="1" x14ac:dyDescent="0.25">
      <c r="A21" s="879"/>
      <c r="B21" s="1527" t="s">
        <v>1227</v>
      </c>
      <c r="C21" s="2189" t="s">
        <v>1377</v>
      </c>
      <c r="D21" s="1377" t="s">
        <v>875</v>
      </c>
      <c r="E21" s="1377" t="s">
        <v>1376</v>
      </c>
      <c r="F21" s="1377"/>
      <c r="G21" s="2191" t="s">
        <v>38</v>
      </c>
      <c r="H21" s="2193" t="s">
        <v>714</v>
      </c>
      <c r="I21" s="2193" t="s">
        <v>713</v>
      </c>
      <c r="J21" s="2193" t="s">
        <v>712</v>
      </c>
      <c r="K21" s="2193" t="s">
        <v>272</v>
      </c>
    </row>
    <row r="22" spans="1:14" ht="15.75" x14ac:dyDescent="0.25">
      <c r="A22" s="1379" t="s">
        <v>36</v>
      </c>
      <c r="B22" s="206">
        <f>IF(ТрЗ_ОКиА!$M$1="Простой", 1, IF(ТрЗ_ОКиА!$M$1="Обычный",2,3))</f>
        <v>2</v>
      </c>
      <c r="C22" s="2190"/>
      <c r="D22" s="184">
        <f>ТрЗ_ОКиА!E167</f>
        <v>1</v>
      </c>
      <c r="E22" s="184">
        <f>ТрЗ_ОКиА!E177</f>
        <v>1</v>
      </c>
      <c r="F22" s="184">
        <v>0</v>
      </c>
      <c r="G22" s="2192"/>
      <c r="H22" s="2194"/>
      <c r="I22" s="2194"/>
      <c r="J22" s="2194"/>
      <c r="K22" s="2194"/>
    </row>
    <row r="23" spans="1:14" ht="14.45" customHeight="1" x14ac:dyDescent="0.25">
      <c r="A23" s="2180" t="s">
        <v>1375</v>
      </c>
      <c r="B23" s="129" t="s">
        <v>32</v>
      </c>
      <c r="C23" s="814">
        <v>2</v>
      </c>
      <c r="D23" s="629">
        <f>$D$22*2</f>
        <v>2</v>
      </c>
      <c r="E23" s="629">
        <f>C23*$E$22</f>
        <v>2</v>
      </c>
      <c r="F23" s="814">
        <v>0</v>
      </c>
      <c r="G23" s="814">
        <f xml:space="preserve"> SUM(D23:F23)*$N$12</f>
        <v>5.2</v>
      </c>
      <c r="H23" s="813">
        <f>G23*20%</f>
        <v>1.04</v>
      </c>
      <c r="I23" s="813">
        <f>G23*40%</f>
        <v>2.08</v>
      </c>
      <c r="J23" s="813">
        <f>G23*40%</f>
        <v>2.08</v>
      </c>
      <c r="K23" s="2183" t="s">
        <v>1374</v>
      </c>
    </row>
    <row r="24" spans="1:14" ht="14.45" customHeight="1" x14ac:dyDescent="0.25">
      <c r="A24" s="2181"/>
      <c r="B24" s="129" t="s">
        <v>33</v>
      </c>
      <c r="C24" s="814">
        <v>3</v>
      </c>
      <c r="D24" s="629">
        <f>$D$22*2</f>
        <v>2</v>
      </c>
      <c r="E24" s="629">
        <f>C24*$E$22</f>
        <v>3</v>
      </c>
      <c r="F24" s="814">
        <v>0</v>
      </c>
      <c r="G24" s="814">
        <f xml:space="preserve"> SUM(D24:F24)*$N$12</f>
        <v>6.5</v>
      </c>
      <c r="H24" s="813">
        <f>G24*20%</f>
        <v>1.3</v>
      </c>
      <c r="I24" s="813">
        <f>G24*40%</f>
        <v>2.6</v>
      </c>
      <c r="J24" s="813">
        <f>G24*40%</f>
        <v>2.6</v>
      </c>
      <c r="K24" s="2184"/>
    </row>
    <row r="25" spans="1:14" ht="14.45" customHeight="1" x14ac:dyDescent="0.25">
      <c r="A25" s="2182"/>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85"/>
    </row>
    <row r="26" spans="1:14" ht="31.15" customHeight="1" x14ac:dyDescent="0.25">
      <c r="A26" s="2171" t="s">
        <v>1364</v>
      </c>
      <c r="B26" s="2172"/>
      <c r="C26" s="2172"/>
      <c r="D26" s="2172"/>
      <c r="E26" s="2172"/>
      <c r="F26" s="2172"/>
      <c r="G26" s="2172"/>
      <c r="H26" s="2172"/>
      <c r="I26" s="2172"/>
      <c r="J26" s="2172"/>
      <c r="K26" s="2173"/>
    </row>
    <row r="27" spans="1:14" ht="14.45" customHeight="1" x14ac:dyDescent="0.25">
      <c r="A27" s="2162" t="s">
        <v>1364</v>
      </c>
      <c r="B27" s="129" t="s">
        <v>32</v>
      </c>
      <c r="C27" s="2186" t="s">
        <v>1365</v>
      </c>
      <c r="D27" s="2187"/>
      <c r="E27" s="2187"/>
      <c r="F27" s="2188"/>
      <c r="G27" s="814">
        <f>G11+G23+G17</f>
        <v>44.6</v>
      </c>
      <c r="H27" s="813">
        <f>G27*50%</f>
        <v>22.3</v>
      </c>
      <c r="I27" s="813">
        <f>G27*50%</f>
        <v>22.3</v>
      </c>
      <c r="J27" s="813">
        <v>0</v>
      </c>
      <c r="K27" s="1850" t="s">
        <v>1366</v>
      </c>
    </row>
    <row r="28" spans="1:14" ht="14.45" customHeight="1" x14ac:dyDescent="0.25">
      <c r="A28" s="2163"/>
      <c r="B28" s="129" t="s">
        <v>33</v>
      </c>
      <c r="C28" s="2186"/>
      <c r="D28" s="2187"/>
      <c r="E28" s="2187"/>
      <c r="F28" s="2188"/>
      <c r="G28" s="814">
        <f>G12+G24+G18</f>
        <v>64.300000000000011</v>
      </c>
      <c r="H28" s="813">
        <f>G28*50%</f>
        <v>32.150000000000006</v>
      </c>
      <c r="I28" s="813">
        <f>G28*40%</f>
        <v>25.720000000000006</v>
      </c>
      <c r="J28" s="813">
        <f>G28*10%</f>
        <v>6.4300000000000015</v>
      </c>
      <c r="K28" s="1851"/>
    </row>
    <row r="29" spans="1:14" ht="14.45" customHeight="1" x14ac:dyDescent="0.25">
      <c r="A29" s="2164"/>
      <c r="B29" s="129" t="s">
        <v>34</v>
      </c>
      <c r="C29" s="2186"/>
      <c r="D29" s="2187"/>
      <c r="E29" s="2187"/>
      <c r="F29" s="2188"/>
      <c r="G29" s="814">
        <f>G13+G25+G19</f>
        <v>84</v>
      </c>
      <c r="H29" s="813">
        <f>G29*20%</f>
        <v>16.8</v>
      </c>
      <c r="I29" s="813">
        <f>G29*40%</f>
        <v>33.6</v>
      </c>
      <c r="J29" s="813">
        <f>G29*40%</f>
        <v>33.6</v>
      </c>
      <c r="K29" s="1852"/>
    </row>
    <row r="30" spans="1:14" ht="39.6" customHeight="1" x14ac:dyDescent="0.25">
      <c r="A30" s="2171" t="s">
        <v>1367</v>
      </c>
      <c r="B30" s="2172"/>
      <c r="C30" s="2172"/>
      <c r="D30" s="2172"/>
      <c r="E30" s="2172"/>
      <c r="F30" s="2172"/>
      <c r="G30" s="2172"/>
      <c r="H30" s="2172"/>
      <c r="I30" s="2172"/>
      <c r="J30" s="2172"/>
      <c r="K30" s="2173"/>
      <c r="M30" s="1383" t="s">
        <v>1368</v>
      </c>
      <c r="N30" s="879"/>
    </row>
    <row r="31" spans="1:14" ht="14.45" customHeight="1" x14ac:dyDescent="0.25">
      <c r="A31" s="2174"/>
      <c r="B31" s="2175"/>
      <c r="C31" s="2175"/>
      <c r="D31" s="2175"/>
      <c r="E31" s="2175"/>
      <c r="F31" s="2176"/>
      <c r="G31" s="2161" t="s">
        <v>38</v>
      </c>
      <c r="H31" s="2159" t="s">
        <v>714</v>
      </c>
      <c r="I31" s="2159" t="s">
        <v>713</v>
      </c>
      <c r="J31" s="2159" t="s">
        <v>712</v>
      </c>
      <c r="K31" s="2159" t="s">
        <v>272</v>
      </c>
      <c r="M31" s="129" t="s">
        <v>636</v>
      </c>
      <c r="N31" s="1382">
        <v>1.5</v>
      </c>
    </row>
    <row r="32" spans="1:14" ht="14.45" customHeight="1" x14ac:dyDescent="0.25">
      <c r="A32" s="2177"/>
      <c r="B32" s="2178"/>
      <c r="C32" s="2178"/>
      <c r="D32" s="2178"/>
      <c r="E32" s="2178"/>
      <c r="F32" s="2179"/>
      <c r="G32" s="2161"/>
      <c r="H32" s="2159"/>
      <c r="I32" s="2159"/>
      <c r="J32" s="2159"/>
      <c r="K32" s="2159"/>
    </row>
    <row r="33" spans="1:11" ht="14.45" customHeight="1" x14ac:dyDescent="0.25">
      <c r="A33" s="2162" t="s">
        <v>1367</v>
      </c>
      <c r="B33" s="129" t="s">
        <v>32</v>
      </c>
      <c r="C33" s="2165" t="s">
        <v>1495</v>
      </c>
      <c r="D33" s="2166"/>
      <c r="E33" s="2166"/>
      <c r="F33" s="2167"/>
      <c r="G33" s="814">
        <f>(G11+G17+G23)*$N$31</f>
        <v>66.900000000000006</v>
      </c>
      <c r="H33" s="813">
        <f>G33*50%</f>
        <v>33.450000000000003</v>
      </c>
      <c r="I33" s="813">
        <f>G33*50%</f>
        <v>33.450000000000003</v>
      </c>
      <c r="J33" s="813">
        <v>0</v>
      </c>
      <c r="K33" s="1850" t="s">
        <v>1366</v>
      </c>
    </row>
    <row r="34" spans="1:11" ht="14.45" customHeight="1" x14ac:dyDescent="0.25">
      <c r="A34" s="2163"/>
      <c r="B34" s="129" t="s">
        <v>33</v>
      </c>
      <c r="C34" s="2168"/>
      <c r="D34" s="2169"/>
      <c r="E34" s="2169"/>
      <c r="F34" s="2170"/>
      <c r="G34" s="814">
        <f>(G12+G18+G24)*$N$31</f>
        <v>96.450000000000017</v>
      </c>
      <c r="H34" s="813">
        <f>G34*50%</f>
        <v>48.225000000000009</v>
      </c>
      <c r="I34" s="813">
        <f>G34*40%</f>
        <v>38.580000000000013</v>
      </c>
      <c r="J34" s="813">
        <f>G34*10%</f>
        <v>9.6450000000000031</v>
      </c>
      <c r="K34" s="1851"/>
    </row>
    <row r="35" spans="1:11" x14ac:dyDescent="0.25">
      <c r="A35" s="2164"/>
      <c r="B35" s="129" t="s">
        <v>34</v>
      </c>
      <c r="C35" s="2168"/>
      <c r="D35" s="2169"/>
      <c r="E35" s="2169"/>
      <c r="F35" s="2170"/>
      <c r="G35" s="814">
        <f>(G13+G19+G25)*$N$31</f>
        <v>126</v>
      </c>
      <c r="H35" s="813">
        <f>G35*20%</f>
        <v>25.200000000000003</v>
      </c>
      <c r="I35" s="813">
        <f>G35*40%</f>
        <v>50.400000000000006</v>
      </c>
      <c r="J35" s="813">
        <f>G35*40%</f>
        <v>50.400000000000006</v>
      </c>
      <c r="K35" s="1852"/>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99" t="s">
        <v>1381</v>
      </c>
      <c r="B1" s="2200"/>
      <c r="C1" s="2200"/>
      <c r="D1" s="2200"/>
      <c r="E1" s="2200"/>
      <c r="F1" s="2200"/>
      <c r="G1" s="2200"/>
      <c r="H1" s="2200"/>
      <c r="I1" s="2200"/>
      <c r="J1" s="2200"/>
      <c r="K1" s="2200"/>
      <c r="L1" s="2200"/>
      <c r="M1" s="2200"/>
      <c r="N1" s="2201"/>
    </row>
    <row r="2" spans="1:17" x14ac:dyDescent="0.25">
      <c r="A2" s="2154" t="s">
        <v>1690</v>
      </c>
      <c r="B2" s="129" t="s">
        <v>33</v>
      </c>
      <c r="C2" s="814">
        <v>8</v>
      </c>
      <c r="D2" s="814">
        <v>0</v>
      </c>
      <c r="E2" s="814">
        <v>0</v>
      </c>
      <c r="F2" s="814"/>
      <c r="G2" s="814"/>
      <c r="H2" s="814"/>
      <c r="I2" s="814">
        <v>0</v>
      </c>
      <c r="J2" s="814">
        <f t="shared" ref="J2:J5" si="0" xml:space="preserve"> SUM(C2:I2)</f>
        <v>8</v>
      </c>
      <c r="K2" s="813">
        <f>J2*80%</f>
        <v>6.4</v>
      </c>
      <c r="L2" s="813">
        <f>J2*20%</f>
        <v>1.6</v>
      </c>
      <c r="M2" s="813">
        <f>J2*0</f>
        <v>0</v>
      </c>
      <c r="N2" s="2155"/>
    </row>
    <row r="3" spans="1:17" ht="14.45" customHeight="1" x14ac:dyDescent="0.25">
      <c r="A3" s="2154"/>
      <c r="B3" s="129" t="s">
        <v>34</v>
      </c>
      <c r="C3" s="813">
        <v>16</v>
      </c>
      <c r="D3" s="814">
        <v>0</v>
      </c>
      <c r="E3" s="814">
        <v>0</v>
      </c>
      <c r="F3" s="814"/>
      <c r="G3" s="814"/>
      <c r="H3" s="814"/>
      <c r="I3" s="814">
        <v>0</v>
      </c>
      <c r="J3" s="814">
        <f t="shared" si="0"/>
        <v>16</v>
      </c>
      <c r="K3" s="813">
        <f>J3*50%</f>
        <v>8</v>
      </c>
      <c r="L3" s="813">
        <f>J3*30%</f>
        <v>4.8</v>
      </c>
      <c r="M3" s="813">
        <f>J3*20%</f>
        <v>3.2</v>
      </c>
      <c r="N3" s="2155"/>
    </row>
    <row r="4" spans="1:17" ht="14.45" customHeight="1" x14ac:dyDescent="0.25">
      <c r="A4" s="2162" t="s">
        <v>1691</v>
      </c>
      <c r="B4" s="129" t="s">
        <v>33</v>
      </c>
      <c r="C4" s="814">
        <v>8</v>
      </c>
      <c r="D4" s="814">
        <v>0</v>
      </c>
      <c r="E4" s="814">
        <v>0</v>
      </c>
      <c r="F4" s="814"/>
      <c r="G4" s="814"/>
      <c r="H4" s="814"/>
      <c r="I4" s="814">
        <v>0</v>
      </c>
      <c r="J4" s="814">
        <f t="shared" si="0"/>
        <v>8</v>
      </c>
      <c r="K4" s="813">
        <f>J4*80%</f>
        <v>6.4</v>
      </c>
      <c r="L4" s="813">
        <f>J4*20%</f>
        <v>1.6</v>
      </c>
      <c r="M4" s="813">
        <v>0</v>
      </c>
      <c r="N4" s="2155"/>
    </row>
    <row r="5" spans="1:17" ht="14.45" customHeight="1" x14ac:dyDescent="0.25">
      <c r="A5" s="2164"/>
      <c r="B5" s="129" t="s">
        <v>34</v>
      </c>
      <c r="C5" s="813">
        <v>16</v>
      </c>
      <c r="D5" s="814">
        <v>0</v>
      </c>
      <c r="E5" s="814">
        <v>0</v>
      </c>
      <c r="F5" s="814"/>
      <c r="G5" s="814"/>
      <c r="H5" s="814"/>
      <c r="I5" s="814">
        <v>0</v>
      </c>
      <c r="J5" s="814">
        <f t="shared" si="0"/>
        <v>16</v>
      </c>
      <c r="K5" s="813">
        <f>J5*50%</f>
        <v>8</v>
      </c>
      <c r="L5" s="813">
        <f>J5*30%</f>
        <v>4.8</v>
      </c>
      <c r="M5" s="813">
        <f>J5*20%</f>
        <v>3.2</v>
      </c>
      <c r="N5" s="2155"/>
    </row>
    <row r="6" spans="1:17" ht="30.6" customHeight="1" x14ac:dyDescent="0.25">
      <c r="A6" s="2171" t="s">
        <v>55</v>
      </c>
      <c r="B6" s="2172"/>
      <c r="C6" s="2172"/>
      <c r="D6" s="2172"/>
      <c r="E6" s="2172"/>
      <c r="F6" s="2172"/>
      <c r="G6" s="2172"/>
      <c r="H6" s="2172"/>
      <c r="I6" s="2172"/>
      <c r="J6" s="2172"/>
      <c r="K6" s="2172"/>
      <c r="L6" s="2172"/>
      <c r="M6" s="2172"/>
      <c r="N6" s="2173"/>
    </row>
    <row r="7" spans="1:17" ht="118.15" customHeight="1" x14ac:dyDescent="0.25">
      <c r="A7" s="879" t="s">
        <v>1692</v>
      </c>
      <c r="B7" s="1645" t="s">
        <v>1693</v>
      </c>
      <c r="C7" s="2159" t="s">
        <v>1356</v>
      </c>
      <c r="D7" s="1645" t="s">
        <v>875</v>
      </c>
      <c r="E7" s="1645" t="s">
        <v>1420</v>
      </c>
      <c r="F7" s="1645" t="s">
        <v>1683</v>
      </c>
      <c r="G7" s="1645" t="s">
        <v>1684</v>
      </c>
      <c r="H7" s="1645" t="s">
        <v>1685</v>
      </c>
      <c r="I7" s="1378" t="s">
        <v>1358</v>
      </c>
      <c r="J7" s="2161" t="s">
        <v>38</v>
      </c>
      <c r="K7" s="2159" t="s">
        <v>714</v>
      </c>
      <c r="L7" s="2159" t="s">
        <v>713</v>
      </c>
      <c r="M7" s="2159" t="s">
        <v>712</v>
      </c>
      <c r="N7" s="2159" t="s">
        <v>272</v>
      </c>
    </row>
    <row r="8" spans="1:17" ht="14.45" customHeight="1" x14ac:dyDescent="0.25">
      <c r="A8" s="1379" t="s">
        <v>36</v>
      </c>
      <c r="B8" s="206">
        <f>IF(ТрЗ_ОП!$C$6="Обычный", 1, IF(ТрЗ_ОП!$C$6="Сложный",2,3))</f>
        <v>1</v>
      </c>
      <c r="C8" s="2159"/>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61"/>
      <c r="K8" s="2159"/>
      <c r="L8" s="2159"/>
      <c r="M8" s="2159"/>
      <c r="N8" s="2159"/>
      <c r="P8" s="1380" t="s">
        <v>1360</v>
      </c>
      <c r="Q8" s="879"/>
    </row>
    <row r="9" spans="1:17" ht="14.45" customHeight="1" x14ac:dyDescent="0.25">
      <c r="A9" s="2195" t="s">
        <v>1686</v>
      </c>
      <c r="B9" s="129" t="s">
        <v>1694</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636</v>
      </c>
      <c r="Q9" s="1382">
        <v>1.3</v>
      </c>
    </row>
    <row r="10" spans="1:17" ht="14.45" customHeight="1" x14ac:dyDescent="0.25">
      <c r="A10" s="2197"/>
      <c r="B10" s="129" t="s">
        <v>1695</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71" t="s">
        <v>1361</v>
      </c>
      <c r="B11" s="2172"/>
      <c r="C11" s="2172"/>
      <c r="D11" s="2172"/>
      <c r="E11" s="2172"/>
      <c r="F11" s="2172"/>
      <c r="G11" s="2172"/>
      <c r="H11" s="2172"/>
      <c r="I11" s="2172"/>
      <c r="J11" s="2172"/>
      <c r="K11" s="2172"/>
      <c r="L11" s="2172"/>
      <c r="M11" s="2172"/>
      <c r="N11" s="2173"/>
    </row>
    <row r="12" spans="1:17" ht="31.15" customHeight="1" x14ac:dyDescent="0.25">
      <c r="A12" s="2171" t="s">
        <v>1364</v>
      </c>
      <c r="B12" s="2172"/>
      <c r="C12" s="2172"/>
      <c r="D12" s="2172"/>
      <c r="E12" s="2172"/>
      <c r="F12" s="2172"/>
      <c r="G12" s="2172"/>
      <c r="H12" s="2172"/>
      <c r="I12" s="2172"/>
      <c r="J12" s="2172"/>
      <c r="K12" s="2172"/>
      <c r="L12" s="2172"/>
      <c r="M12" s="2172"/>
      <c r="N12" s="2173"/>
    </row>
    <row r="13" spans="1:17" ht="16.5" customHeight="1" x14ac:dyDescent="0.25">
      <c r="A13" s="2162" t="s">
        <v>1364</v>
      </c>
      <c r="B13" s="129" t="s">
        <v>33</v>
      </c>
      <c r="C13" s="2186" t="s">
        <v>1365</v>
      </c>
      <c r="D13" s="2187"/>
      <c r="E13" s="2187"/>
      <c r="F13" s="2187"/>
      <c r="G13" s="2187"/>
      <c r="H13" s="2187"/>
      <c r="I13" s="2188"/>
      <c r="J13" s="814">
        <f>J9</f>
        <v>1794</v>
      </c>
      <c r="K13" s="813">
        <f>J13*50%</f>
        <v>897</v>
      </c>
      <c r="L13" s="813">
        <f>J13*50%</f>
        <v>897</v>
      </c>
      <c r="M13" s="813">
        <v>0</v>
      </c>
      <c r="N13" s="1850" t="s">
        <v>1366</v>
      </c>
    </row>
    <row r="14" spans="1:17" ht="14.45" customHeight="1" x14ac:dyDescent="0.25">
      <c r="A14" s="2164"/>
      <c r="B14" s="129" t="s">
        <v>34</v>
      </c>
      <c r="C14" s="2186"/>
      <c r="D14" s="2187"/>
      <c r="E14" s="2187"/>
      <c r="F14" s="2187"/>
      <c r="G14" s="2187"/>
      <c r="H14" s="2187"/>
      <c r="I14" s="2188"/>
      <c r="J14" s="814">
        <f>J10</f>
        <v>1856.4</v>
      </c>
      <c r="K14" s="813">
        <f>J14*20%</f>
        <v>371.28000000000003</v>
      </c>
      <c r="L14" s="813">
        <f>J14*40%</f>
        <v>742.56000000000006</v>
      </c>
      <c r="M14" s="813">
        <f>J14*40%</f>
        <v>742.56000000000006</v>
      </c>
      <c r="N14" s="1852"/>
    </row>
    <row r="15" spans="1:17" ht="14.45" customHeight="1" x14ac:dyDescent="0.25">
      <c r="A15" s="2174"/>
      <c r="B15" s="2175"/>
      <c r="C15" s="2175"/>
      <c r="D15" s="2175"/>
      <c r="E15" s="2175"/>
      <c r="F15" s="2175"/>
      <c r="G15" s="2175"/>
      <c r="H15" s="2175"/>
      <c r="I15" s="2176"/>
      <c r="J15" s="2161" t="s">
        <v>38</v>
      </c>
      <c r="K15" s="2159" t="s">
        <v>714</v>
      </c>
      <c r="L15" s="2159" t="s">
        <v>713</v>
      </c>
      <c r="M15" s="2159" t="s">
        <v>712</v>
      </c>
      <c r="N15" s="2159" t="s">
        <v>272</v>
      </c>
      <c r="P15" s="129" t="s">
        <v>636</v>
      </c>
      <c r="Q15" s="1382">
        <v>1.5</v>
      </c>
    </row>
    <row r="16" spans="1:17" ht="17.25" customHeight="1" x14ac:dyDescent="0.25">
      <c r="A16" s="2177"/>
      <c r="B16" s="2178"/>
      <c r="C16" s="2178"/>
      <c r="D16" s="2178"/>
      <c r="E16" s="2178"/>
      <c r="F16" s="2178"/>
      <c r="G16" s="2178"/>
      <c r="H16" s="2178"/>
      <c r="I16" s="2179"/>
      <c r="J16" s="2161"/>
      <c r="K16" s="2159"/>
      <c r="L16" s="2159"/>
      <c r="M16" s="2159"/>
      <c r="N16" s="2159"/>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A9:A10"/>
    <mergeCell ref="A11:N11"/>
    <mergeCell ref="N7:N8"/>
    <mergeCell ref="A1:N1"/>
    <mergeCell ref="A2:A3"/>
    <mergeCell ref="N2:N3"/>
    <mergeCell ref="A4:A5"/>
    <mergeCell ref="N4:N5"/>
    <mergeCell ref="A6:N6"/>
    <mergeCell ref="C7:C8"/>
    <mergeCell ref="J7:J8"/>
    <mergeCell ref="K7:K8"/>
    <mergeCell ref="L7:L8"/>
    <mergeCell ref="M7:M8"/>
    <mergeCell ref="N15:N16"/>
    <mergeCell ref="A12:N12"/>
    <mergeCell ref="A13:A14"/>
    <mergeCell ref="C13:I14"/>
    <mergeCell ref="N13:N14"/>
    <mergeCell ref="A15:I16"/>
    <mergeCell ref="J15:J16"/>
    <mergeCell ref="K15:K16"/>
    <mergeCell ref="L15:L16"/>
    <mergeCell ref="M15:M16"/>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1225</v>
      </c>
    </row>
    <row r="3" spans="2:4" x14ac:dyDescent="0.25">
      <c r="B3" s="1271" t="s">
        <v>108</v>
      </c>
      <c r="D3" s="1271" t="s">
        <v>1206</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1226</v>
      </c>
      <c r="B1" s="1275" t="s">
        <v>1227</v>
      </c>
      <c r="C1" s="2213" t="s">
        <v>1228</v>
      </c>
      <c r="D1" s="1276" t="s">
        <v>1229</v>
      </c>
      <c r="E1" s="1276" t="s">
        <v>1230</v>
      </c>
      <c r="F1" s="1277" t="s">
        <v>1231</v>
      </c>
      <c r="G1" s="2205" t="s">
        <v>38</v>
      </c>
      <c r="H1" s="2207" t="s">
        <v>714</v>
      </c>
      <c r="I1" s="2207" t="s">
        <v>713</v>
      </c>
      <c r="J1" s="2207" t="s">
        <v>712</v>
      </c>
      <c r="K1" s="2211" t="s">
        <v>272</v>
      </c>
      <c r="N1" s="2209" t="s">
        <v>1232</v>
      </c>
      <c r="O1" s="2210"/>
      <c r="R1" s="1271" t="s">
        <v>1233</v>
      </c>
    </row>
    <row r="2" spans="1:18" ht="16.5" thickBot="1" x14ac:dyDescent="0.3">
      <c r="A2" s="1278" t="s">
        <v>36</v>
      </c>
      <c r="B2" s="206">
        <f>IF(ТрЗ_ОКиА!$M$1="Простой", 1, IF(ТрЗ_ОКиА!$M$1="Обычный",2,3))</f>
        <v>2</v>
      </c>
      <c r="C2" s="2214"/>
      <c r="D2" s="415">
        <f>ТрЗ_ОКиА!E42</f>
        <v>1</v>
      </c>
      <c r="E2" s="415">
        <f>IF(ТрЗ_ОКиА!E43="Да",1,0)</f>
        <v>1</v>
      </c>
      <c r="F2" s="415">
        <f>IF(ТрЗ_ОКиА!E44="Да",1,0)</f>
        <v>1</v>
      </c>
      <c r="G2" s="2206"/>
      <c r="H2" s="2208"/>
      <c r="I2" s="2208"/>
      <c r="J2" s="2208"/>
      <c r="K2" s="2212"/>
      <c r="N2" s="879"/>
      <c r="O2" s="879"/>
      <c r="R2" s="1271" t="s">
        <v>1234</v>
      </c>
    </row>
    <row r="3" spans="1:18" ht="15.75" x14ac:dyDescent="0.25">
      <c r="A3" s="1279" t="s">
        <v>1235</v>
      </c>
      <c r="B3" s="1280"/>
      <c r="C3" s="1281"/>
      <c r="D3" s="1282"/>
      <c r="E3" s="1282"/>
      <c r="F3" s="1283"/>
      <c r="G3" s="1284"/>
      <c r="H3" s="1285"/>
      <c r="I3" s="1286"/>
      <c r="J3" s="1287"/>
      <c r="K3" s="1288"/>
      <c r="N3" s="879"/>
      <c r="O3" s="879"/>
      <c r="R3" s="1271" t="s">
        <v>1236</v>
      </c>
    </row>
    <row r="4" spans="1:18" x14ac:dyDescent="0.25">
      <c r="A4" s="1910" t="s">
        <v>1237</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912"/>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894"/>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895" t="s">
        <v>1238</v>
      </c>
      <c r="B7" s="324" t="s">
        <v>32</v>
      </c>
      <c r="C7" s="821">
        <f>ROUND(30/60,2)</f>
        <v>0.5</v>
      </c>
      <c r="D7" s="658">
        <v>0</v>
      </c>
      <c r="E7" s="629">
        <f>IF($E$2=1, 1, 0)</f>
        <v>1</v>
      </c>
      <c r="F7" s="1289">
        <v>0</v>
      </c>
      <c r="G7" s="815">
        <f t="shared" si="0"/>
        <v>1.5</v>
      </c>
      <c r="H7" s="647">
        <f>G7*1</f>
        <v>1.5</v>
      </c>
      <c r="I7" s="813">
        <v>0</v>
      </c>
      <c r="J7" s="655">
        <v>0</v>
      </c>
      <c r="K7" s="103"/>
    </row>
    <row r="8" spans="1:18" x14ac:dyDescent="0.25">
      <c r="A8" s="1895"/>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895"/>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912" t="s">
        <v>1239</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912"/>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73"/>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1240</v>
      </c>
      <c r="B13" s="1295"/>
      <c r="C13" s="1296"/>
      <c r="D13" s="1297"/>
      <c r="E13" s="1298"/>
      <c r="F13" s="1299"/>
      <c r="G13" s="1298"/>
      <c r="H13" s="1285"/>
      <c r="I13" s="1286"/>
      <c r="J13" s="1287"/>
      <c r="K13" s="1288"/>
      <c r="L13" s="1271" t="s">
        <v>1241</v>
      </c>
      <c r="M13" s="1271" t="s">
        <v>1242</v>
      </c>
    </row>
    <row r="14" spans="1:18" x14ac:dyDescent="0.25">
      <c r="A14" s="2215" t="s">
        <v>1243</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202"/>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202"/>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202" t="s">
        <v>1244</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202"/>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202"/>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202" t="s">
        <v>1245</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202"/>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202"/>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202" t="s">
        <v>1246</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202"/>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202"/>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202" t="s">
        <v>1247</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202"/>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202"/>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1206</v>
      </c>
    </row>
    <row r="29" spans="1:15" x14ac:dyDescent="0.25">
      <c r="A29" s="2202" t="s">
        <v>1248</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202"/>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203"/>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202" t="s">
        <v>1249</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202"/>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203"/>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202" t="s">
        <v>1250</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202"/>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203"/>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202" t="s">
        <v>1251</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202"/>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203"/>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202" t="s">
        <v>1252</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202"/>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203"/>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202" t="s">
        <v>1253</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202"/>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203"/>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202" t="s">
        <v>1254</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202"/>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203"/>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202" t="s">
        <v>1255</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202"/>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203"/>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202" t="s">
        <v>1256</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202"/>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203"/>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202" t="s">
        <v>1257</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202"/>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203"/>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202" t="s">
        <v>1258</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202"/>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203"/>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202" t="s">
        <v>1259</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202"/>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203"/>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202" t="s">
        <v>1260</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202"/>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203"/>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202" t="s">
        <v>1261</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202"/>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203"/>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202" t="s">
        <v>1262</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202"/>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203"/>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202" t="s">
        <v>1263</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202"/>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203"/>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202" t="s">
        <v>1264</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202"/>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203"/>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202" t="s">
        <v>1265</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202"/>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203"/>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202" t="s">
        <v>1266</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202"/>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203"/>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202" t="s">
        <v>1267</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202"/>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203"/>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202" t="s">
        <v>1268</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202"/>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203"/>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202" t="s">
        <v>1269</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202"/>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203"/>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202" t="s">
        <v>1270</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202"/>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203"/>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202" t="s">
        <v>1271</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202"/>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203"/>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202" t="s">
        <v>1272</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202"/>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203"/>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202" t="s">
        <v>1273</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202"/>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203"/>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202" t="s">
        <v>1274</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202"/>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203"/>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202" t="s">
        <v>1275</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202"/>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203"/>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202" t="s">
        <v>1276</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202"/>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203"/>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202" t="s">
        <v>1277</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202"/>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204"/>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1278</v>
      </c>
      <c r="B119" s="1295"/>
      <c r="C119" s="1296"/>
      <c r="D119" s="1297"/>
      <c r="E119" s="1298"/>
      <c r="F119" s="1299"/>
      <c r="G119" s="1298"/>
      <c r="H119" s="1285"/>
      <c r="I119" s="1286"/>
      <c r="J119" s="1287"/>
      <c r="K119" s="1288"/>
    </row>
    <row r="120" spans="1:11" x14ac:dyDescent="0.25">
      <c r="A120" s="2154" t="s">
        <v>1279</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54"/>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54"/>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54" t="s">
        <v>1280</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54"/>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54"/>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107:A109"/>
    <mergeCell ref="A74:A76"/>
    <mergeCell ref="A77:A79"/>
    <mergeCell ref="A80:A82"/>
    <mergeCell ref="A83:A85"/>
    <mergeCell ref="A86:A88"/>
    <mergeCell ref="A89:A91"/>
    <mergeCell ref="A92:A94"/>
    <mergeCell ref="A95:A97"/>
    <mergeCell ref="A98:A100"/>
    <mergeCell ref="A101:A103"/>
    <mergeCell ref="A104:A106"/>
    <mergeCell ref="A110:A112"/>
    <mergeCell ref="A113:A115"/>
    <mergeCell ref="A116:A118"/>
    <mergeCell ref="A120:A122"/>
    <mergeCell ref="A123:A125"/>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1226</v>
      </c>
      <c r="B1" s="1275" t="s">
        <v>1227</v>
      </c>
      <c r="C1" s="2213" t="s">
        <v>1228</v>
      </c>
      <c r="D1" s="1276" t="s">
        <v>1281</v>
      </c>
      <c r="E1" s="1276" t="s">
        <v>1230</v>
      </c>
      <c r="F1" s="1578" t="s">
        <v>1231</v>
      </c>
      <c r="G1" s="2205" t="s">
        <v>38</v>
      </c>
      <c r="H1" s="2207" t="s">
        <v>714</v>
      </c>
      <c r="I1" s="2207" t="s">
        <v>713</v>
      </c>
      <c r="J1" s="2207" t="s">
        <v>712</v>
      </c>
      <c r="K1" s="2211" t="s">
        <v>272</v>
      </c>
      <c r="L1" s="1577"/>
      <c r="M1" s="1577"/>
      <c r="N1" s="2209" t="s">
        <v>1232</v>
      </c>
      <c r="O1" s="2210"/>
      <c r="P1" s="1577"/>
    </row>
    <row r="2" spans="1:16" ht="16.5" thickBot="1" x14ac:dyDescent="0.3">
      <c r="A2" s="1278" t="s">
        <v>36</v>
      </c>
      <c r="B2" s="1300">
        <f>IF(ТрЗ_ОКиА!$M$1="Простой", 1, IF(ТрЗ_ОКиА!$M$1="Обычный",2,3))</f>
        <v>2</v>
      </c>
      <c r="C2" s="2214"/>
      <c r="D2" s="415">
        <f>ТрЗ_ОКиА!E110</f>
        <v>2</v>
      </c>
      <c r="E2" s="415">
        <f>IF(ТрЗ_ОКиА!E111="Да",1,0)</f>
        <v>0</v>
      </c>
      <c r="F2" s="415">
        <f>IF(ТрЗ_ОКиА!E112="Да",1,0)</f>
        <v>0</v>
      </c>
      <c r="G2" s="2206"/>
      <c r="H2" s="2208"/>
      <c r="I2" s="2208"/>
      <c r="J2" s="2208"/>
      <c r="K2" s="2212"/>
      <c r="L2" s="1577"/>
      <c r="M2" s="1577"/>
      <c r="N2" s="879"/>
      <c r="O2" s="879"/>
      <c r="P2" s="1577"/>
    </row>
    <row r="3" spans="1:16" ht="15.75" x14ac:dyDescent="0.25">
      <c r="A3" s="1279" t="s">
        <v>1235</v>
      </c>
      <c r="B3" s="1280"/>
      <c r="C3" s="1281"/>
      <c r="D3" s="1282"/>
      <c r="E3" s="1282"/>
      <c r="F3" s="1283"/>
      <c r="G3" s="1284"/>
      <c r="H3" s="1285"/>
      <c r="I3" s="1286"/>
      <c r="J3" s="1287"/>
      <c r="K3" s="1288"/>
      <c r="L3" s="1577"/>
      <c r="M3" s="1577"/>
      <c r="N3" s="879"/>
      <c r="O3" s="879"/>
      <c r="P3" s="1577"/>
    </row>
    <row r="4" spans="1:16" ht="15" customHeight="1" x14ac:dyDescent="0.25">
      <c r="A4" s="1910" t="s">
        <v>1237</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912"/>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894"/>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895" t="s">
        <v>1238</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895"/>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895"/>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912" t="s">
        <v>1239</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912"/>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73"/>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1282</v>
      </c>
      <c r="B13" s="1295"/>
      <c r="C13" s="1296"/>
      <c r="D13" s="1297"/>
      <c r="E13" s="1581"/>
      <c r="F13" s="1299"/>
      <c r="G13" s="1581"/>
      <c r="H13" s="1285"/>
      <c r="I13" s="1286"/>
      <c r="J13" s="1287"/>
      <c r="K13" s="1288"/>
      <c r="L13" s="1577" t="s">
        <v>1241</v>
      </c>
      <c r="M13" s="1577" t="s">
        <v>1242</v>
      </c>
      <c r="N13" s="1577"/>
      <c r="O13" s="1577"/>
      <c r="P13" s="1577"/>
    </row>
    <row r="14" spans="1:16" ht="15" customHeight="1" x14ac:dyDescent="0.25">
      <c r="A14" s="2227" t="s">
        <v>1283</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28"/>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29"/>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27" t="s">
        <v>1284</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28"/>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29"/>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33" t="s">
        <v>1285</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34"/>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34"/>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202" t="s">
        <v>1286</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202"/>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202"/>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202" t="s">
        <v>1287</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202"/>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202"/>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202" t="s">
        <v>1288</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202"/>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202"/>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202" t="s">
        <v>1289</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202"/>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202"/>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35" t="s">
        <v>1572</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35"/>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36"/>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202" t="s">
        <v>1290</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202"/>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203"/>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202" t="s">
        <v>1291</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202"/>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203"/>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35" t="s">
        <v>1573</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35"/>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36"/>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202" t="s">
        <v>1292</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202"/>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203"/>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202" t="s">
        <v>1293</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202"/>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203"/>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27" t="s">
        <v>1294</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28"/>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29"/>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24" t="s">
        <v>1295</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24"/>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24"/>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202" t="s">
        <v>1296</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202"/>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203"/>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27" t="s">
        <v>1584</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28"/>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29"/>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27" t="s">
        <v>1575</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28"/>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29"/>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202" t="s">
        <v>1585</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202"/>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203"/>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27" t="s">
        <v>1577</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28"/>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29"/>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202" t="s">
        <v>1297</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202"/>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203"/>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202" t="s">
        <v>1578</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202"/>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203"/>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202" t="s">
        <v>1579</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202"/>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203"/>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202" t="s">
        <v>1580</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202"/>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203"/>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202" t="s">
        <v>1298</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202"/>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203"/>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25" t="s">
        <v>1581</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25"/>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25"/>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25" t="s">
        <v>1318</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25"/>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26"/>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18" t="s">
        <v>1299</v>
      </c>
      <c r="B95" s="2218"/>
      <c r="C95" s="2218"/>
      <c r="D95" s="2218"/>
      <c r="E95" s="2218"/>
      <c r="F95" s="2218"/>
      <c r="G95" s="2218"/>
      <c r="H95" s="2218"/>
      <c r="I95" s="2218"/>
      <c r="J95" s="2218"/>
      <c r="K95" s="2218"/>
      <c r="L95" s="1577"/>
      <c r="M95" s="1577"/>
      <c r="N95" s="1577"/>
      <c r="O95" s="1577"/>
      <c r="P95" s="1577"/>
    </row>
    <row r="96" spans="1:16" ht="15" customHeight="1" x14ac:dyDescent="0.25">
      <c r="A96" s="2227" t="s">
        <v>1300</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28"/>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29"/>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18" t="s">
        <v>1301</v>
      </c>
      <c r="B99" s="2218"/>
      <c r="C99" s="2218"/>
      <c r="D99" s="2218"/>
      <c r="E99" s="2218"/>
      <c r="F99" s="2218"/>
      <c r="G99" s="2218"/>
      <c r="H99" s="2218"/>
      <c r="I99" s="2218"/>
      <c r="J99" s="2218"/>
      <c r="K99" s="2218"/>
      <c r="L99" s="1577"/>
      <c r="M99" s="1577"/>
      <c r="N99" s="1577"/>
      <c r="O99" s="1577"/>
      <c r="P99" s="1577"/>
    </row>
    <row r="100" spans="1:16" ht="15" customHeight="1" x14ac:dyDescent="0.25">
      <c r="A100" s="2202" t="s">
        <v>1302</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202"/>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203"/>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18" t="s">
        <v>1303</v>
      </c>
      <c r="B103" s="2218"/>
      <c r="C103" s="2218"/>
      <c r="D103" s="2218"/>
      <c r="E103" s="2218"/>
      <c r="F103" s="2218"/>
      <c r="G103" s="2218"/>
      <c r="H103" s="2218"/>
      <c r="I103" s="2218"/>
      <c r="J103" s="2218"/>
      <c r="K103" s="2218"/>
      <c r="L103" s="1577"/>
      <c r="M103" s="1577"/>
      <c r="N103" s="1577"/>
      <c r="O103" s="1577"/>
      <c r="P103" s="1577"/>
    </row>
    <row r="104" spans="1:16" ht="15" customHeight="1" x14ac:dyDescent="0.25">
      <c r="A104" s="2202" t="s">
        <v>1304</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202"/>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203"/>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21" t="s">
        <v>1305</v>
      </c>
      <c r="B107" s="2218"/>
      <c r="C107" s="2218"/>
      <c r="D107" s="2218"/>
      <c r="E107" s="2218"/>
      <c r="F107" s="2218"/>
      <c r="G107" s="2218"/>
      <c r="H107" s="2218"/>
      <c r="I107" s="2218"/>
      <c r="J107" s="2218"/>
      <c r="K107" s="2222"/>
      <c r="L107" s="1577"/>
      <c r="M107" s="1577"/>
      <c r="N107" s="1577"/>
      <c r="O107" s="1577"/>
      <c r="P107" s="1577"/>
    </row>
    <row r="108" spans="1:16" ht="15" customHeight="1" x14ac:dyDescent="0.25">
      <c r="A108" s="2202" t="s">
        <v>1306</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202"/>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203"/>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16" t="s">
        <v>1307</v>
      </c>
      <c r="B111" s="2218"/>
      <c r="C111" s="2218"/>
      <c r="D111" s="2218"/>
      <c r="E111" s="2218"/>
      <c r="F111" s="2218"/>
      <c r="G111" s="2218"/>
      <c r="H111" s="2218"/>
      <c r="I111" s="2218"/>
      <c r="J111" s="2218"/>
      <c r="K111" s="2223"/>
      <c r="L111" s="1577"/>
      <c r="M111" s="1577"/>
      <c r="N111" s="1577"/>
      <c r="O111" s="1577"/>
      <c r="P111" s="1577"/>
    </row>
    <row r="112" spans="1:16" ht="15" customHeight="1" x14ac:dyDescent="0.25">
      <c r="A112" s="2202" t="s">
        <v>1582</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202"/>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203"/>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16" t="s">
        <v>1308</v>
      </c>
      <c r="B115" s="2217"/>
      <c r="C115" s="2218"/>
      <c r="D115" s="2218"/>
      <c r="E115" s="2218"/>
      <c r="F115" s="2218"/>
      <c r="G115" s="2219"/>
      <c r="H115" s="2218"/>
      <c r="I115" s="2218"/>
      <c r="J115" s="2218"/>
      <c r="K115" s="2220"/>
      <c r="L115" s="1577"/>
      <c r="M115" s="1577"/>
      <c r="N115" s="1577"/>
      <c r="O115" s="1577"/>
      <c r="P115" s="1577"/>
    </row>
    <row r="116" spans="1:16" ht="15" customHeight="1" x14ac:dyDescent="0.25">
      <c r="A116" s="2202" t="s">
        <v>1309</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202"/>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203"/>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202" t="s">
        <v>1310</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202"/>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203"/>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16" t="s">
        <v>1311</v>
      </c>
      <c r="B122" s="2218"/>
      <c r="C122" s="2218"/>
      <c r="D122" s="2218"/>
      <c r="E122" s="2218"/>
      <c r="F122" s="2218"/>
      <c r="G122" s="2218"/>
      <c r="H122" s="2218"/>
      <c r="I122" s="2218"/>
      <c r="J122" s="2218"/>
      <c r="K122" s="2223"/>
      <c r="L122" s="1577"/>
      <c r="M122" s="1577"/>
      <c r="N122" s="1577"/>
      <c r="O122" s="1577"/>
      <c r="P122" s="1577"/>
    </row>
    <row r="123" spans="1:16" ht="15" customHeight="1" x14ac:dyDescent="0.25">
      <c r="A123" s="2202" t="s">
        <v>1583</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202"/>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203"/>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18" t="s">
        <v>1312</v>
      </c>
      <c r="B126" s="2218"/>
      <c r="C126" s="2218"/>
      <c r="D126" s="2218"/>
      <c r="E126" s="2218"/>
      <c r="F126" s="2218"/>
      <c r="G126" s="2218"/>
      <c r="H126" s="2218"/>
      <c r="I126" s="2218"/>
      <c r="J126" s="2218"/>
      <c r="K126" s="2223"/>
      <c r="L126" s="1577"/>
      <c r="M126" s="1577"/>
      <c r="N126" s="1577"/>
      <c r="O126" s="1577"/>
      <c r="P126" s="1577"/>
    </row>
    <row r="127" spans="1:16" ht="15" customHeight="1" x14ac:dyDescent="0.25">
      <c r="A127" s="2230" t="s">
        <v>1313</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31"/>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32"/>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24" t="s">
        <v>1314</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24"/>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24"/>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24" t="s">
        <v>1315</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24"/>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24"/>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24" t="s">
        <v>1316</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24"/>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24"/>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24" t="s">
        <v>1317</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24"/>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24"/>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7:A19"/>
    <mergeCell ref="C1:C2"/>
    <mergeCell ref="G1:G2"/>
    <mergeCell ref="H1:H2"/>
    <mergeCell ref="I1:I2"/>
    <mergeCell ref="N1:O1"/>
    <mergeCell ref="A4:A6"/>
    <mergeCell ref="A7:A9"/>
    <mergeCell ref="A10:A12"/>
    <mergeCell ref="A14:A16"/>
    <mergeCell ref="J1:J2"/>
    <mergeCell ref="K1:K2"/>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A80:A82"/>
    <mergeCell ref="A83:A85"/>
    <mergeCell ref="A56:A58"/>
    <mergeCell ref="A59:A61"/>
    <mergeCell ref="A62:A64"/>
    <mergeCell ref="A65:A67"/>
    <mergeCell ref="A68:A70"/>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115:K115"/>
    <mergeCell ref="A116:A118"/>
    <mergeCell ref="A104:A106"/>
    <mergeCell ref="A107:K107"/>
    <mergeCell ref="A108:A110"/>
    <mergeCell ref="A111:K111"/>
    <mergeCell ref="A112:A114"/>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1226</v>
      </c>
      <c r="B1" s="1304" t="s">
        <v>1227</v>
      </c>
      <c r="C1" s="2265" t="s">
        <v>1228</v>
      </c>
      <c r="D1" s="1305" t="s">
        <v>1319</v>
      </c>
      <c r="E1" s="1305" t="s">
        <v>1230</v>
      </c>
      <c r="F1" s="1305" t="s">
        <v>1231</v>
      </c>
      <c r="G1" s="2251" t="s">
        <v>38</v>
      </c>
      <c r="H1" s="2253" t="s">
        <v>714</v>
      </c>
      <c r="I1" s="2253" t="s">
        <v>713</v>
      </c>
      <c r="J1" s="2253" t="s">
        <v>712</v>
      </c>
      <c r="K1" s="2260" t="s">
        <v>272</v>
      </c>
      <c r="L1" s="1306"/>
      <c r="M1" s="1306"/>
      <c r="N1" s="2255" t="s">
        <v>1232</v>
      </c>
      <c r="O1" s="2256"/>
      <c r="P1" s="1306"/>
    </row>
    <row r="2" spans="1:16" ht="15.75" thickBot="1" x14ac:dyDescent="0.3">
      <c r="A2" s="1307" t="s">
        <v>36</v>
      </c>
      <c r="B2" s="1308">
        <f>IF(ТрЗ_ОКиА!$M$1="Простой", 1, IF(ТрЗ_ОКиА!$M$1="Обычный",2,3))</f>
        <v>2</v>
      </c>
      <c r="C2" s="2266"/>
      <c r="D2" s="1309">
        <f>ТрЗ_ОКиА!E188</f>
        <v>1</v>
      </c>
      <c r="E2" s="1309">
        <f>IF(ТрЗ_ОКиА!E189="Да",1,0)</f>
        <v>1</v>
      </c>
      <c r="F2" s="1309">
        <f>IF(ТрЗ_ОКиА!E190="Да",1,0)</f>
        <v>1</v>
      </c>
      <c r="G2" s="2252"/>
      <c r="H2" s="2254"/>
      <c r="I2" s="2254"/>
      <c r="J2" s="2254"/>
      <c r="K2" s="2261"/>
      <c r="L2" s="1306"/>
      <c r="M2" s="1306"/>
      <c r="N2" s="1310"/>
      <c r="O2" s="1310"/>
      <c r="P2" s="1306"/>
    </row>
    <row r="3" spans="1:16" x14ac:dyDescent="0.25">
      <c r="A3" s="1311" t="s">
        <v>1235</v>
      </c>
      <c r="B3" s="1312"/>
      <c r="C3" s="1313"/>
      <c r="D3" s="1314"/>
      <c r="E3" s="1314"/>
      <c r="F3" s="1315"/>
      <c r="G3" s="1316"/>
      <c r="H3" s="1317"/>
      <c r="I3" s="1318"/>
      <c r="J3" s="1319"/>
      <c r="K3" s="1320"/>
      <c r="L3" s="1306"/>
      <c r="M3" s="1306"/>
      <c r="N3" s="1310"/>
      <c r="O3" s="1310"/>
      <c r="P3" s="1306"/>
    </row>
    <row r="4" spans="1:16" x14ac:dyDescent="0.25">
      <c r="A4" s="2257" t="s">
        <v>1237</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58"/>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59"/>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67" t="s">
        <v>1238</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67"/>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67"/>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58" t="s">
        <v>1239</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58"/>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68"/>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1320</v>
      </c>
      <c r="B13" s="1337"/>
      <c r="C13" s="1338"/>
      <c r="D13" s="1339"/>
      <c r="E13" s="1340"/>
      <c r="F13" s="1341"/>
      <c r="G13" s="1340"/>
      <c r="H13" s="1317"/>
      <c r="I13" s="1318"/>
      <c r="J13" s="1319"/>
      <c r="K13" s="1320"/>
      <c r="L13" s="1306" t="s">
        <v>1241</v>
      </c>
      <c r="M13" s="1306" t="s">
        <v>1242</v>
      </c>
      <c r="N13" s="1306"/>
      <c r="O13" s="1306"/>
      <c r="P13" s="1306"/>
    </row>
    <row r="14" spans="1:16" ht="25.9" customHeight="1" x14ac:dyDescent="0.25">
      <c r="A14" s="2245" t="s">
        <v>1321</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46"/>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46"/>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62" t="s">
        <v>1322</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63"/>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64"/>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46" t="s">
        <v>1244</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46"/>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46"/>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46" t="s">
        <v>1245</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46"/>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46"/>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46" t="s">
        <v>1279</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46"/>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46"/>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46" t="s">
        <v>1246</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46"/>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46"/>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1206</v>
      </c>
      <c r="P31" s="1306"/>
    </row>
    <row r="32" spans="1:16" x14ac:dyDescent="0.25">
      <c r="A32" s="2246" t="s">
        <v>1323</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46"/>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47"/>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46" t="s">
        <v>1248</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46"/>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47"/>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46" t="s">
        <v>1324</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46"/>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47"/>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46" t="s">
        <v>1325</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46"/>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47"/>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46" t="s">
        <v>1326</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46"/>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47"/>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46" t="s">
        <v>1327</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46"/>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47"/>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46" t="s">
        <v>1328</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46"/>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47"/>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48" t="s">
        <v>1253</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49"/>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50"/>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39" t="s">
        <v>1329</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40"/>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41"/>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39" t="s">
        <v>1330</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40"/>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41"/>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39" t="s">
        <v>1331</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40"/>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41"/>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39" t="s">
        <v>1332</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40"/>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41"/>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39" t="s">
        <v>1294</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40"/>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41"/>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39" t="s">
        <v>1333</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40"/>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40"/>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39" t="s">
        <v>1274</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40"/>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41"/>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39" t="s">
        <v>1334</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40"/>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41"/>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39" t="s">
        <v>1335</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40"/>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41"/>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39" t="s">
        <v>1336</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40"/>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40"/>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42" t="s">
        <v>1337</v>
      </c>
      <c r="B86" s="2243"/>
      <c r="C86" s="2243"/>
      <c r="D86" s="2243"/>
      <c r="E86" s="2243"/>
      <c r="F86" s="2243"/>
      <c r="G86" s="2243"/>
      <c r="H86" s="2243"/>
      <c r="I86" s="2243"/>
      <c r="J86" s="2243"/>
      <c r="K86" s="2244"/>
      <c r="L86" s="1306"/>
      <c r="M86" s="1306"/>
      <c r="N86" s="1306"/>
      <c r="O86" s="1306"/>
      <c r="P86" s="1306"/>
    </row>
    <row r="87" spans="1:16" x14ac:dyDescent="0.25">
      <c r="A87" s="2245" t="s">
        <v>1338</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46"/>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47"/>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37" t="s">
        <v>1250</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37"/>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38"/>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20:A22"/>
    <mergeCell ref="A23:A25"/>
    <mergeCell ref="A26:A28"/>
    <mergeCell ref="A17:A19"/>
    <mergeCell ref="C1:C2"/>
    <mergeCell ref="A7:A9"/>
    <mergeCell ref="A10:A12"/>
    <mergeCell ref="A14:A16"/>
    <mergeCell ref="G1:G2"/>
    <mergeCell ref="H1:H2"/>
    <mergeCell ref="I1:I2"/>
    <mergeCell ref="N1:O1"/>
    <mergeCell ref="A4:A6"/>
    <mergeCell ref="J1:J2"/>
    <mergeCell ref="K1:K2"/>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A90:A92"/>
    <mergeCell ref="A74:A76"/>
    <mergeCell ref="A77:A79"/>
    <mergeCell ref="A80:A82"/>
    <mergeCell ref="A83:A85"/>
    <mergeCell ref="A86:K86"/>
    <mergeCell ref="A87:A89"/>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1226</v>
      </c>
      <c r="B1" s="1304" t="s">
        <v>1227</v>
      </c>
      <c r="C1" s="2265" t="s">
        <v>1228</v>
      </c>
      <c r="D1" s="1305" t="s">
        <v>1339</v>
      </c>
      <c r="E1" s="1305" t="s">
        <v>1230</v>
      </c>
      <c r="F1" s="1305" t="s">
        <v>1231</v>
      </c>
      <c r="G1" s="2251" t="s">
        <v>38</v>
      </c>
      <c r="H1" s="2253" t="s">
        <v>714</v>
      </c>
      <c r="I1" s="2253" t="s">
        <v>713</v>
      </c>
      <c r="J1" s="2253" t="s">
        <v>712</v>
      </c>
      <c r="K1" s="2260" t="s">
        <v>272</v>
      </c>
      <c r="L1" s="1306"/>
      <c r="M1" s="1306"/>
      <c r="N1" s="2255" t="s">
        <v>1232</v>
      </c>
      <c r="O1" s="2256"/>
      <c r="P1" s="1306"/>
    </row>
    <row r="2" spans="1:16" ht="15.75" thickBot="1" x14ac:dyDescent="0.3">
      <c r="A2" s="1307" t="s">
        <v>36</v>
      </c>
      <c r="B2" s="1308">
        <f>IF(ТрЗ_ОКиА!$M$1="Простой", 1, IF(ТрЗ_ОКиА!$M$1="Обычный",2,3))</f>
        <v>2</v>
      </c>
      <c r="C2" s="2266"/>
      <c r="D2" s="1309">
        <f>ТрЗ_ОКиА!E256</f>
        <v>1</v>
      </c>
      <c r="E2" s="1309">
        <f>IF(ТрЗ_ОКиА!E257="Да",1,0)</f>
        <v>1</v>
      </c>
      <c r="F2" s="1309">
        <f>IF(ТрЗ_ОКиА!E258="Да",1,0)</f>
        <v>1</v>
      </c>
      <c r="G2" s="2252"/>
      <c r="H2" s="2254"/>
      <c r="I2" s="2254"/>
      <c r="J2" s="2254"/>
      <c r="K2" s="2261"/>
      <c r="L2" s="1306"/>
      <c r="M2" s="1306"/>
      <c r="N2" s="1310"/>
      <c r="O2" s="1310"/>
      <c r="P2" s="1306"/>
    </row>
    <row r="3" spans="1:16" x14ac:dyDescent="0.25">
      <c r="A3" s="1311" t="s">
        <v>1235</v>
      </c>
      <c r="B3" s="1312"/>
      <c r="C3" s="1313"/>
      <c r="D3" s="1314"/>
      <c r="E3" s="1314"/>
      <c r="F3" s="1315"/>
      <c r="G3" s="1316"/>
      <c r="H3" s="1317"/>
      <c r="I3" s="1318"/>
      <c r="J3" s="1319"/>
      <c r="K3" s="1320"/>
      <c r="L3" s="1306"/>
      <c r="M3" s="1306"/>
      <c r="N3" s="1310"/>
      <c r="O3" s="1310"/>
      <c r="P3" s="1306"/>
    </row>
    <row r="4" spans="1:16" x14ac:dyDescent="0.25">
      <c r="A4" s="2257" t="s">
        <v>1237</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58"/>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59"/>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67" t="s">
        <v>1238</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67"/>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67"/>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58" t="s">
        <v>1239</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58"/>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68"/>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1282</v>
      </c>
      <c r="B13" s="1337"/>
      <c r="C13" s="1338"/>
      <c r="D13" s="1339"/>
      <c r="E13" s="1340"/>
      <c r="F13" s="1341"/>
      <c r="G13" s="1340"/>
      <c r="H13" s="1317"/>
      <c r="I13" s="1318"/>
      <c r="J13" s="1319"/>
      <c r="K13" s="1320"/>
      <c r="L13" s="1306" t="s">
        <v>1241</v>
      </c>
      <c r="M13" s="1306" t="s">
        <v>1242</v>
      </c>
      <c r="N13" s="1306"/>
      <c r="O13" s="1306"/>
      <c r="P13" s="1306"/>
    </row>
    <row r="14" spans="1:16" x14ac:dyDescent="0.25">
      <c r="A14" s="2269" t="s">
        <v>1340</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70"/>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71"/>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69" t="s">
        <v>1341</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70"/>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71"/>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46" t="s">
        <v>1342</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46"/>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46"/>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69" t="s">
        <v>1343</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70"/>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71"/>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69" t="s">
        <v>1344</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70"/>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71"/>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69" t="s">
        <v>1345</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70"/>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71"/>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46" t="s">
        <v>1346</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46"/>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46"/>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46" t="s">
        <v>1347</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46"/>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46"/>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46" t="s">
        <v>1348</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46"/>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46"/>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46" t="s">
        <v>1349</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46"/>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47"/>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37" t="s">
        <v>1350</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37"/>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38"/>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17:A19"/>
    <mergeCell ref="C1:C2"/>
    <mergeCell ref="G1:G2"/>
    <mergeCell ref="H1:H2"/>
    <mergeCell ref="I1:I2"/>
    <mergeCell ref="N1:O1"/>
    <mergeCell ref="A4:A6"/>
    <mergeCell ref="A7:A9"/>
    <mergeCell ref="A10:A12"/>
    <mergeCell ref="A14:A16"/>
    <mergeCell ref="J1:J2"/>
    <mergeCell ref="K1:K2"/>
    <mergeCell ref="A38:A40"/>
    <mergeCell ref="A41:A43"/>
    <mergeCell ref="A44:A46"/>
    <mergeCell ref="A20:A22"/>
    <mergeCell ref="A23:A25"/>
    <mergeCell ref="A26:A28"/>
    <mergeCell ref="A29:A31"/>
    <mergeCell ref="A32:A34"/>
    <mergeCell ref="A35:A37"/>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99" t="s">
        <v>1351</v>
      </c>
      <c r="B1" s="2200"/>
      <c r="C1" s="2200"/>
      <c r="D1" s="2200"/>
      <c r="E1" s="2200"/>
      <c r="F1" s="2200"/>
      <c r="G1" s="2200"/>
      <c r="H1" s="2200"/>
      <c r="I1" s="2200"/>
      <c r="J1" s="2200"/>
      <c r="K1" s="2201"/>
      <c r="L1" s="323"/>
      <c r="M1" s="323"/>
      <c r="N1" s="323"/>
      <c r="O1" s="323"/>
      <c r="P1" s="323"/>
      <c r="Q1" s="323"/>
      <c r="R1" s="323"/>
      <c r="S1" s="323"/>
      <c r="T1" s="323"/>
    </row>
    <row r="2" spans="1:20" x14ac:dyDescent="0.25">
      <c r="A2" s="2154" t="s">
        <v>1352</v>
      </c>
      <c r="B2" s="129" t="s">
        <v>32</v>
      </c>
      <c r="C2" s="658">
        <v>4</v>
      </c>
      <c r="D2" s="658">
        <v>0</v>
      </c>
      <c r="E2" s="658">
        <v>0</v>
      </c>
      <c r="F2" s="658">
        <v>0</v>
      </c>
      <c r="G2" s="814">
        <f t="shared" ref="G2:G7" si="0" xml:space="preserve"> SUM(C2:F2)</f>
        <v>4</v>
      </c>
      <c r="H2" s="813">
        <f>G2*80%</f>
        <v>3.2</v>
      </c>
      <c r="I2" s="813">
        <f>G2*20%</f>
        <v>0.8</v>
      </c>
      <c r="J2" s="813">
        <f>G2*0</f>
        <v>0</v>
      </c>
      <c r="K2" s="2155"/>
      <c r="L2" s="323"/>
      <c r="M2" s="323"/>
      <c r="N2" s="323"/>
      <c r="O2" s="323"/>
      <c r="P2" s="323"/>
      <c r="Q2" s="323"/>
      <c r="R2" s="323"/>
      <c r="S2" s="323"/>
      <c r="T2" s="323"/>
    </row>
    <row r="3" spans="1:20" x14ac:dyDescent="0.25">
      <c r="A3" s="2154"/>
      <c r="B3" s="129" t="s">
        <v>33</v>
      </c>
      <c r="C3" s="813">
        <v>8</v>
      </c>
      <c r="D3" s="658">
        <v>0</v>
      </c>
      <c r="E3" s="658">
        <v>0</v>
      </c>
      <c r="F3" s="658">
        <v>0</v>
      </c>
      <c r="G3" s="814">
        <f t="shared" si="0"/>
        <v>8</v>
      </c>
      <c r="H3" s="813">
        <f>G3*60%</f>
        <v>4.8</v>
      </c>
      <c r="I3" s="813">
        <f>G3*30%</f>
        <v>2.4</v>
      </c>
      <c r="J3" s="813">
        <f>G3*10%</f>
        <v>0.8</v>
      </c>
      <c r="K3" s="2155"/>
      <c r="L3" s="323"/>
      <c r="M3" s="323"/>
      <c r="N3" s="323"/>
      <c r="O3" s="323"/>
      <c r="P3" s="323"/>
      <c r="Q3" s="323"/>
      <c r="R3" s="323"/>
      <c r="S3" s="323"/>
      <c r="T3" s="323"/>
    </row>
    <row r="4" spans="1:20" ht="15" customHeight="1" x14ac:dyDescent="0.25">
      <c r="A4" s="2154"/>
      <c r="B4" s="129" t="s">
        <v>34</v>
      </c>
      <c r="C4" s="813">
        <v>12</v>
      </c>
      <c r="D4" s="658">
        <v>0</v>
      </c>
      <c r="E4" s="658">
        <v>0</v>
      </c>
      <c r="F4" s="658">
        <v>0</v>
      </c>
      <c r="G4" s="814">
        <f t="shared" si="0"/>
        <v>12</v>
      </c>
      <c r="H4" s="813">
        <f>G4*50%</f>
        <v>6</v>
      </c>
      <c r="I4" s="813">
        <f>G4*30%</f>
        <v>3.5999999999999996</v>
      </c>
      <c r="J4" s="813">
        <f>G4*20%</f>
        <v>2.4000000000000004</v>
      </c>
      <c r="K4" s="2155"/>
      <c r="L4" s="323"/>
      <c r="M4" s="323"/>
      <c r="N4" s="323"/>
      <c r="O4" s="323"/>
      <c r="P4" s="323"/>
      <c r="Q4" s="323"/>
      <c r="R4" s="323"/>
      <c r="S4" s="323"/>
      <c r="T4" s="323"/>
    </row>
    <row r="5" spans="1:20" ht="15" customHeight="1" x14ac:dyDescent="0.25">
      <c r="A5" s="2162" t="s">
        <v>1353</v>
      </c>
      <c r="B5" s="129" t="s">
        <v>32</v>
      </c>
      <c r="C5" s="658">
        <v>4</v>
      </c>
      <c r="D5" s="658">
        <v>0</v>
      </c>
      <c r="E5" s="658">
        <v>0</v>
      </c>
      <c r="F5" s="658">
        <v>0</v>
      </c>
      <c r="G5" s="814">
        <f t="shared" si="0"/>
        <v>4</v>
      </c>
      <c r="H5" s="813">
        <f>G5*80%</f>
        <v>3.2</v>
      </c>
      <c r="I5" s="813">
        <f>G5*20%</f>
        <v>0.8</v>
      </c>
      <c r="J5" s="813">
        <v>0</v>
      </c>
      <c r="K5" s="2155"/>
      <c r="L5" s="323"/>
      <c r="M5" s="323"/>
      <c r="N5" s="323"/>
      <c r="O5" s="323"/>
      <c r="P5" s="323"/>
      <c r="Q5" s="323"/>
      <c r="R5" s="323"/>
      <c r="S5" s="323"/>
      <c r="T5" s="323"/>
    </row>
    <row r="6" spans="1:20" ht="15" customHeight="1" x14ac:dyDescent="0.25">
      <c r="A6" s="2163"/>
      <c r="B6" s="129" t="s">
        <v>33</v>
      </c>
      <c r="C6" s="813">
        <v>8</v>
      </c>
      <c r="D6" s="658">
        <v>0</v>
      </c>
      <c r="E6" s="658">
        <v>0</v>
      </c>
      <c r="F6" s="658">
        <v>0</v>
      </c>
      <c r="G6" s="814">
        <f t="shared" si="0"/>
        <v>8</v>
      </c>
      <c r="H6" s="813">
        <f>G6*60%</f>
        <v>4.8</v>
      </c>
      <c r="I6" s="813">
        <f>G6*30%</f>
        <v>2.4</v>
      </c>
      <c r="J6" s="813">
        <f>G6*10%</f>
        <v>0.8</v>
      </c>
      <c r="K6" s="2155"/>
      <c r="L6" s="323"/>
      <c r="M6" s="323"/>
      <c r="N6" s="323"/>
      <c r="O6" s="323"/>
      <c r="P6" s="323"/>
      <c r="R6" s="323"/>
      <c r="S6" s="323"/>
      <c r="T6" s="323"/>
    </row>
    <row r="7" spans="1:20" ht="15" customHeight="1" x14ac:dyDescent="0.25">
      <c r="A7" s="2164"/>
      <c r="B7" s="129" t="s">
        <v>34</v>
      </c>
      <c r="C7" s="813">
        <v>12</v>
      </c>
      <c r="D7" s="658">
        <v>0</v>
      </c>
      <c r="E7" s="658">
        <v>0</v>
      </c>
      <c r="F7" s="658">
        <v>0</v>
      </c>
      <c r="G7" s="814">
        <f t="shared" si="0"/>
        <v>12</v>
      </c>
      <c r="H7" s="813">
        <f>G7*50%</f>
        <v>6</v>
      </c>
      <c r="I7" s="813">
        <f>G7*30%</f>
        <v>3.5999999999999996</v>
      </c>
      <c r="J7" s="813">
        <f>G7*20%</f>
        <v>2.4000000000000004</v>
      </c>
      <c r="K7" s="2155"/>
      <c r="L7" s="323"/>
      <c r="M7" s="323"/>
      <c r="N7" s="323"/>
      <c r="O7" s="323"/>
      <c r="P7" s="323"/>
      <c r="Q7" s="323"/>
      <c r="R7" s="323"/>
      <c r="S7" s="323"/>
      <c r="T7" s="323"/>
    </row>
    <row r="8" spans="1:20" ht="15" customHeight="1" x14ac:dyDescent="0.25">
      <c r="A8" s="2171" t="s">
        <v>1354</v>
      </c>
      <c r="B8" s="2172"/>
      <c r="C8" s="2172"/>
      <c r="D8" s="2172"/>
      <c r="E8" s="2172"/>
      <c r="F8" s="2172"/>
      <c r="G8" s="2172"/>
      <c r="H8" s="2172"/>
      <c r="I8" s="2172"/>
      <c r="J8" s="2172"/>
      <c r="K8" s="2173"/>
      <c r="L8" s="323"/>
      <c r="M8" s="323"/>
      <c r="N8" s="323"/>
      <c r="O8" s="323"/>
      <c r="P8" s="323"/>
      <c r="Q8" s="323"/>
      <c r="R8" s="323"/>
      <c r="S8" s="323"/>
      <c r="T8" s="323"/>
    </row>
    <row r="9" spans="1:20" ht="97.15" customHeight="1" x14ac:dyDescent="0.25">
      <c r="A9" s="879" t="s">
        <v>1355</v>
      </c>
      <c r="B9" s="1376" t="s">
        <v>1227</v>
      </c>
      <c r="C9" s="2198" t="s">
        <v>1356</v>
      </c>
      <c r="D9" s="1377" t="s">
        <v>875</v>
      </c>
      <c r="E9" s="1377" t="s">
        <v>1357</v>
      </c>
      <c r="F9" s="1378" t="s">
        <v>1358</v>
      </c>
      <c r="G9" s="2161" t="s">
        <v>38</v>
      </c>
      <c r="H9" s="2159" t="s">
        <v>714</v>
      </c>
      <c r="I9" s="2159" t="s">
        <v>713</v>
      </c>
      <c r="J9" s="2159" t="s">
        <v>712</v>
      </c>
      <c r="K9" s="2159"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98"/>
      <c r="D10" s="184">
        <f>ТрЗ_ОКиА!E25</f>
        <v>1</v>
      </c>
      <c r="E10" s="184">
        <f>ТрЗ_ОКиА!E26</f>
        <v>20</v>
      </c>
      <c r="F10" s="184">
        <f>IF(ТрЗ_ОКиА!E27="Да",1,0)</f>
        <v>1</v>
      </c>
      <c r="G10" s="2161"/>
      <c r="H10" s="2159"/>
      <c r="I10" s="2159"/>
      <c r="J10" s="2159"/>
      <c r="K10" s="2159"/>
      <c r="L10" s="323"/>
      <c r="M10" s="323"/>
      <c r="N10" s="323"/>
      <c r="O10" s="323"/>
      <c r="P10" s="323"/>
      <c r="Q10" s="323"/>
      <c r="R10" s="323"/>
      <c r="S10" s="323"/>
      <c r="T10" s="323"/>
    </row>
    <row r="11" spans="1:20" ht="15" customHeight="1" x14ac:dyDescent="0.25">
      <c r="A11" s="2195" t="s">
        <v>1359</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96"/>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1360</v>
      </c>
      <c r="N12" s="1196"/>
      <c r="O12" s="323"/>
      <c r="P12" s="323"/>
      <c r="Q12" s="323"/>
      <c r="R12" s="323"/>
      <c r="S12" s="323"/>
      <c r="T12" s="323"/>
    </row>
    <row r="13" spans="1:20" ht="30.75" customHeight="1" x14ac:dyDescent="0.25">
      <c r="A13" s="2197"/>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638</v>
      </c>
      <c r="N13" s="1382">
        <v>1</v>
      </c>
      <c r="O13" s="323"/>
      <c r="P13" s="323"/>
      <c r="Q13" s="323"/>
      <c r="R13" s="323"/>
      <c r="S13" s="323"/>
      <c r="T13" s="323"/>
    </row>
    <row r="14" spans="1:20" ht="29.25" customHeight="1" x14ac:dyDescent="0.25">
      <c r="A14" s="2171" t="s">
        <v>1361</v>
      </c>
      <c r="B14" s="2172"/>
      <c r="C14" s="2172"/>
      <c r="D14" s="2172"/>
      <c r="E14" s="2172"/>
      <c r="F14" s="2172"/>
      <c r="G14" s="2172"/>
      <c r="H14" s="2172"/>
      <c r="I14" s="2172"/>
      <c r="J14" s="2172"/>
      <c r="K14" s="2173"/>
      <c r="L14" s="323"/>
      <c r="M14" s="323"/>
      <c r="N14" s="323"/>
      <c r="O14" s="323"/>
      <c r="P14" s="323"/>
      <c r="Q14" s="323"/>
      <c r="R14" s="323"/>
      <c r="S14" s="323"/>
      <c r="T14" s="323"/>
    </row>
    <row r="15" spans="1:20" ht="15" customHeight="1" x14ac:dyDescent="0.25">
      <c r="A15" s="879"/>
      <c r="B15" s="1376" t="s">
        <v>1227</v>
      </c>
      <c r="C15" s="2198" t="s">
        <v>1362</v>
      </c>
      <c r="D15" s="1377" t="s">
        <v>875</v>
      </c>
      <c r="E15" s="1377"/>
      <c r="F15" s="1377"/>
      <c r="G15" s="2161" t="s">
        <v>38</v>
      </c>
      <c r="H15" s="2159" t="s">
        <v>714</v>
      </c>
      <c r="I15" s="2159" t="s">
        <v>713</v>
      </c>
      <c r="J15" s="2159" t="s">
        <v>712</v>
      </c>
      <c r="K15" s="2159"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98"/>
      <c r="D16" s="184">
        <f>ТрЗ_ОКиА!E25</f>
        <v>1</v>
      </c>
      <c r="E16" s="184">
        <v>0</v>
      </c>
      <c r="F16" s="184">
        <v>0</v>
      </c>
      <c r="G16" s="2161"/>
      <c r="H16" s="2159"/>
      <c r="I16" s="2159"/>
      <c r="J16" s="2159"/>
      <c r="K16" s="2159"/>
      <c r="L16" s="323"/>
      <c r="M16" s="323"/>
      <c r="N16" s="323"/>
      <c r="O16" s="323"/>
      <c r="P16" s="323"/>
      <c r="Q16" s="323"/>
      <c r="R16" s="323"/>
      <c r="S16" s="323"/>
      <c r="T16" s="323"/>
    </row>
    <row r="17" spans="1:20" ht="32.25" customHeight="1" x14ac:dyDescent="0.25">
      <c r="A17" s="2162" t="s">
        <v>1363</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63"/>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64"/>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71" t="s">
        <v>1364</v>
      </c>
      <c r="B20" s="2172"/>
      <c r="C20" s="2172"/>
      <c r="D20" s="2172"/>
      <c r="E20" s="2172"/>
      <c r="F20" s="2172"/>
      <c r="G20" s="2172"/>
      <c r="H20" s="2172"/>
      <c r="I20" s="2172"/>
      <c r="J20" s="2172"/>
      <c r="K20" s="2173"/>
      <c r="L20" s="323"/>
      <c r="M20" s="323"/>
      <c r="N20" s="323"/>
      <c r="O20" s="323"/>
      <c r="P20" s="323"/>
      <c r="Q20" s="323"/>
      <c r="R20" s="323"/>
      <c r="S20" s="323"/>
      <c r="T20" s="323"/>
    </row>
    <row r="21" spans="1:20" x14ac:dyDescent="0.25">
      <c r="A21" s="2162" t="s">
        <v>1364</v>
      </c>
      <c r="B21" s="129" t="s">
        <v>32</v>
      </c>
      <c r="C21" s="2186" t="s">
        <v>1365</v>
      </c>
      <c r="D21" s="2273"/>
      <c r="E21" s="2273"/>
      <c r="F21" s="2188"/>
      <c r="G21" s="814">
        <f>G11+G17</f>
        <v>50</v>
      </c>
      <c r="H21" s="813">
        <f>G21*50%</f>
        <v>25</v>
      </c>
      <c r="I21" s="813">
        <f>G21*50%</f>
        <v>25</v>
      </c>
      <c r="J21" s="813">
        <v>0</v>
      </c>
      <c r="K21" s="1850" t="s">
        <v>1366</v>
      </c>
      <c r="L21" s="323"/>
      <c r="M21" s="323"/>
      <c r="N21" s="323"/>
      <c r="O21" s="323"/>
      <c r="P21" s="323"/>
      <c r="Q21" s="323"/>
      <c r="R21" s="323"/>
      <c r="S21" s="323"/>
      <c r="T21" s="323"/>
    </row>
    <row r="22" spans="1:20" x14ac:dyDescent="0.25">
      <c r="A22" s="2163"/>
      <c r="B22" s="129" t="s">
        <v>33</v>
      </c>
      <c r="C22" s="2186"/>
      <c r="D22" s="2273"/>
      <c r="E22" s="2273"/>
      <c r="F22" s="2188"/>
      <c r="G22" s="814">
        <f>G12+G18</f>
        <v>64</v>
      </c>
      <c r="H22" s="813">
        <f>G22*50%</f>
        <v>32</v>
      </c>
      <c r="I22" s="813">
        <f>G22*40%</f>
        <v>25.6</v>
      </c>
      <c r="J22" s="813">
        <f>G22*10%</f>
        <v>6.4</v>
      </c>
      <c r="K22" s="1851"/>
      <c r="L22" s="323"/>
      <c r="M22" s="323"/>
      <c r="N22" s="323"/>
      <c r="O22" s="323"/>
      <c r="P22" s="323"/>
      <c r="Q22" s="323"/>
      <c r="R22" s="323"/>
      <c r="S22" s="323"/>
      <c r="T22" s="323"/>
    </row>
    <row r="23" spans="1:20" x14ac:dyDescent="0.25">
      <c r="A23" s="2164"/>
      <c r="B23" s="129" t="s">
        <v>34</v>
      </c>
      <c r="C23" s="2186"/>
      <c r="D23" s="2273"/>
      <c r="E23" s="2273"/>
      <c r="F23" s="2188"/>
      <c r="G23" s="814">
        <f>G13+G19</f>
        <v>78</v>
      </c>
      <c r="H23" s="813">
        <f>G23*20%</f>
        <v>15.600000000000001</v>
      </c>
      <c r="I23" s="813">
        <f>G23*40%</f>
        <v>31.200000000000003</v>
      </c>
      <c r="J23" s="813">
        <f>G23*40%</f>
        <v>31.200000000000003</v>
      </c>
      <c r="K23" s="1852"/>
      <c r="L23" s="323"/>
      <c r="M23" s="323"/>
      <c r="N23" s="323"/>
      <c r="O23" s="323"/>
      <c r="P23" s="323"/>
      <c r="Q23" s="323"/>
      <c r="R23" s="323"/>
      <c r="S23" s="323"/>
      <c r="T23" s="323"/>
    </row>
    <row r="24" spans="1:20" ht="15.75" x14ac:dyDescent="0.25">
      <c r="A24" s="2171" t="s">
        <v>1367</v>
      </c>
      <c r="B24" s="2172"/>
      <c r="C24" s="2172"/>
      <c r="D24" s="2172"/>
      <c r="E24" s="2172"/>
      <c r="F24" s="2172"/>
      <c r="G24" s="2172"/>
      <c r="H24" s="2172"/>
      <c r="I24" s="2172"/>
      <c r="J24" s="2172"/>
      <c r="K24" s="2173"/>
      <c r="M24" s="323"/>
      <c r="N24" s="323"/>
      <c r="O24" s="323"/>
      <c r="P24" s="323"/>
      <c r="Q24" s="323"/>
    </row>
    <row r="25" spans="1:20" ht="30" x14ac:dyDescent="0.25">
      <c r="A25" s="2174"/>
      <c r="B25" s="2175"/>
      <c r="C25" s="2175"/>
      <c r="D25" s="2175"/>
      <c r="E25" s="2175"/>
      <c r="F25" s="2176"/>
      <c r="G25" s="2161" t="s">
        <v>38</v>
      </c>
      <c r="H25" s="2159" t="s">
        <v>714</v>
      </c>
      <c r="I25" s="2159" t="s">
        <v>713</v>
      </c>
      <c r="J25" s="2159" t="s">
        <v>712</v>
      </c>
      <c r="K25" s="2159" t="s">
        <v>272</v>
      </c>
      <c r="M25" s="1383" t="s">
        <v>1368</v>
      </c>
      <c r="N25" s="1196"/>
      <c r="Q25" s="323"/>
    </row>
    <row r="26" spans="1:20" x14ac:dyDescent="0.25">
      <c r="A26" s="2177"/>
      <c r="B26" s="2178"/>
      <c r="C26" s="2178"/>
      <c r="D26" s="2178"/>
      <c r="E26" s="2178"/>
      <c r="F26" s="2179"/>
      <c r="G26" s="2161"/>
      <c r="H26" s="2159"/>
      <c r="I26" s="2159"/>
      <c r="J26" s="2159"/>
      <c r="K26" s="2159"/>
      <c r="M26" s="1381" t="s">
        <v>1369</v>
      </c>
      <c r="N26" s="1382">
        <v>1.4</v>
      </c>
    </row>
    <row r="27" spans="1:20" x14ac:dyDescent="0.25">
      <c r="A27" s="2162" t="s">
        <v>1367</v>
      </c>
      <c r="B27" s="129" t="s">
        <v>32</v>
      </c>
      <c r="C27" s="2165" t="s">
        <v>1370</v>
      </c>
      <c r="D27" s="2166"/>
      <c r="E27" s="2166"/>
      <c r="F27" s="2167"/>
      <c r="G27" s="814">
        <f>(G11+G17)*$N$26</f>
        <v>70</v>
      </c>
      <c r="H27" s="813">
        <f>G27*50%</f>
        <v>35</v>
      </c>
      <c r="I27" s="813">
        <f>G27*50%</f>
        <v>35</v>
      </c>
      <c r="J27" s="813">
        <v>0</v>
      </c>
      <c r="K27" s="1850" t="s">
        <v>1366</v>
      </c>
      <c r="M27" s="323"/>
      <c r="N27" s="323"/>
    </row>
    <row r="28" spans="1:20" x14ac:dyDescent="0.25">
      <c r="A28" s="2163"/>
      <c r="B28" s="129" t="s">
        <v>33</v>
      </c>
      <c r="C28" s="2168"/>
      <c r="D28" s="2272"/>
      <c r="E28" s="2272"/>
      <c r="F28" s="2170"/>
      <c r="G28" s="814">
        <f>(G12+G18)*$N$26</f>
        <v>89.6</v>
      </c>
      <c r="H28" s="813">
        <f>G28*50%</f>
        <v>44.8</v>
      </c>
      <c r="I28" s="813">
        <f>G28*40%</f>
        <v>35.839999999999996</v>
      </c>
      <c r="J28" s="813">
        <f>G28*10%</f>
        <v>8.9599999999999991</v>
      </c>
      <c r="K28" s="1851"/>
    </row>
    <row r="29" spans="1:20" x14ac:dyDescent="0.25">
      <c r="A29" s="2164"/>
      <c r="B29" s="129" t="s">
        <v>34</v>
      </c>
      <c r="C29" s="2168"/>
      <c r="D29" s="2272"/>
      <c r="E29" s="2272"/>
      <c r="F29" s="2170"/>
      <c r="G29" s="814">
        <f>(G13+G19)*$N$26</f>
        <v>109.19999999999999</v>
      </c>
      <c r="H29" s="813">
        <f>G29*20%</f>
        <v>21.84</v>
      </c>
      <c r="I29" s="813">
        <f>G29*40%</f>
        <v>43.68</v>
      </c>
      <c r="J29" s="813">
        <f>G29*40%</f>
        <v>43.68</v>
      </c>
      <c r="K29" s="1852"/>
    </row>
  </sheetData>
  <mergeCells count="35">
    <mergeCell ref="K9:K10"/>
    <mergeCell ref="A1:K1"/>
    <mergeCell ref="A2:A4"/>
    <mergeCell ref="K2:K4"/>
    <mergeCell ref="A5:A7"/>
    <mergeCell ref="K5:K7"/>
    <mergeCell ref="A8:K8"/>
    <mergeCell ref="C9:C10"/>
    <mergeCell ref="G9:G10"/>
    <mergeCell ref="H9:H10"/>
    <mergeCell ref="I9:I10"/>
    <mergeCell ref="J9:J10"/>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A27:A29"/>
    <mergeCell ref="C27:F29"/>
    <mergeCell ref="K27:K29"/>
    <mergeCell ref="A25:F26"/>
    <mergeCell ref="G25:G26"/>
    <mergeCell ref="H25:H26"/>
    <mergeCell ref="I25:I26"/>
    <mergeCell ref="J25:J26"/>
    <mergeCell ref="K25:K26"/>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99" t="s">
        <v>1381</v>
      </c>
      <c r="B1" s="2200"/>
      <c r="C1" s="2200"/>
      <c r="D1" s="2200"/>
      <c r="E1" s="2200"/>
      <c r="F1" s="2200"/>
      <c r="G1" s="2200"/>
      <c r="H1" s="2200"/>
      <c r="I1" s="2200"/>
      <c r="J1" s="2200"/>
      <c r="K1" s="2201"/>
    </row>
    <row r="2" spans="1:19" x14ac:dyDescent="0.25">
      <c r="A2" s="2154" t="s">
        <v>1352</v>
      </c>
      <c r="B2" s="129" t="s">
        <v>32</v>
      </c>
      <c r="C2" s="658">
        <v>4</v>
      </c>
      <c r="D2" s="658">
        <v>0</v>
      </c>
      <c r="E2" s="658">
        <v>0</v>
      </c>
      <c r="F2" s="658">
        <v>0</v>
      </c>
      <c r="G2" s="814">
        <f t="shared" ref="G2:G7" si="0" xml:space="preserve"> SUM(C2:F2)</f>
        <v>4</v>
      </c>
      <c r="H2" s="813">
        <f>G2*80%</f>
        <v>3.2</v>
      </c>
      <c r="I2" s="813">
        <f>G2*20%</f>
        <v>0.8</v>
      </c>
      <c r="J2" s="813">
        <f>G2*0</f>
        <v>0</v>
      </c>
      <c r="K2" s="2155"/>
      <c r="M2" s="323"/>
      <c r="N2" s="323"/>
      <c r="O2" s="323"/>
      <c r="P2" s="323"/>
    </row>
    <row r="3" spans="1:19" x14ac:dyDescent="0.25">
      <c r="A3" s="2154"/>
      <c r="B3" s="129" t="s">
        <v>33</v>
      </c>
      <c r="C3" s="813">
        <v>8</v>
      </c>
      <c r="D3" s="658">
        <v>0</v>
      </c>
      <c r="E3" s="658">
        <v>0</v>
      </c>
      <c r="F3" s="658">
        <v>0</v>
      </c>
      <c r="G3" s="814">
        <f t="shared" si="0"/>
        <v>8</v>
      </c>
      <c r="H3" s="813">
        <f>G3*60%</f>
        <v>4.8</v>
      </c>
      <c r="I3" s="813">
        <f>G3*30%</f>
        <v>2.4</v>
      </c>
      <c r="J3" s="813">
        <f>G3*10%</f>
        <v>0.8</v>
      </c>
      <c r="K3" s="2155"/>
      <c r="M3" s="323"/>
      <c r="N3" s="323"/>
      <c r="O3" s="323"/>
      <c r="P3" s="323"/>
    </row>
    <row r="4" spans="1:19" x14ac:dyDescent="0.25">
      <c r="A4" s="2154"/>
      <c r="B4" s="129" t="s">
        <v>34</v>
      </c>
      <c r="C4" s="813">
        <v>12</v>
      </c>
      <c r="D4" s="658">
        <v>0</v>
      </c>
      <c r="E4" s="658">
        <v>0</v>
      </c>
      <c r="F4" s="658">
        <v>0</v>
      </c>
      <c r="G4" s="814">
        <f t="shared" si="0"/>
        <v>12</v>
      </c>
      <c r="H4" s="813">
        <f>G4*50%</f>
        <v>6</v>
      </c>
      <c r="I4" s="813">
        <f>G4*30%</f>
        <v>3.5999999999999996</v>
      </c>
      <c r="J4" s="813">
        <f>G4*20%</f>
        <v>2.4000000000000004</v>
      </c>
      <c r="K4" s="2155"/>
      <c r="M4" s="323"/>
      <c r="N4" s="323"/>
      <c r="O4" s="323"/>
      <c r="P4" s="323"/>
    </row>
    <row r="5" spans="1:19" x14ac:dyDescent="0.25">
      <c r="A5" s="2162" t="s">
        <v>1353</v>
      </c>
      <c r="B5" s="129" t="s">
        <v>32</v>
      </c>
      <c r="C5" s="658">
        <v>4</v>
      </c>
      <c r="D5" s="658">
        <v>0</v>
      </c>
      <c r="E5" s="658">
        <v>0</v>
      </c>
      <c r="F5" s="658">
        <v>0</v>
      </c>
      <c r="G5" s="814">
        <f t="shared" si="0"/>
        <v>4</v>
      </c>
      <c r="H5" s="813">
        <f>G5*80%</f>
        <v>3.2</v>
      </c>
      <c r="I5" s="813">
        <f>G5*20%</f>
        <v>0.8</v>
      </c>
      <c r="J5" s="813">
        <v>0</v>
      </c>
      <c r="K5" s="2155"/>
      <c r="M5" s="323"/>
      <c r="N5" s="323"/>
      <c r="O5" s="323"/>
      <c r="P5" s="323"/>
    </row>
    <row r="6" spans="1:19" x14ac:dyDescent="0.25">
      <c r="A6" s="2163"/>
      <c r="B6" s="129" t="s">
        <v>33</v>
      </c>
      <c r="C6" s="813">
        <v>8</v>
      </c>
      <c r="D6" s="658">
        <v>0</v>
      </c>
      <c r="E6" s="658">
        <v>0</v>
      </c>
      <c r="F6" s="658">
        <v>0</v>
      </c>
      <c r="G6" s="814">
        <f t="shared" si="0"/>
        <v>8</v>
      </c>
      <c r="H6" s="813">
        <f>G6*60%</f>
        <v>4.8</v>
      </c>
      <c r="I6" s="813">
        <f>G6*30%</f>
        <v>2.4</v>
      </c>
      <c r="J6" s="813">
        <f>G6*10%</f>
        <v>0.8</v>
      </c>
      <c r="K6" s="2155"/>
      <c r="L6" s="323"/>
      <c r="M6" s="323"/>
      <c r="N6" s="323"/>
      <c r="O6" s="323"/>
      <c r="P6" s="323"/>
      <c r="Q6" s="323"/>
      <c r="R6" s="323"/>
      <c r="S6" s="323"/>
    </row>
    <row r="7" spans="1:19" x14ac:dyDescent="0.25">
      <c r="A7" s="2164"/>
      <c r="B7" s="129" t="s">
        <v>34</v>
      </c>
      <c r="C7" s="813">
        <v>12</v>
      </c>
      <c r="D7" s="658">
        <v>0</v>
      </c>
      <c r="E7" s="658">
        <v>0</v>
      </c>
      <c r="F7" s="658">
        <v>0</v>
      </c>
      <c r="G7" s="814">
        <f t="shared" si="0"/>
        <v>12</v>
      </c>
      <c r="H7" s="813">
        <f>G7*50%</f>
        <v>6</v>
      </c>
      <c r="I7" s="813">
        <f>G7*30%</f>
        <v>3.5999999999999996</v>
      </c>
      <c r="J7" s="813">
        <f>G7*20%</f>
        <v>2.4000000000000004</v>
      </c>
      <c r="K7" s="2155"/>
      <c r="L7" s="323"/>
      <c r="M7" s="323"/>
      <c r="N7" s="323"/>
      <c r="O7" s="323"/>
      <c r="P7" s="323"/>
      <c r="Q7" s="323"/>
      <c r="R7" s="323"/>
      <c r="S7" s="323"/>
    </row>
    <row r="8" spans="1:19" ht="26.45" customHeight="1" x14ac:dyDescent="0.25">
      <c r="A8" s="2171" t="s">
        <v>1380</v>
      </c>
      <c r="B8" s="2172"/>
      <c r="C8" s="2172"/>
      <c r="D8" s="2172"/>
      <c r="E8" s="2172"/>
      <c r="F8" s="2172"/>
      <c r="G8" s="2172"/>
      <c r="H8" s="2172"/>
      <c r="I8" s="2172"/>
      <c r="J8" s="2172"/>
      <c r="K8" s="2173"/>
      <c r="L8" s="323"/>
      <c r="M8" s="323"/>
      <c r="N8" s="323"/>
      <c r="O8" s="323"/>
      <c r="P8" s="323"/>
      <c r="Q8" s="323"/>
      <c r="R8" s="323"/>
      <c r="S8" s="323"/>
    </row>
    <row r="9" spans="1:19" ht="96" customHeight="1" x14ac:dyDescent="0.25">
      <c r="A9" s="879" t="s">
        <v>1355</v>
      </c>
      <c r="B9" s="1376" t="s">
        <v>1227</v>
      </c>
      <c r="C9" s="2198" t="s">
        <v>1356</v>
      </c>
      <c r="D9" s="1377" t="s">
        <v>875</v>
      </c>
      <c r="E9" s="1377" t="s">
        <v>1281</v>
      </c>
      <c r="F9" s="1378" t="s">
        <v>1358</v>
      </c>
      <c r="G9" s="2161" t="s">
        <v>38</v>
      </c>
      <c r="H9" s="2159" t="s">
        <v>714</v>
      </c>
      <c r="I9" s="2159" t="s">
        <v>713</v>
      </c>
      <c r="J9" s="2159" t="s">
        <v>712</v>
      </c>
      <c r="K9" s="2159" t="s">
        <v>272</v>
      </c>
      <c r="L9" s="323"/>
      <c r="M9" s="323"/>
      <c r="N9" s="323"/>
      <c r="O9" s="323"/>
      <c r="P9" s="323"/>
      <c r="Q9" s="323"/>
      <c r="R9" s="323"/>
      <c r="S9" s="323"/>
    </row>
    <row r="10" spans="1:19" ht="26.45" customHeight="1" x14ac:dyDescent="0.25">
      <c r="A10" s="1379" t="s">
        <v>36</v>
      </c>
      <c r="B10" s="206">
        <v>1</v>
      </c>
      <c r="C10" s="2198"/>
      <c r="D10" s="184">
        <f>ТрЗ_ОКиА!E89</f>
        <v>1</v>
      </c>
      <c r="E10" s="184">
        <f>ТрЗ_ОКиА!E90</f>
        <v>10</v>
      </c>
      <c r="F10" s="184">
        <f>IF(ТрЗ_ОКиА!E91="Да",1,0)</f>
        <v>1</v>
      </c>
      <c r="G10" s="2161"/>
      <c r="H10" s="2159"/>
      <c r="I10" s="2159"/>
      <c r="J10" s="2159"/>
      <c r="K10" s="2159"/>
      <c r="L10" s="323"/>
      <c r="M10" s="323"/>
      <c r="N10" s="323"/>
      <c r="O10" s="323"/>
      <c r="P10" s="323"/>
      <c r="Q10" s="323"/>
      <c r="R10" s="323"/>
      <c r="S10" s="323"/>
    </row>
    <row r="11" spans="1:19" x14ac:dyDescent="0.25">
      <c r="A11" s="2195" t="s">
        <v>1379</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1360</v>
      </c>
      <c r="N11" s="1196"/>
      <c r="O11" s="323"/>
      <c r="P11" s="323"/>
      <c r="Q11" s="323"/>
      <c r="R11" s="323"/>
      <c r="S11" s="323"/>
    </row>
    <row r="12" spans="1:19" x14ac:dyDescent="0.25">
      <c r="A12" s="2196"/>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1372</v>
      </c>
      <c r="N12" s="1382">
        <v>1.2</v>
      </c>
      <c r="O12" s="323"/>
      <c r="P12" s="323"/>
      <c r="Q12" s="323"/>
      <c r="R12" s="323"/>
      <c r="S12" s="323"/>
    </row>
    <row r="13" spans="1:19" x14ac:dyDescent="0.25">
      <c r="A13" s="2197"/>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71" t="s">
        <v>1361</v>
      </c>
      <c r="B14" s="2172"/>
      <c r="C14" s="2172"/>
      <c r="D14" s="2172"/>
      <c r="E14" s="2172"/>
      <c r="F14" s="2172"/>
      <c r="G14" s="2172"/>
      <c r="H14" s="2172"/>
      <c r="I14" s="2172"/>
      <c r="J14" s="2172"/>
      <c r="K14" s="2173"/>
      <c r="L14" s="323"/>
      <c r="M14" s="323"/>
      <c r="N14" s="323"/>
      <c r="O14" s="323"/>
      <c r="P14" s="323"/>
      <c r="Q14" s="323"/>
      <c r="R14" s="323"/>
      <c r="S14" s="323"/>
    </row>
    <row r="15" spans="1:19" ht="15.75" x14ac:dyDescent="0.25">
      <c r="A15" s="879"/>
      <c r="B15" s="1376" t="s">
        <v>1227</v>
      </c>
      <c r="C15" s="2198" t="s">
        <v>1362</v>
      </c>
      <c r="D15" s="1377" t="s">
        <v>875</v>
      </c>
      <c r="E15" s="1377"/>
      <c r="F15" s="1377"/>
      <c r="G15" s="2161" t="s">
        <v>38</v>
      </c>
      <c r="H15" s="2159" t="s">
        <v>714</v>
      </c>
      <c r="I15" s="2159" t="s">
        <v>713</v>
      </c>
      <c r="J15" s="2159" t="s">
        <v>712</v>
      </c>
      <c r="K15" s="2159" t="s">
        <v>272</v>
      </c>
      <c r="L15" s="323"/>
      <c r="M15" s="323"/>
      <c r="N15" s="323"/>
      <c r="O15" s="323"/>
      <c r="P15" s="323"/>
      <c r="Q15" s="323"/>
      <c r="R15" s="323"/>
      <c r="S15" s="323"/>
    </row>
    <row r="16" spans="1:19" ht="15.75" x14ac:dyDescent="0.25">
      <c r="A16" s="1379" t="s">
        <v>36</v>
      </c>
      <c r="B16" s="206">
        <v>1</v>
      </c>
      <c r="C16" s="2198"/>
      <c r="D16" s="184">
        <f>ТрЗ_ОКиА!E89</f>
        <v>1</v>
      </c>
      <c r="E16" s="184">
        <v>0</v>
      </c>
      <c r="F16" s="184">
        <v>0</v>
      </c>
      <c r="G16" s="2161"/>
      <c r="H16" s="2159"/>
      <c r="I16" s="2159"/>
      <c r="J16" s="2159"/>
      <c r="K16" s="2159"/>
      <c r="L16" s="323"/>
      <c r="M16" s="323"/>
      <c r="N16" s="323"/>
      <c r="O16" s="323"/>
      <c r="P16" s="323"/>
      <c r="Q16" s="323"/>
      <c r="R16" s="323"/>
      <c r="S16" s="323"/>
    </row>
    <row r="17" spans="1:21" ht="14.45" customHeight="1" x14ac:dyDescent="0.25">
      <c r="A17" s="2162" t="s">
        <v>1363</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63"/>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64"/>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71" t="s">
        <v>1378</v>
      </c>
      <c r="B20" s="2172"/>
      <c r="C20" s="2172"/>
      <c r="D20" s="2172"/>
      <c r="E20" s="2172"/>
      <c r="F20" s="2172"/>
      <c r="G20" s="2172"/>
      <c r="H20" s="2172"/>
      <c r="I20" s="2172"/>
      <c r="J20" s="2172"/>
      <c r="K20" s="2173"/>
      <c r="L20" s="323"/>
      <c r="M20" s="323"/>
      <c r="N20" s="323"/>
      <c r="O20" s="323"/>
      <c r="P20" s="323"/>
      <c r="Q20" s="323"/>
      <c r="R20" s="323"/>
      <c r="S20" s="323"/>
    </row>
    <row r="21" spans="1:21" ht="33" customHeight="1" x14ac:dyDescent="0.25">
      <c r="A21" s="879"/>
      <c r="B21" s="1376" t="s">
        <v>1227</v>
      </c>
      <c r="C21" s="2198" t="s">
        <v>1377</v>
      </c>
      <c r="D21" s="1377" t="s">
        <v>875</v>
      </c>
      <c r="E21" s="1377" t="s">
        <v>1376</v>
      </c>
      <c r="F21" s="1377"/>
      <c r="G21" s="2161" t="s">
        <v>38</v>
      </c>
      <c r="H21" s="2159" t="s">
        <v>714</v>
      </c>
      <c r="I21" s="2159" t="s">
        <v>713</v>
      </c>
      <c r="J21" s="2159" t="s">
        <v>712</v>
      </c>
      <c r="K21" s="2159" t="s">
        <v>272</v>
      </c>
      <c r="L21" s="323"/>
      <c r="M21" s="323"/>
      <c r="N21" s="323"/>
      <c r="O21" s="323"/>
      <c r="P21" s="323"/>
      <c r="Q21" s="323"/>
      <c r="R21" s="323"/>
      <c r="S21" s="323"/>
    </row>
    <row r="22" spans="1:21" ht="19.899999999999999" customHeight="1" x14ac:dyDescent="0.25">
      <c r="A22" s="1379" t="s">
        <v>36</v>
      </c>
      <c r="B22" s="206">
        <v>1</v>
      </c>
      <c r="C22" s="2198"/>
      <c r="D22" s="184">
        <f>ТрЗ_ОКиА!E89</f>
        <v>1</v>
      </c>
      <c r="E22" s="184">
        <f>ТрЗ_ОКиА!E99</f>
        <v>1</v>
      </c>
      <c r="F22" s="184">
        <v>0</v>
      </c>
      <c r="G22" s="2161"/>
      <c r="H22" s="2159"/>
      <c r="I22" s="2159"/>
      <c r="J22" s="2159"/>
      <c r="K22" s="2159"/>
      <c r="L22" s="323"/>
      <c r="M22" s="323"/>
      <c r="N22" s="323"/>
      <c r="O22" s="323"/>
      <c r="P22" s="323"/>
      <c r="Q22" s="323"/>
      <c r="R22" s="323"/>
      <c r="S22" s="323"/>
    </row>
    <row r="23" spans="1:21" ht="26.45" customHeight="1" x14ac:dyDescent="0.25">
      <c r="A23" s="2180" t="s">
        <v>1375</v>
      </c>
      <c r="B23" s="129" t="s">
        <v>32</v>
      </c>
      <c r="C23" s="814">
        <v>2</v>
      </c>
      <c r="D23" s="629">
        <f>$D$22*2</f>
        <v>2</v>
      </c>
      <c r="E23" s="629">
        <f>C23*$E$22</f>
        <v>2</v>
      </c>
      <c r="F23" s="658">
        <v>0</v>
      </c>
      <c r="G23" s="814">
        <f xml:space="preserve"> SUM(D23:F23)*$N$12</f>
        <v>4.8</v>
      </c>
      <c r="H23" s="813">
        <f>G23*20%</f>
        <v>0.96</v>
      </c>
      <c r="I23" s="813">
        <f>G23*40%</f>
        <v>1.92</v>
      </c>
      <c r="J23" s="813">
        <f>G23*40%</f>
        <v>1.92</v>
      </c>
      <c r="K23" s="2183" t="s">
        <v>1374</v>
      </c>
      <c r="L23" s="323"/>
      <c r="M23" s="323"/>
      <c r="N23" s="323"/>
      <c r="O23" s="323"/>
      <c r="P23" s="323"/>
      <c r="Q23" s="323"/>
      <c r="R23" s="323"/>
      <c r="S23" s="323"/>
    </row>
    <row r="24" spans="1:21" ht="21.6" customHeight="1" x14ac:dyDescent="0.25">
      <c r="A24" s="2181"/>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84"/>
      <c r="L24" s="323"/>
      <c r="M24" s="323"/>
      <c r="N24" s="323"/>
      <c r="O24" s="323"/>
      <c r="P24" s="323"/>
      <c r="Q24" s="323"/>
      <c r="R24" s="323"/>
      <c r="S24" s="323"/>
    </row>
    <row r="25" spans="1:21" ht="26.45" customHeight="1" x14ac:dyDescent="0.25">
      <c r="A25" s="2182"/>
      <c r="B25" s="129" t="s">
        <v>34</v>
      </c>
      <c r="C25" s="814">
        <v>4</v>
      </c>
      <c r="D25" s="629">
        <f>$D$22*2</f>
        <v>2</v>
      </c>
      <c r="E25" s="629">
        <f>C25*$E$22</f>
        <v>4</v>
      </c>
      <c r="F25" s="658">
        <v>0</v>
      </c>
      <c r="G25" s="814">
        <f xml:space="preserve"> SUM(D25:F25)*$N$12</f>
        <v>7.1999999999999993</v>
      </c>
      <c r="H25" s="813">
        <f>G25*20%</f>
        <v>1.44</v>
      </c>
      <c r="I25" s="813">
        <f>G25*40%</f>
        <v>2.88</v>
      </c>
      <c r="J25" s="813">
        <f>G25*40%</f>
        <v>2.88</v>
      </c>
      <c r="K25" s="2185"/>
      <c r="L25" s="323"/>
      <c r="M25" s="323"/>
      <c r="N25" s="323"/>
      <c r="O25" s="323"/>
      <c r="P25" s="323"/>
      <c r="Q25" s="323"/>
      <c r="R25" s="323"/>
      <c r="S25" s="323"/>
      <c r="T25" s="323"/>
    </row>
    <row r="26" spans="1:21" ht="26.45" customHeight="1" x14ac:dyDescent="0.25">
      <c r="A26" s="2171" t="s">
        <v>1364</v>
      </c>
      <c r="B26" s="2172"/>
      <c r="C26" s="2172"/>
      <c r="D26" s="2172"/>
      <c r="E26" s="2172"/>
      <c r="F26" s="2172"/>
      <c r="G26" s="2172"/>
      <c r="H26" s="2172"/>
      <c r="I26" s="2172"/>
      <c r="J26" s="2172"/>
      <c r="K26" s="2173"/>
      <c r="L26" s="323"/>
      <c r="M26" s="323"/>
      <c r="N26" s="323"/>
      <c r="O26" s="323"/>
      <c r="P26" s="323"/>
      <c r="Q26" s="323"/>
      <c r="R26" s="323"/>
      <c r="S26" s="323"/>
      <c r="T26" s="323"/>
    </row>
    <row r="27" spans="1:21" x14ac:dyDescent="0.25">
      <c r="A27" s="2162" t="s">
        <v>1373</v>
      </c>
      <c r="B27" s="129" t="s">
        <v>32</v>
      </c>
      <c r="C27" s="2186" t="s">
        <v>1365</v>
      </c>
      <c r="D27" s="2273"/>
      <c r="E27" s="2273"/>
      <c r="F27" s="2188"/>
      <c r="G27" s="814">
        <f>G11+G23+G17</f>
        <v>39.200000000000003</v>
      </c>
      <c r="H27" s="813">
        <f>G27*50%</f>
        <v>19.600000000000001</v>
      </c>
      <c r="I27" s="813">
        <f>G27*50%</f>
        <v>19.600000000000001</v>
      </c>
      <c r="J27" s="813">
        <v>0</v>
      </c>
      <c r="K27" s="1850" t="s">
        <v>1366</v>
      </c>
      <c r="L27" s="323"/>
      <c r="M27" s="323"/>
      <c r="N27" s="323"/>
      <c r="O27" s="323"/>
      <c r="P27" s="323"/>
      <c r="Q27" s="323"/>
      <c r="R27" s="323"/>
      <c r="S27" s="323"/>
      <c r="T27" s="323"/>
    </row>
    <row r="28" spans="1:21" x14ac:dyDescent="0.25">
      <c r="A28" s="2163"/>
      <c r="B28" s="129" t="s">
        <v>33</v>
      </c>
      <c r="C28" s="2186"/>
      <c r="D28" s="2273"/>
      <c r="E28" s="2273"/>
      <c r="F28" s="2188"/>
      <c r="G28" s="814">
        <f>G12+G24+G18</f>
        <v>50.4</v>
      </c>
      <c r="H28" s="813">
        <f>G28*50%</f>
        <v>25.2</v>
      </c>
      <c r="I28" s="813">
        <f>G28*40%</f>
        <v>20.16</v>
      </c>
      <c r="J28" s="813">
        <f>G28*10%</f>
        <v>5.04</v>
      </c>
      <c r="K28" s="1851"/>
      <c r="L28" s="323"/>
      <c r="M28" s="323"/>
      <c r="N28" s="323"/>
      <c r="O28" s="323"/>
      <c r="P28" s="323"/>
      <c r="Q28" s="323"/>
      <c r="R28" s="323"/>
      <c r="S28" s="323"/>
      <c r="T28" s="323"/>
      <c r="U28" s="323"/>
    </row>
    <row r="29" spans="1:21" x14ac:dyDescent="0.25">
      <c r="A29" s="2164"/>
      <c r="B29" s="129" t="s">
        <v>34</v>
      </c>
      <c r="C29" s="2186"/>
      <c r="D29" s="2273"/>
      <c r="E29" s="2273"/>
      <c r="F29" s="2188"/>
      <c r="G29" s="814">
        <f>G13+G25+G19</f>
        <v>61.599999999999994</v>
      </c>
      <c r="H29" s="813">
        <f>G29*20%</f>
        <v>12.32</v>
      </c>
      <c r="I29" s="813">
        <f>G29*40%</f>
        <v>24.64</v>
      </c>
      <c r="J29" s="813">
        <f>G29*40%</f>
        <v>24.64</v>
      </c>
      <c r="K29" s="1852"/>
      <c r="L29" s="323"/>
      <c r="M29" s="323"/>
      <c r="N29" s="323"/>
      <c r="O29" s="323"/>
      <c r="P29" s="323"/>
      <c r="Q29" s="323"/>
      <c r="R29" s="323"/>
      <c r="S29" s="323"/>
      <c r="T29" s="323"/>
      <c r="U29" s="323"/>
    </row>
    <row r="30" spans="1:21" ht="36.6" customHeight="1" x14ac:dyDescent="0.25">
      <c r="A30" s="2171" t="s">
        <v>1367</v>
      </c>
      <c r="B30" s="2172"/>
      <c r="C30" s="2172"/>
      <c r="D30" s="2172"/>
      <c r="E30" s="2172"/>
      <c r="F30" s="2172"/>
      <c r="G30" s="2172"/>
      <c r="H30" s="2172"/>
      <c r="I30" s="2172"/>
      <c r="J30" s="2172"/>
      <c r="K30" s="2173"/>
      <c r="M30" s="1383" t="s">
        <v>1368</v>
      </c>
      <c r="N30" s="1196"/>
      <c r="Q30" s="323"/>
      <c r="R30" s="323"/>
      <c r="S30" s="323"/>
      <c r="T30" s="323"/>
      <c r="U30" s="323"/>
    </row>
    <row r="31" spans="1:21" x14ac:dyDescent="0.25">
      <c r="A31" s="2174"/>
      <c r="B31" s="2175"/>
      <c r="C31" s="2175"/>
      <c r="D31" s="2175"/>
      <c r="E31" s="2175"/>
      <c r="F31" s="2176"/>
      <c r="G31" s="2161" t="s">
        <v>38</v>
      </c>
      <c r="H31" s="2159" t="s">
        <v>714</v>
      </c>
      <c r="I31" s="2159" t="s">
        <v>713</v>
      </c>
      <c r="J31" s="2159" t="s">
        <v>712</v>
      </c>
      <c r="K31" s="2159" t="s">
        <v>272</v>
      </c>
      <c r="M31" s="1381" t="s">
        <v>1372</v>
      </c>
      <c r="N31" s="1382">
        <v>1.5</v>
      </c>
    </row>
    <row r="32" spans="1:21" x14ac:dyDescent="0.25">
      <c r="A32" s="2177"/>
      <c r="B32" s="2178"/>
      <c r="C32" s="2178"/>
      <c r="D32" s="2178"/>
      <c r="E32" s="2178"/>
      <c r="F32" s="2179"/>
      <c r="G32" s="2161"/>
      <c r="H32" s="2159"/>
      <c r="I32" s="2159"/>
      <c r="J32" s="2159"/>
      <c r="K32" s="2159"/>
      <c r="M32" s="323"/>
      <c r="N32" s="323"/>
    </row>
    <row r="33" spans="1:14" ht="14.45" customHeight="1" x14ac:dyDescent="0.25">
      <c r="A33" s="2162" t="s">
        <v>1367</v>
      </c>
      <c r="B33" s="129" t="s">
        <v>32</v>
      </c>
      <c r="C33" s="2165" t="s">
        <v>1371</v>
      </c>
      <c r="D33" s="2166"/>
      <c r="E33" s="2166"/>
      <c r="F33" s="2167"/>
      <c r="G33" s="814">
        <f>(G11+G17+G23)*$N$31</f>
        <v>58.8</v>
      </c>
      <c r="H33" s="813">
        <f>G33*50%</f>
        <v>29.4</v>
      </c>
      <c r="I33" s="813">
        <f>G33*50%</f>
        <v>29.4</v>
      </c>
      <c r="J33" s="813">
        <v>0</v>
      </c>
      <c r="K33" s="1850" t="s">
        <v>1366</v>
      </c>
      <c r="M33" s="323"/>
      <c r="N33" s="323"/>
    </row>
    <row r="34" spans="1:14" ht="14.45" customHeight="1" x14ac:dyDescent="0.25">
      <c r="A34" s="2163"/>
      <c r="B34" s="129" t="s">
        <v>33</v>
      </c>
      <c r="C34" s="2168"/>
      <c r="D34" s="2272"/>
      <c r="E34" s="2272"/>
      <c r="F34" s="2170"/>
      <c r="G34" s="814">
        <f>(G12+G18+G24)*$N$31</f>
        <v>75.599999999999994</v>
      </c>
      <c r="H34" s="813">
        <f>G34*50%</f>
        <v>37.799999999999997</v>
      </c>
      <c r="I34" s="813">
        <f>G34*40%</f>
        <v>30.24</v>
      </c>
      <c r="J34" s="813">
        <f>G34*10%</f>
        <v>7.56</v>
      </c>
      <c r="K34" s="1851"/>
      <c r="M34" s="323"/>
      <c r="N34" s="323"/>
    </row>
    <row r="35" spans="1:14" ht="14.45" customHeight="1" x14ac:dyDescent="0.25">
      <c r="A35" s="2164"/>
      <c r="B35" s="129" t="s">
        <v>34</v>
      </c>
      <c r="C35" s="2168"/>
      <c r="D35" s="2272"/>
      <c r="E35" s="2272"/>
      <c r="F35" s="2170"/>
      <c r="G35" s="814">
        <f>(G13+G19+G25)*$N$31</f>
        <v>92.399999999999991</v>
      </c>
      <c r="H35" s="813">
        <f>G35*20%</f>
        <v>18.48</v>
      </c>
      <c r="I35" s="813">
        <f>G35*40%</f>
        <v>36.96</v>
      </c>
      <c r="J35" s="813">
        <f>G35*40%</f>
        <v>36.96</v>
      </c>
      <c r="K35" s="1852"/>
      <c r="M35" s="323"/>
      <c r="N35" s="323"/>
    </row>
  </sheetData>
  <mergeCells count="44">
    <mergeCell ref="A8:K8"/>
    <mergeCell ref="C9:C10"/>
    <mergeCell ref="G9:G10"/>
    <mergeCell ref="H9:H10"/>
    <mergeCell ref="A1:K1"/>
    <mergeCell ref="A2:A4"/>
    <mergeCell ref="K2:K4"/>
    <mergeCell ref="A5:A7"/>
    <mergeCell ref="K5:K7"/>
    <mergeCell ref="I9:I10"/>
    <mergeCell ref="J9:J10"/>
    <mergeCell ref="K9:K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99" t="s">
        <v>1381</v>
      </c>
      <c r="B1" s="2200"/>
      <c r="C1" s="2200"/>
      <c r="D1" s="2200"/>
      <c r="E1" s="2200"/>
      <c r="F1" s="2200"/>
      <c r="G1" s="2200"/>
      <c r="H1" s="2200"/>
      <c r="I1" s="2200"/>
      <c r="J1" s="2200"/>
      <c r="K1" s="2201"/>
    </row>
    <row r="2" spans="1:19" x14ac:dyDescent="0.25">
      <c r="A2" s="2154" t="s">
        <v>1352</v>
      </c>
      <c r="B2" s="129" t="s">
        <v>32</v>
      </c>
      <c r="C2" s="658">
        <v>4</v>
      </c>
      <c r="D2" s="658">
        <v>0</v>
      </c>
      <c r="E2" s="658">
        <v>0</v>
      </c>
      <c r="F2" s="658">
        <v>0</v>
      </c>
      <c r="G2" s="814">
        <f t="shared" ref="G2:G7" si="0" xml:space="preserve"> SUM(C2:F2)</f>
        <v>4</v>
      </c>
      <c r="H2" s="813">
        <f>G2*80%</f>
        <v>3.2</v>
      </c>
      <c r="I2" s="813">
        <f>G2*20%</f>
        <v>0.8</v>
      </c>
      <c r="J2" s="813">
        <f>G2*0</f>
        <v>0</v>
      </c>
      <c r="K2" s="2155"/>
      <c r="M2" s="323"/>
      <c r="N2" s="323"/>
    </row>
    <row r="3" spans="1:19" x14ac:dyDescent="0.25">
      <c r="A3" s="2154"/>
      <c r="B3" s="129" t="s">
        <v>33</v>
      </c>
      <c r="C3" s="813">
        <v>8</v>
      </c>
      <c r="D3" s="658">
        <v>0</v>
      </c>
      <c r="E3" s="658">
        <v>0</v>
      </c>
      <c r="F3" s="658">
        <v>0</v>
      </c>
      <c r="G3" s="814">
        <f t="shared" si="0"/>
        <v>8</v>
      </c>
      <c r="H3" s="813">
        <f>G3*60%</f>
        <v>4.8</v>
      </c>
      <c r="I3" s="813">
        <f>G3*30%</f>
        <v>2.4</v>
      </c>
      <c r="J3" s="813">
        <f>G3*10%</f>
        <v>0.8</v>
      </c>
      <c r="K3" s="2155"/>
      <c r="M3" s="323"/>
      <c r="N3" s="323"/>
    </row>
    <row r="4" spans="1:19" ht="14.45" customHeight="1" x14ac:dyDescent="0.25">
      <c r="A4" s="2154"/>
      <c r="B4" s="129" t="s">
        <v>34</v>
      </c>
      <c r="C4" s="813">
        <v>12</v>
      </c>
      <c r="D4" s="658">
        <v>0</v>
      </c>
      <c r="E4" s="658">
        <v>0</v>
      </c>
      <c r="F4" s="658">
        <v>0</v>
      </c>
      <c r="G4" s="814">
        <f t="shared" si="0"/>
        <v>12</v>
      </c>
      <c r="H4" s="813">
        <f>G4*50%</f>
        <v>6</v>
      </c>
      <c r="I4" s="813">
        <f>G4*30%</f>
        <v>3.5999999999999996</v>
      </c>
      <c r="J4" s="813">
        <f>G4*20%</f>
        <v>2.4000000000000004</v>
      </c>
      <c r="K4" s="2155"/>
      <c r="M4" s="323"/>
      <c r="N4" s="323"/>
    </row>
    <row r="5" spans="1:19" ht="14.45" customHeight="1" x14ac:dyDescent="0.25">
      <c r="A5" s="2162" t="s">
        <v>1353</v>
      </c>
      <c r="B5" s="129" t="s">
        <v>32</v>
      </c>
      <c r="C5" s="658">
        <v>4</v>
      </c>
      <c r="D5" s="658">
        <v>0</v>
      </c>
      <c r="E5" s="658">
        <v>0</v>
      </c>
      <c r="F5" s="658">
        <v>0</v>
      </c>
      <c r="G5" s="814">
        <f t="shared" si="0"/>
        <v>4</v>
      </c>
      <c r="H5" s="813">
        <f>G5*80%</f>
        <v>3.2</v>
      </c>
      <c r="I5" s="813">
        <f>G5*20%</f>
        <v>0.8</v>
      </c>
      <c r="J5" s="813">
        <v>0</v>
      </c>
      <c r="K5" s="2155"/>
      <c r="M5" s="323"/>
      <c r="N5" s="323"/>
    </row>
    <row r="6" spans="1:19" ht="14.45" customHeight="1" x14ac:dyDescent="0.25">
      <c r="A6" s="2163"/>
      <c r="B6" s="129" t="s">
        <v>33</v>
      </c>
      <c r="C6" s="813">
        <v>8</v>
      </c>
      <c r="D6" s="658">
        <v>0</v>
      </c>
      <c r="E6" s="658">
        <v>0</v>
      </c>
      <c r="F6" s="658">
        <v>0</v>
      </c>
      <c r="G6" s="814">
        <f t="shared" si="0"/>
        <v>8</v>
      </c>
      <c r="H6" s="813">
        <f>G6*60%</f>
        <v>4.8</v>
      </c>
      <c r="I6" s="813">
        <f>G6*30%</f>
        <v>2.4</v>
      </c>
      <c r="J6" s="813">
        <f>G6*10%</f>
        <v>0.8</v>
      </c>
      <c r="K6" s="2155"/>
      <c r="L6" s="323"/>
      <c r="M6" s="323"/>
      <c r="N6" s="323"/>
    </row>
    <row r="7" spans="1:19" ht="37.9" customHeight="1" x14ac:dyDescent="0.25">
      <c r="A7" s="2164"/>
      <c r="B7" s="129" t="s">
        <v>34</v>
      </c>
      <c r="C7" s="813">
        <v>12</v>
      </c>
      <c r="D7" s="658">
        <v>0</v>
      </c>
      <c r="E7" s="658">
        <v>0</v>
      </c>
      <c r="F7" s="658">
        <v>0</v>
      </c>
      <c r="G7" s="814">
        <f t="shared" si="0"/>
        <v>12</v>
      </c>
      <c r="H7" s="813">
        <f>G7*50%</f>
        <v>6</v>
      </c>
      <c r="I7" s="813">
        <f>G7*30%</f>
        <v>3.5999999999999996</v>
      </c>
      <c r="J7" s="813">
        <f>G7*20%</f>
        <v>2.4000000000000004</v>
      </c>
      <c r="K7" s="2155"/>
      <c r="L7" s="323"/>
      <c r="M7" s="323"/>
      <c r="N7" s="323"/>
    </row>
    <row r="8" spans="1:19" ht="34.15" customHeight="1" x14ac:dyDescent="0.25">
      <c r="A8" s="2171" t="s">
        <v>1382</v>
      </c>
      <c r="B8" s="2172"/>
      <c r="C8" s="2172"/>
      <c r="D8" s="2172"/>
      <c r="E8" s="2172"/>
      <c r="F8" s="2172"/>
      <c r="G8" s="2172"/>
      <c r="H8" s="2172"/>
      <c r="I8" s="2172"/>
      <c r="J8" s="2172"/>
      <c r="K8" s="2173"/>
      <c r="L8" s="323"/>
      <c r="M8" s="323"/>
      <c r="N8" s="323"/>
      <c r="R8" s="323"/>
      <c r="S8" s="323"/>
    </row>
    <row r="9" spans="1:19" ht="83.45" customHeight="1" x14ac:dyDescent="0.25">
      <c r="A9" s="879" t="s">
        <v>1355</v>
      </c>
      <c r="B9" s="1376" t="s">
        <v>1227</v>
      </c>
      <c r="C9" s="2198" t="s">
        <v>1356</v>
      </c>
      <c r="D9" s="1377" t="s">
        <v>875</v>
      </c>
      <c r="E9" s="1377" t="s">
        <v>1383</v>
      </c>
      <c r="F9" s="1378" t="s">
        <v>1358</v>
      </c>
      <c r="G9" s="2161" t="s">
        <v>38</v>
      </c>
      <c r="H9" s="2159" t="s">
        <v>714</v>
      </c>
      <c r="I9" s="2159" t="s">
        <v>713</v>
      </c>
      <c r="J9" s="2159" t="s">
        <v>712</v>
      </c>
      <c r="K9" s="2159" t="s">
        <v>272</v>
      </c>
      <c r="L9" s="323"/>
      <c r="M9" s="323"/>
      <c r="N9" s="323"/>
      <c r="R9" s="323"/>
      <c r="S9" s="323"/>
    </row>
    <row r="10" spans="1:19" ht="14.45" customHeight="1" x14ac:dyDescent="0.25">
      <c r="A10" s="1379" t="s">
        <v>36</v>
      </c>
      <c r="B10" s="206">
        <v>1</v>
      </c>
      <c r="C10" s="2198"/>
      <c r="D10" s="184">
        <f>ТрЗ_ОКиА!E238</f>
        <v>1</v>
      </c>
      <c r="E10" s="184">
        <f>ТрЗ_ОКиА!E239</f>
        <v>1</v>
      </c>
      <c r="F10" s="184">
        <f>IF(ТрЗ_ОКиА!E240="Да",1,0)</f>
        <v>1</v>
      </c>
      <c r="G10" s="2161"/>
      <c r="H10" s="2159"/>
      <c r="I10" s="2159"/>
      <c r="J10" s="2159"/>
      <c r="K10" s="2159"/>
      <c r="L10" s="323"/>
      <c r="M10" s="323"/>
      <c r="N10" s="323"/>
      <c r="R10" s="323"/>
      <c r="S10" s="323"/>
    </row>
    <row r="11" spans="1:19" ht="14.45" customHeight="1" x14ac:dyDescent="0.25">
      <c r="A11" s="2162" t="s">
        <v>1384</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1360</v>
      </c>
      <c r="N11" s="1196"/>
      <c r="R11" s="323"/>
      <c r="S11" s="323"/>
    </row>
    <row r="12" spans="1:19" ht="14.45" customHeight="1" x14ac:dyDescent="0.25">
      <c r="A12" s="2163"/>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1385</v>
      </c>
      <c r="N12" s="1382">
        <v>1.2</v>
      </c>
      <c r="R12" s="323"/>
      <c r="S12" s="323"/>
    </row>
    <row r="13" spans="1:19" ht="14.45" customHeight="1" x14ac:dyDescent="0.25">
      <c r="A13" s="2164"/>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71" t="s">
        <v>1361</v>
      </c>
      <c r="B14" s="2172"/>
      <c r="C14" s="2172"/>
      <c r="D14" s="2172"/>
      <c r="E14" s="2172"/>
      <c r="F14" s="2172"/>
      <c r="G14" s="2172"/>
      <c r="H14" s="2172"/>
      <c r="I14" s="2172"/>
      <c r="J14" s="2172"/>
      <c r="K14" s="2173"/>
      <c r="L14" s="323"/>
      <c r="M14" s="323"/>
      <c r="N14" s="323"/>
      <c r="R14" s="323"/>
      <c r="S14" s="323"/>
    </row>
    <row r="15" spans="1:19" ht="31.5" x14ac:dyDescent="0.25">
      <c r="A15" s="879"/>
      <c r="B15" s="1376" t="s">
        <v>1227</v>
      </c>
      <c r="C15" s="2198" t="s">
        <v>1362</v>
      </c>
      <c r="D15" s="1377" t="s">
        <v>875</v>
      </c>
      <c r="E15" s="1377"/>
      <c r="F15" s="1377"/>
      <c r="G15" s="2161" t="s">
        <v>38</v>
      </c>
      <c r="H15" s="2159" t="s">
        <v>714</v>
      </c>
      <c r="I15" s="2159" t="s">
        <v>713</v>
      </c>
      <c r="J15" s="2159" t="s">
        <v>712</v>
      </c>
      <c r="K15" s="2159" t="s">
        <v>272</v>
      </c>
      <c r="L15" s="323"/>
      <c r="M15" s="323"/>
      <c r="N15" s="323"/>
      <c r="R15" s="323"/>
      <c r="S15" s="323"/>
    </row>
    <row r="16" spans="1:19" ht="14.45" customHeight="1" x14ac:dyDescent="0.25">
      <c r="A16" s="1379" t="s">
        <v>36</v>
      </c>
      <c r="B16" s="206">
        <v>1</v>
      </c>
      <c r="C16" s="2198"/>
      <c r="D16" s="184">
        <f>ТрЗ_ОКиА!E238</f>
        <v>1</v>
      </c>
      <c r="E16" s="184">
        <v>0</v>
      </c>
      <c r="F16" s="184">
        <v>0</v>
      </c>
      <c r="G16" s="2161"/>
      <c r="H16" s="2159"/>
      <c r="I16" s="2159"/>
      <c r="J16" s="2159"/>
      <c r="K16" s="2159"/>
      <c r="L16" s="323"/>
      <c r="M16" s="323"/>
      <c r="N16" s="323"/>
      <c r="R16" s="323"/>
      <c r="S16" s="323"/>
    </row>
    <row r="17" spans="1:19" ht="14.45" customHeight="1" x14ac:dyDescent="0.25">
      <c r="A17" s="2162" t="s">
        <v>1363</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63"/>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64"/>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71" t="s">
        <v>1386</v>
      </c>
      <c r="B20" s="2172"/>
      <c r="C20" s="2172"/>
      <c r="D20" s="2172"/>
      <c r="E20" s="2172"/>
      <c r="F20" s="2172"/>
      <c r="G20" s="2172"/>
      <c r="H20" s="2172"/>
      <c r="I20" s="2172"/>
      <c r="J20" s="2172"/>
      <c r="K20" s="2173"/>
      <c r="L20" s="323"/>
      <c r="M20" s="323"/>
      <c r="N20" s="323"/>
      <c r="R20" s="323"/>
      <c r="S20" s="323"/>
    </row>
    <row r="21" spans="1:19" ht="47.25" x14ac:dyDescent="0.25">
      <c r="A21" s="879"/>
      <c r="B21" s="1376" t="s">
        <v>1227</v>
      </c>
      <c r="C21" s="2198" t="s">
        <v>1377</v>
      </c>
      <c r="D21" s="1377" t="s">
        <v>875</v>
      </c>
      <c r="E21" s="1377" t="s">
        <v>1376</v>
      </c>
      <c r="F21" s="1377"/>
      <c r="G21" s="2161" t="s">
        <v>38</v>
      </c>
      <c r="H21" s="2159" t="s">
        <v>714</v>
      </c>
      <c r="I21" s="2159" t="s">
        <v>713</v>
      </c>
      <c r="J21" s="2159" t="s">
        <v>712</v>
      </c>
      <c r="K21" s="2159" t="s">
        <v>272</v>
      </c>
      <c r="L21" s="323"/>
      <c r="M21" s="323"/>
      <c r="N21" s="323"/>
      <c r="R21" s="323"/>
      <c r="S21" s="323"/>
    </row>
    <row r="22" spans="1:19" ht="15.75" x14ac:dyDescent="0.25">
      <c r="A22" s="1379" t="s">
        <v>36</v>
      </c>
      <c r="B22" s="206">
        <v>1</v>
      </c>
      <c r="C22" s="2198"/>
      <c r="D22" s="184">
        <f>ТрЗ_ОКиА!E238</f>
        <v>1</v>
      </c>
      <c r="E22" s="184">
        <f>ТрЗ_ОКиА!E248</f>
        <v>1</v>
      </c>
      <c r="F22" s="184">
        <v>0</v>
      </c>
      <c r="G22" s="2161"/>
      <c r="H22" s="2159"/>
      <c r="I22" s="2159"/>
      <c r="J22" s="2159"/>
      <c r="K22" s="2159"/>
      <c r="L22" s="323"/>
      <c r="M22" s="323"/>
      <c r="N22" s="323"/>
      <c r="R22" s="323"/>
      <c r="S22" s="323"/>
    </row>
    <row r="23" spans="1:19" ht="14.45" customHeight="1" x14ac:dyDescent="0.25">
      <c r="A23" s="2274" t="s">
        <v>1387</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77" t="s">
        <v>1374</v>
      </c>
      <c r="L23" s="323"/>
      <c r="M23" s="323"/>
      <c r="N23" s="323"/>
      <c r="R23" s="323"/>
      <c r="S23" s="323"/>
    </row>
    <row r="24" spans="1:19" ht="14.45" customHeight="1" x14ac:dyDescent="0.25">
      <c r="A24" s="2275"/>
      <c r="B24" s="129" t="s">
        <v>33</v>
      </c>
      <c r="C24" s="814">
        <v>1</v>
      </c>
      <c r="D24" s="629">
        <f>$D$22*2</f>
        <v>2</v>
      </c>
      <c r="E24" s="629">
        <f>C24*$E$22</f>
        <v>1</v>
      </c>
      <c r="F24" s="658">
        <v>0</v>
      </c>
      <c r="G24" s="814">
        <f xml:space="preserve"> SUM(D24:F24)*$N$12</f>
        <v>3.5999999999999996</v>
      </c>
      <c r="H24" s="813">
        <f>G24*20%</f>
        <v>0.72</v>
      </c>
      <c r="I24" s="813">
        <f>G24*40%</f>
        <v>1.44</v>
      </c>
      <c r="J24" s="813">
        <f>G24*40%</f>
        <v>1.44</v>
      </c>
      <c r="K24" s="2278"/>
      <c r="L24" s="323"/>
      <c r="M24" s="323"/>
      <c r="N24" s="323"/>
      <c r="R24" s="323"/>
      <c r="S24" s="323"/>
    </row>
    <row r="25" spans="1:19" ht="14.45" customHeight="1" x14ac:dyDescent="0.25">
      <c r="A25" s="2276"/>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79"/>
      <c r="L25" s="323"/>
      <c r="M25" s="323"/>
      <c r="N25" s="323"/>
      <c r="R25" s="323"/>
      <c r="S25" s="323"/>
    </row>
    <row r="26" spans="1:19" ht="14.45" customHeight="1" x14ac:dyDescent="0.25">
      <c r="A26" s="2171" t="s">
        <v>1364</v>
      </c>
      <c r="B26" s="2172"/>
      <c r="C26" s="2172"/>
      <c r="D26" s="2172"/>
      <c r="E26" s="2172"/>
      <c r="F26" s="2172"/>
      <c r="G26" s="2172"/>
      <c r="H26" s="2172"/>
      <c r="I26" s="2172"/>
      <c r="J26" s="2172"/>
      <c r="K26" s="2173"/>
      <c r="L26" s="323"/>
      <c r="M26" s="323"/>
      <c r="N26" s="323"/>
      <c r="R26" s="323"/>
      <c r="S26" s="323"/>
    </row>
    <row r="27" spans="1:19" ht="14.45" customHeight="1" x14ac:dyDescent="0.25">
      <c r="A27" s="2162" t="s">
        <v>1364</v>
      </c>
      <c r="B27" s="129" t="s">
        <v>32</v>
      </c>
      <c r="C27" s="2186" t="s">
        <v>1365</v>
      </c>
      <c r="D27" s="2273"/>
      <c r="E27" s="2273"/>
      <c r="F27" s="2188"/>
      <c r="G27" s="814">
        <f>G11+G23+G17</f>
        <v>15.8</v>
      </c>
      <c r="H27" s="813">
        <f>G27*50%</f>
        <v>7.9</v>
      </c>
      <c r="I27" s="813">
        <f>G27*50%</f>
        <v>7.9</v>
      </c>
      <c r="J27" s="813">
        <v>0</v>
      </c>
      <c r="K27" s="1850" t="s">
        <v>1366</v>
      </c>
      <c r="L27" s="323"/>
      <c r="M27" s="323"/>
      <c r="N27" s="323"/>
      <c r="R27" s="323"/>
      <c r="S27" s="323"/>
    </row>
    <row r="28" spans="1:19" ht="14.45" customHeight="1" x14ac:dyDescent="0.25">
      <c r="A28" s="2163"/>
      <c r="B28" s="129" t="s">
        <v>33</v>
      </c>
      <c r="C28" s="2186"/>
      <c r="D28" s="2273"/>
      <c r="E28" s="2273"/>
      <c r="F28" s="2188"/>
      <c r="G28" s="814">
        <f>G12+G24+G18</f>
        <v>21</v>
      </c>
      <c r="H28" s="813">
        <f>G28*50%</f>
        <v>10.5</v>
      </c>
      <c r="I28" s="813">
        <f>G28*40%</f>
        <v>8.4</v>
      </c>
      <c r="J28" s="813">
        <f>G28*10%</f>
        <v>2.1</v>
      </c>
      <c r="K28" s="1851"/>
      <c r="L28" s="323"/>
      <c r="M28" s="323"/>
      <c r="N28" s="323"/>
      <c r="R28" s="323"/>
      <c r="S28" s="323"/>
    </row>
    <row r="29" spans="1:19" ht="46.15" customHeight="1" x14ac:dyDescent="0.25">
      <c r="A29" s="2164"/>
      <c r="B29" s="129" t="s">
        <v>34</v>
      </c>
      <c r="C29" s="2186"/>
      <c r="D29" s="2273"/>
      <c r="E29" s="2273"/>
      <c r="F29" s="2188"/>
      <c r="G29" s="814">
        <f>G13+G25+G19</f>
        <v>26.2</v>
      </c>
      <c r="H29" s="813">
        <f>G29*20%</f>
        <v>5.24</v>
      </c>
      <c r="I29" s="813">
        <f>G29*40%</f>
        <v>10.48</v>
      </c>
      <c r="J29" s="813">
        <f>G29*40%</f>
        <v>10.48</v>
      </c>
      <c r="K29" s="1852"/>
      <c r="L29" s="323"/>
      <c r="M29" s="323"/>
      <c r="N29" s="323"/>
      <c r="R29" s="323"/>
      <c r="S29" s="323"/>
    </row>
    <row r="30" spans="1:19" ht="14.45" customHeight="1" x14ac:dyDescent="0.25">
      <c r="A30" s="2171" t="s">
        <v>1367</v>
      </c>
      <c r="B30" s="2172"/>
      <c r="C30" s="2172"/>
      <c r="D30" s="2172"/>
      <c r="E30" s="2172"/>
      <c r="F30" s="2172"/>
      <c r="G30" s="2172"/>
      <c r="H30" s="2172"/>
      <c r="I30" s="2172"/>
      <c r="J30" s="2172"/>
      <c r="K30" s="2173"/>
      <c r="M30" s="1383" t="s">
        <v>1368</v>
      </c>
      <c r="N30" s="1196"/>
      <c r="R30" s="323"/>
      <c r="S30" s="323"/>
    </row>
    <row r="31" spans="1:19" ht="14.45" customHeight="1" x14ac:dyDescent="0.25">
      <c r="A31" s="2174"/>
      <c r="B31" s="2175"/>
      <c r="C31" s="2175"/>
      <c r="D31" s="2175"/>
      <c r="E31" s="2175"/>
      <c r="F31" s="2176"/>
      <c r="G31" s="2161" t="s">
        <v>38</v>
      </c>
      <c r="H31" s="2159" t="s">
        <v>714</v>
      </c>
      <c r="I31" s="2159" t="s">
        <v>713</v>
      </c>
      <c r="J31" s="2159" t="s">
        <v>712</v>
      </c>
      <c r="K31" s="2159" t="s">
        <v>272</v>
      </c>
      <c r="M31" s="1381" t="s">
        <v>1388</v>
      </c>
      <c r="N31" s="1382">
        <v>1.5</v>
      </c>
    </row>
    <row r="32" spans="1:19" ht="14.45" customHeight="1" x14ac:dyDescent="0.25">
      <c r="A32" s="2177"/>
      <c r="B32" s="2178"/>
      <c r="C32" s="2178"/>
      <c r="D32" s="2178"/>
      <c r="E32" s="2178"/>
      <c r="F32" s="2179"/>
      <c r="G32" s="2161"/>
      <c r="H32" s="2159"/>
      <c r="I32" s="2159"/>
      <c r="J32" s="2159"/>
      <c r="K32" s="2159"/>
      <c r="M32" s="323"/>
      <c r="N32" s="323"/>
    </row>
    <row r="33" spans="1:14" ht="14.45" customHeight="1" x14ac:dyDescent="0.25">
      <c r="A33" s="2162" t="s">
        <v>1367</v>
      </c>
      <c r="B33" s="129" t="s">
        <v>32</v>
      </c>
      <c r="C33" s="2165" t="s">
        <v>1389</v>
      </c>
      <c r="D33" s="2166"/>
      <c r="E33" s="2166"/>
      <c r="F33" s="2167"/>
      <c r="G33" s="814">
        <f>(G11+G17+G23)*$N$31</f>
        <v>23.700000000000003</v>
      </c>
      <c r="H33" s="813">
        <f>G33*50%</f>
        <v>11.850000000000001</v>
      </c>
      <c r="I33" s="813">
        <f>G33*50%</f>
        <v>11.850000000000001</v>
      </c>
      <c r="J33" s="813">
        <v>0</v>
      </c>
      <c r="K33" s="1850" t="s">
        <v>1366</v>
      </c>
      <c r="M33" s="323"/>
      <c r="N33" s="323"/>
    </row>
    <row r="34" spans="1:14" ht="14.45" customHeight="1" x14ac:dyDescent="0.25">
      <c r="A34" s="2163"/>
      <c r="B34" s="129" t="s">
        <v>33</v>
      </c>
      <c r="C34" s="2168"/>
      <c r="D34" s="2272"/>
      <c r="E34" s="2272"/>
      <c r="F34" s="2170"/>
      <c r="G34" s="814">
        <f>(G12+G18+G24)*$N$31</f>
        <v>31.5</v>
      </c>
      <c r="H34" s="813">
        <f>G34*50%</f>
        <v>15.75</v>
      </c>
      <c r="I34" s="813">
        <f>G34*40%</f>
        <v>12.600000000000001</v>
      </c>
      <c r="J34" s="813">
        <f>G34*10%</f>
        <v>3.1500000000000004</v>
      </c>
      <c r="K34" s="1851"/>
      <c r="M34" s="323"/>
      <c r="N34" s="323"/>
    </row>
    <row r="35" spans="1:14" ht="47.45" customHeight="1" x14ac:dyDescent="0.25">
      <c r="A35" s="2164"/>
      <c r="B35" s="129" t="s">
        <v>34</v>
      </c>
      <c r="C35" s="2168"/>
      <c r="D35" s="2272"/>
      <c r="E35" s="2272"/>
      <c r="F35" s="2170"/>
      <c r="G35" s="814">
        <f>(G13+G19+G25)*$N$31</f>
        <v>39.299999999999997</v>
      </c>
      <c r="H35" s="813">
        <f>G35*20%</f>
        <v>7.8599999999999994</v>
      </c>
      <c r="I35" s="813">
        <f>G35*40%</f>
        <v>15.719999999999999</v>
      </c>
      <c r="J35" s="813">
        <f>G35*40%</f>
        <v>15.719999999999999</v>
      </c>
      <c r="K35" s="1852"/>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K9:K10"/>
    <mergeCell ref="A1:K1"/>
    <mergeCell ref="A2:A4"/>
    <mergeCell ref="K2:K4"/>
    <mergeCell ref="A5:A7"/>
    <mergeCell ref="K5:K7"/>
    <mergeCell ref="A8:K8"/>
    <mergeCell ref="C9:C10"/>
    <mergeCell ref="G9:G10"/>
    <mergeCell ref="H9:H10"/>
    <mergeCell ref="I9:I10"/>
    <mergeCell ref="J9:J10"/>
    <mergeCell ref="A11:A13"/>
    <mergeCell ref="A14:K14"/>
    <mergeCell ref="C15:C16"/>
    <mergeCell ref="G15:G16"/>
    <mergeCell ref="H15:H16"/>
    <mergeCell ref="I15:I16"/>
    <mergeCell ref="J15:J16"/>
    <mergeCell ref="K15:K16"/>
    <mergeCell ref="A17:A19"/>
    <mergeCell ref="A20:K20"/>
    <mergeCell ref="C21:C22"/>
    <mergeCell ref="G21:G22"/>
    <mergeCell ref="H21:H22"/>
    <mergeCell ref="I21:I22"/>
    <mergeCell ref="J21:J22"/>
    <mergeCell ref="K21:K22"/>
    <mergeCell ref="A23:A25"/>
    <mergeCell ref="K23:K25"/>
    <mergeCell ref="A26:K26"/>
    <mergeCell ref="A27:A29"/>
    <mergeCell ref="C27:F29"/>
    <mergeCell ref="K27:K29"/>
    <mergeCell ref="A33:A35"/>
    <mergeCell ref="C33:F35"/>
    <mergeCell ref="K33:K35"/>
    <mergeCell ref="A30:K30"/>
    <mergeCell ref="A31:F32"/>
    <mergeCell ref="G31:G32"/>
    <mergeCell ref="H31:H32"/>
    <mergeCell ref="I31:I32"/>
    <mergeCell ref="J31:J32"/>
    <mergeCell ref="K31:K32"/>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1408</v>
      </c>
      <c r="B1" s="1376" t="s">
        <v>1227</v>
      </c>
      <c r="C1" s="2160" t="s">
        <v>1228</v>
      </c>
      <c r="D1" s="1377" t="s">
        <v>1281</v>
      </c>
      <c r="E1" s="1377" t="s">
        <v>1319</v>
      </c>
      <c r="F1" s="1377" t="s">
        <v>1409</v>
      </c>
      <c r="G1" s="2161" t="s">
        <v>38</v>
      </c>
      <c r="H1" s="2159" t="s">
        <v>714</v>
      </c>
      <c r="I1" s="2159" t="s">
        <v>713</v>
      </c>
      <c r="J1" s="2159" t="s">
        <v>712</v>
      </c>
      <c r="K1" s="2159" t="s">
        <v>272</v>
      </c>
    </row>
    <row r="2" spans="1:11" ht="15.75" x14ac:dyDescent="0.25">
      <c r="A2" s="1379" t="s">
        <v>36</v>
      </c>
      <c r="B2" s="206">
        <v>2</v>
      </c>
      <c r="C2" s="2160"/>
      <c r="D2" s="184">
        <f>ТрЗ_ОКиА!E107</f>
        <v>10</v>
      </c>
      <c r="E2" s="184">
        <f>ТрЗ_ОКиА!E185</f>
        <v>1</v>
      </c>
      <c r="F2" s="184">
        <f>ТрЗ_ОКиА!E276</f>
        <v>1</v>
      </c>
      <c r="G2" s="2161"/>
      <c r="H2" s="2159"/>
      <c r="I2" s="2159"/>
      <c r="J2" s="2159"/>
      <c r="K2" s="2159"/>
    </row>
    <row r="3" spans="1:11" ht="15.75" x14ac:dyDescent="0.25">
      <c r="A3" s="1384" t="s">
        <v>1410</v>
      </c>
      <c r="B3" s="1384"/>
      <c r="C3" s="1384"/>
      <c r="D3" s="1384"/>
      <c r="E3" s="1384"/>
      <c r="F3" s="1384"/>
      <c r="G3" s="1384"/>
      <c r="H3" s="1385"/>
      <c r="I3" s="1385"/>
      <c r="J3" s="1385"/>
      <c r="K3" s="1385"/>
    </row>
    <row r="4" spans="1:11" x14ac:dyDescent="0.25">
      <c r="A4" s="2154" t="s">
        <v>1411</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50" t="s">
        <v>1412</v>
      </c>
    </row>
    <row r="5" spans="1:11" x14ac:dyDescent="0.25">
      <c r="A5" s="2154"/>
      <c r="B5" s="129" t="s">
        <v>33</v>
      </c>
      <c r="C5" s="813">
        <v>1.5</v>
      </c>
      <c r="D5" s="629">
        <f>ROUND(30/60*$D$2,2)</f>
        <v>5</v>
      </c>
      <c r="E5" s="764">
        <v>0</v>
      </c>
      <c r="F5" s="764">
        <v>0</v>
      </c>
      <c r="G5" s="814">
        <f t="shared" si="0"/>
        <v>6.5</v>
      </c>
      <c r="H5" s="813">
        <f>G5*30%</f>
        <v>1.95</v>
      </c>
      <c r="I5" s="813">
        <f>G5*40%</f>
        <v>2.6</v>
      </c>
      <c r="J5" s="813">
        <f>G5*30%</f>
        <v>1.95</v>
      </c>
      <c r="K5" s="1851"/>
    </row>
    <row r="6" spans="1:11" x14ac:dyDescent="0.25">
      <c r="A6" s="2154"/>
      <c r="B6" s="129" t="s">
        <v>34</v>
      </c>
      <c r="C6" s="813">
        <v>2</v>
      </c>
      <c r="D6" s="629">
        <f>ROUND(40/60*$D$2,2)</f>
        <v>6.67</v>
      </c>
      <c r="E6" s="764">
        <v>0</v>
      </c>
      <c r="F6" s="764">
        <v>0</v>
      </c>
      <c r="G6" s="814">
        <f t="shared" si="0"/>
        <v>8.67</v>
      </c>
      <c r="H6" s="813">
        <f>G6*10%</f>
        <v>0.86699999999999999</v>
      </c>
      <c r="I6" s="813">
        <f>G6*40%</f>
        <v>3.468</v>
      </c>
      <c r="J6" s="813">
        <f>G6*50%</f>
        <v>4.335</v>
      </c>
      <c r="K6" s="1852"/>
    </row>
    <row r="7" spans="1:11" x14ac:dyDescent="0.25">
      <c r="A7" s="1970" t="s">
        <v>1413</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70"/>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70"/>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1414</v>
      </c>
      <c r="B10" s="1384"/>
      <c r="C10" s="1384"/>
      <c r="D10" s="1384"/>
      <c r="E10" s="1384"/>
      <c r="F10" s="1384"/>
      <c r="G10" s="1384"/>
      <c r="H10" s="1385"/>
      <c r="I10" s="1385"/>
      <c r="J10" s="1385"/>
      <c r="K10" s="1385"/>
    </row>
    <row r="11" spans="1:11" x14ac:dyDescent="0.25">
      <c r="A11" s="2154" t="s">
        <v>1415</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54"/>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54"/>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70" t="s">
        <v>1416</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70"/>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70"/>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1417</v>
      </c>
      <c r="B17" s="1384"/>
      <c r="C17" s="1384"/>
      <c r="D17" s="1384"/>
      <c r="E17" s="1384"/>
      <c r="F17" s="1384"/>
      <c r="G17" s="1384"/>
      <c r="H17" s="1385"/>
      <c r="I17" s="1385"/>
      <c r="J17" s="1385"/>
      <c r="K17" s="1385"/>
    </row>
    <row r="18" spans="1:11" x14ac:dyDescent="0.25">
      <c r="A18" s="2154" t="s">
        <v>1418</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54"/>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54"/>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70" t="s">
        <v>1419</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70"/>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70"/>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K1:K2"/>
    <mergeCell ref="C1:C2"/>
    <mergeCell ref="G1:G2"/>
    <mergeCell ref="H1:H2"/>
    <mergeCell ref="I1:I2"/>
    <mergeCell ref="J1:J2"/>
    <mergeCell ref="A21:A23"/>
    <mergeCell ref="A4:A6"/>
    <mergeCell ref="K4:K6"/>
    <mergeCell ref="A7:A9"/>
    <mergeCell ref="A11:A13"/>
    <mergeCell ref="A14:A16"/>
    <mergeCell ref="A18:A20"/>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1390</v>
      </c>
      <c r="B1" s="1376" t="s">
        <v>1227</v>
      </c>
      <c r="C1" s="2160" t="s">
        <v>1228</v>
      </c>
      <c r="D1" s="1377" t="s">
        <v>1420</v>
      </c>
      <c r="E1" s="1377" t="s">
        <v>1421</v>
      </c>
      <c r="F1" s="1386" t="s">
        <v>1422</v>
      </c>
      <c r="G1" s="2161" t="s">
        <v>38</v>
      </c>
      <c r="H1" s="2159" t="s">
        <v>714</v>
      </c>
      <c r="I1" s="2159" t="s">
        <v>713</v>
      </c>
      <c r="J1" s="2159" t="s">
        <v>712</v>
      </c>
      <c r="K1" s="2159" t="s">
        <v>272</v>
      </c>
    </row>
    <row r="2" spans="1:11" ht="15.75" x14ac:dyDescent="0.25">
      <c r="A2" s="1379" t="s">
        <v>36</v>
      </c>
      <c r="B2" s="206">
        <v>2</v>
      </c>
      <c r="C2" s="2160"/>
      <c r="D2" s="184">
        <f>ТрЗ_ОКиА!E38</f>
        <v>1</v>
      </c>
      <c r="E2" s="184">
        <f>ТрЗ_ОКиА!E39</f>
        <v>1</v>
      </c>
      <c r="F2" s="184">
        <f>IF(ТрЗ_ОКиА!E40="Да",1,0)</f>
        <v>1</v>
      </c>
      <c r="G2" s="2161"/>
      <c r="H2" s="2159"/>
      <c r="I2" s="2159"/>
      <c r="J2" s="2159"/>
      <c r="K2" s="2159"/>
    </row>
    <row r="3" spans="1:11" ht="15.75" x14ac:dyDescent="0.25">
      <c r="A3" s="1387" t="s">
        <v>1423</v>
      </c>
      <c r="B3" s="1387"/>
      <c r="C3" s="1387"/>
      <c r="D3" s="1387"/>
      <c r="E3" s="1387"/>
      <c r="F3" s="1387"/>
      <c r="G3" s="1387"/>
      <c r="H3" s="1385"/>
      <c r="I3" s="1385"/>
      <c r="J3" s="1385"/>
      <c r="K3" s="1385"/>
    </row>
    <row r="4" spans="1:11" x14ac:dyDescent="0.25">
      <c r="A4" s="1970" t="s">
        <v>1424</v>
      </c>
      <c r="B4" s="129" t="s">
        <v>32</v>
      </c>
      <c r="C4" s="658">
        <v>0</v>
      </c>
      <c r="D4" s="629">
        <f>6*($D$2-$E$2)</f>
        <v>0</v>
      </c>
      <c r="E4" s="630">
        <f>32*$E$2</f>
        <v>32</v>
      </c>
      <c r="F4" s="629">
        <f>IF($F$2=1,-4,0)</f>
        <v>-4</v>
      </c>
      <c r="G4" s="814">
        <f xml:space="preserve"> SUM(C4:F4)</f>
        <v>28</v>
      </c>
      <c r="H4" s="813">
        <f>G4*50%</f>
        <v>14</v>
      </c>
      <c r="I4" s="813">
        <f>G4*30%</f>
        <v>8.4</v>
      </c>
      <c r="J4" s="813">
        <f>G4*20%</f>
        <v>5.6000000000000005</v>
      </c>
      <c r="K4" s="2280" t="s">
        <v>1425</v>
      </c>
    </row>
    <row r="5" spans="1:11" x14ac:dyDescent="0.25">
      <c r="A5" s="1970"/>
      <c r="B5" s="129" t="s">
        <v>33</v>
      </c>
      <c r="C5" s="813">
        <v>0</v>
      </c>
      <c r="D5" s="629">
        <f>8*($D$2-$E$2)</f>
        <v>0</v>
      </c>
      <c r="E5" s="630">
        <f>40*$E$2</f>
        <v>40</v>
      </c>
      <c r="F5" s="629">
        <f>IF($F$2=1,-4,0)</f>
        <v>-4</v>
      </c>
      <c r="G5" s="814">
        <f xml:space="preserve"> SUM(C5:F5)</f>
        <v>36</v>
      </c>
      <c r="H5" s="813">
        <f>G5*30%</f>
        <v>10.799999999999999</v>
      </c>
      <c r="I5" s="813">
        <f>G5*40%</f>
        <v>14.4</v>
      </c>
      <c r="J5" s="813">
        <f>G5*30%</f>
        <v>10.799999999999999</v>
      </c>
      <c r="K5" s="2281"/>
    </row>
    <row r="6" spans="1:11" x14ac:dyDescent="0.25">
      <c r="A6" s="1970"/>
      <c r="B6" s="129" t="s">
        <v>34</v>
      </c>
      <c r="C6" s="813">
        <v>0</v>
      </c>
      <c r="D6" s="629">
        <f>12*($D$2-$E$2)</f>
        <v>0</v>
      </c>
      <c r="E6" s="630">
        <f>48*$E$2</f>
        <v>48</v>
      </c>
      <c r="F6" s="629">
        <f>IF($F$2=1,-6,0)</f>
        <v>-6</v>
      </c>
      <c r="G6" s="814">
        <f xml:space="preserve"> SUM(C6:F6)</f>
        <v>42</v>
      </c>
      <c r="H6" s="813">
        <f>G6*20%</f>
        <v>8.4</v>
      </c>
      <c r="I6" s="813">
        <f>G6*20%</f>
        <v>8.4</v>
      </c>
      <c r="J6" s="813">
        <f>G6*60%</f>
        <v>25.2</v>
      </c>
      <c r="K6" s="228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1390</v>
      </c>
      <c r="B1" s="1376" t="s">
        <v>1227</v>
      </c>
      <c r="C1" s="2160" t="s">
        <v>1228</v>
      </c>
      <c r="D1" s="1377" t="s">
        <v>1420</v>
      </c>
      <c r="E1" s="1377" t="s">
        <v>1421</v>
      </c>
      <c r="F1" s="1386" t="s">
        <v>1426</v>
      </c>
      <c r="G1" s="2161" t="s">
        <v>38</v>
      </c>
      <c r="H1" s="2159" t="s">
        <v>714</v>
      </c>
      <c r="I1" s="2159" t="s">
        <v>713</v>
      </c>
      <c r="J1" s="2159" t="s">
        <v>712</v>
      </c>
      <c r="K1" s="2159" t="s">
        <v>272</v>
      </c>
    </row>
    <row r="2" spans="1:11" ht="15.75" x14ac:dyDescent="0.25">
      <c r="A2" s="1379" t="s">
        <v>36</v>
      </c>
      <c r="B2" s="206">
        <v>2</v>
      </c>
      <c r="C2" s="2160"/>
      <c r="D2" s="184">
        <f>ТрЗ_ОКиА!E104</f>
        <v>1</v>
      </c>
      <c r="E2" s="184">
        <f>ТрЗ_ОКиА!E105</f>
        <v>1</v>
      </c>
      <c r="F2" s="184"/>
      <c r="G2" s="2161"/>
      <c r="H2" s="2159"/>
      <c r="I2" s="2159"/>
      <c r="J2" s="2159"/>
      <c r="K2" s="2159"/>
    </row>
    <row r="3" spans="1:11" ht="15.75" x14ac:dyDescent="0.25">
      <c r="A3" s="1387" t="s">
        <v>1423</v>
      </c>
      <c r="B3" s="1387"/>
      <c r="C3" s="1387"/>
      <c r="D3" s="1387"/>
      <c r="E3" s="1387"/>
      <c r="F3" s="1387"/>
      <c r="G3" s="1387"/>
      <c r="H3" s="1385"/>
      <c r="I3" s="1385"/>
      <c r="J3" s="1385"/>
      <c r="K3" s="1385"/>
    </row>
    <row r="4" spans="1:11" x14ac:dyDescent="0.25">
      <c r="A4" s="1970" t="s">
        <v>1427</v>
      </c>
      <c r="B4" s="129" t="s">
        <v>32</v>
      </c>
      <c r="C4" s="658">
        <v>0</v>
      </c>
      <c r="D4" s="629">
        <f>6*($D$2-$E$2)</f>
        <v>0</v>
      </c>
      <c r="E4" s="630">
        <f>40*$E$2</f>
        <v>40</v>
      </c>
      <c r="F4" s="658">
        <v>0</v>
      </c>
      <c r="G4" s="814">
        <f xml:space="preserve"> SUM(C4:F4)</f>
        <v>40</v>
      </c>
      <c r="H4" s="813">
        <f>G4*50%</f>
        <v>20</v>
      </c>
      <c r="I4" s="813">
        <f>G4*30%</f>
        <v>12</v>
      </c>
      <c r="J4" s="813">
        <f>G4*20%</f>
        <v>8</v>
      </c>
      <c r="K4" s="2280" t="s">
        <v>1428</v>
      </c>
    </row>
    <row r="5" spans="1:11" x14ac:dyDescent="0.25">
      <c r="A5" s="1970"/>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81"/>
    </row>
    <row r="6" spans="1:11" x14ac:dyDescent="0.25">
      <c r="A6" s="1970"/>
      <c r="B6" s="129" t="s">
        <v>34</v>
      </c>
      <c r="C6" s="658">
        <v>0</v>
      </c>
      <c r="D6" s="629">
        <f>12*($D$2-$E$2)</f>
        <v>0</v>
      </c>
      <c r="E6" s="630">
        <f>56*$E$2</f>
        <v>56</v>
      </c>
      <c r="F6" s="658">
        <v>0</v>
      </c>
      <c r="G6" s="814">
        <f xml:space="preserve"> SUM(C6:F6)</f>
        <v>56</v>
      </c>
      <c r="H6" s="813">
        <f>G6*20%</f>
        <v>11.200000000000001</v>
      </c>
      <c r="I6" s="813">
        <f>G6*20%</f>
        <v>11.200000000000001</v>
      </c>
      <c r="J6" s="813">
        <f>G6*60%</f>
        <v>33.6</v>
      </c>
      <c r="K6" s="228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1390</v>
      </c>
      <c r="B1" s="1376" t="s">
        <v>1227</v>
      </c>
      <c r="C1" s="2160" t="s">
        <v>1228</v>
      </c>
      <c r="D1" s="1377" t="s">
        <v>1420</v>
      </c>
      <c r="E1" s="1377" t="s">
        <v>1421</v>
      </c>
      <c r="F1" s="1386" t="s">
        <v>1426</v>
      </c>
      <c r="G1" s="2161" t="s">
        <v>38</v>
      </c>
      <c r="H1" s="2159" t="s">
        <v>714</v>
      </c>
      <c r="I1" s="2159" t="s">
        <v>713</v>
      </c>
      <c r="J1" s="2159" t="s">
        <v>712</v>
      </c>
      <c r="K1" s="2159" t="s">
        <v>272</v>
      </c>
    </row>
    <row r="2" spans="1:11" ht="15.75" x14ac:dyDescent="0.25">
      <c r="A2" s="1379" t="s">
        <v>36</v>
      </c>
      <c r="B2" s="206">
        <v>2</v>
      </c>
      <c r="C2" s="2160"/>
      <c r="D2" s="184">
        <f>ТрЗ_ОКиА!E182</f>
        <v>1</v>
      </c>
      <c r="E2" s="184">
        <f>ТрЗ_ОКиА!E183</f>
        <v>1</v>
      </c>
      <c r="F2" s="184"/>
      <c r="G2" s="2161"/>
      <c r="H2" s="2159"/>
      <c r="I2" s="2159"/>
      <c r="J2" s="2159"/>
      <c r="K2" s="2159"/>
    </row>
    <row r="3" spans="1:11" ht="15.75" x14ac:dyDescent="0.25">
      <c r="A3" s="1387" t="s">
        <v>1423</v>
      </c>
      <c r="B3" s="1387"/>
      <c r="C3" s="1387"/>
      <c r="D3" s="1387"/>
      <c r="E3" s="1387"/>
      <c r="F3" s="1387"/>
      <c r="G3" s="1387"/>
      <c r="H3" s="1385"/>
      <c r="I3" s="1385"/>
      <c r="J3" s="1385"/>
      <c r="K3" s="1385"/>
    </row>
    <row r="4" spans="1:11" x14ac:dyDescent="0.25">
      <c r="A4" s="2154" t="s">
        <v>1429</v>
      </c>
      <c r="B4" s="129" t="s">
        <v>32</v>
      </c>
      <c r="C4" s="658">
        <v>0</v>
      </c>
      <c r="D4" s="629">
        <f>6*($D$2-$E$2)</f>
        <v>0</v>
      </c>
      <c r="E4" s="630">
        <f>56*$E$2</f>
        <v>56</v>
      </c>
      <c r="F4" s="658">
        <v>0</v>
      </c>
      <c r="G4" s="814">
        <f xml:space="preserve"> SUM(C4:F4)</f>
        <v>56</v>
      </c>
      <c r="H4" s="813">
        <f>G4*50%</f>
        <v>28</v>
      </c>
      <c r="I4" s="813">
        <f>G4*30%</f>
        <v>16.8</v>
      </c>
      <c r="J4" s="813">
        <f>G4*20%</f>
        <v>11.200000000000001</v>
      </c>
      <c r="K4" s="2280" t="s">
        <v>1428</v>
      </c>
    </row>
    <row r="5" spans="1:11" x14ac:dyDescent="0.25">
      <c r="A5" s="2154"/>
      <c r="B5" s="129" t="s">
        <v>33</v>
      </c>
      <c r="C5" s="658">
        <v>0</v>
      </c>
      <c r="D5" s="629">
        <f>8*($D$2-$E$2)</f>
        <v>0</v>
      </c>
      <c r="E5" s="630">
        <f>64*$E$2</f>
        <v>64</v>
      </c>
      <c r="F5" s="658">
        <v>0</v>
      </c>
      <c r="G5" s="814">
        <f xml:space="preserve"> SUM(C5:F5)</f>
        <v>64</v>
      </c>
      <c r="H5" s="813">
        <f>G5*30%</f>
        <v>19.2</v>
      </c>
      <c r="I5" s="813">
        <f>G5*40%</f>
        <v>25.6</v>
      </c>
      <c r="J5" s="813">
        <f>G5*30%</f>
        <v>19.2</v>
      </c>
      <c r="K5" s="2281"/>
    </row>
    <row r="6" spans="1:11" x14ac:dyDescent="0.25">
      <c r="A6" s="2154"/>
      <c r="B6" s="129" t="s">
        <v>34</v>
      </c>
      <c r="C6" s="658">
        <v>0</v>
      </c>
      <c r="D6" s="629">
        <f>12*($D$2-$E$2)</f>
        <v>0</v>
      </c>
      <c r="E6" s="630">
        <f>72*$E$2</f>
        <v>72</v>
      </c>
      <c r="F6" s="658">
        <v>0</v>
      </c>
      <c r="G6" s="814">
        <f xml:space="preserve"> SUM(C6:F6)</f>
        <v>72</v>
      </c>
      <c r="H6" s="813">
        <f>G6*20%</f>
        <v>14.4</v>
      </c>
      <c r="I6" s="813">
        <f>G6*20%</f>
        <v>14.4</v>
      </c>
      <c r="J6" s="813">
        <f>G6*60%</f>
        <v>43.199999999999996</v>
      </c>
      <c r="K6" s="228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1390</v>
      </c>
      <c r="B1" s="1376" t="s">
        <v>1227</v>
      </c>
      <c r="C1" s="2160" t="s">
        <v>1228</v>
      </c>
      <c r="D1" s="1377" t="s">
        <v>1420</v>
      </c>
      <c r="E1" s="1377" t="s">
        <v>1421</v>
      </c>
      <c r="F1" s="1386" t="s">
        <v>1426</v>
      </c>
      <c r="G1" s="2161" t="s">
        <v>38</v>
      </c>
      <c r="H1" s="2159" t="s">
        <v>714</v>
      </c>
      <c r="I1" s="2159" t="s">
        <v>713</v>
      </c>
      <c r="J1" s="2159" t="s">
        <v>712</v>
      </c>
      <c r="K1" s="2159" t="s">
        <v>272</v>
      </c>
    </row>
    <row r="2" spans="1:11" ht="15.75" x14ac:dyDescent="0.25">
      <c r="A2" s="1379" t="s">
        <v>36</v>
      </c>
      <c r="B2" s="206">
        <v>2</v>
      </c>
      <c r="C2" s="2160"/>
      <c r="D2" s="184">
        <f>ТрЗ_ОКиА!E288</f>
        <v>1</v>
      </c>
      <c r="E2" s="184">
        <f>ТрЗ_ОКиА!E289</f>
        <v>1</v>
      </c>
      <c r="F2" s="184"/>
      <c r="G2" s="2161"/>
      <c r="H2" s="2159"/>
      <c r="I2" s="2159"/>
      <c r="J2" s="2159"/>
      <c r="K2" s="2159"/>
    </row>
    <row r="3" spans="1:11" ht="15.75" x14ac:dyDescent="0.25">
      <c r="A3" s="1387" t="s">
        <v>1423</v>
      </c>
      <c r="B3" s="1387"/>
      <c r="C3" s="1387"/>
      <c r="D3" s="1387"/>
      <c r="E3" s="1387"/>
      <c r="F3" s="1387"/>
      <c r="G3" s="1387"/>
      <c r="H3" s="1385"/>
      <c r="I3" s="1385"/>
      <c r="J3" s="1385"/>
      <c r="K3" s="1385"/>
    </row>
    <row r="4" spans="1:11" x14ac:dyDescent="0.25">
      <c r="A4" s="1970" t="s">
        <v>1430</v>
      </c>
      <c r="B4" s="129" t="s">
        <v>32</v>
      </c>
      <c r="C4" s="658">
        <v>0</v>
      </c>
      <c r="D4" s="629">
        <f>8*($D$2-$E$2)</f>
        <v>0</v>
      </c>
      <c r="E4" s="630">
        <f>64*$E$2</f>
        <v>64</v>
      </c>
      <c r="F4" s="658">
        <v>0</v>
      </c>
      <c r="G4" s="814">
        <f xml:space="preserve"> SUM(C4:F4)</f>
        <v>64</v>
      </c>
      <c r="H4" s="813">
        <f>G4*50%</f>
        <v>32</v>
      </c>
      <c r="I4" s="813">
        <f>G4*30%</f>
        <v>19.2</v>
      </c>
      <c r="J4" s="813">
        <f>G4*20%</f>
        <v>12.8</v>
      </c>
      <c r="K4" s="2280" t="s">
        <v>1431</v>
      </c>
    </row>
    <row r="5" spans="1:11" x14ac:dyDescent="0.25">
      <c r="A5" s="1970"/>
      <c r="B5" s="129" t="s">
        <v>33</v>
      </c>
      <c r="C5" s="658">
        <v>0</v>
      </c>
      <c r="D5" s="629">
        <f>10*($D$2-$E$2)</f>
        <v>0</v>
      </c>
      <c r="E5" s="630">
        <f>72*$E$2</f>
        <v>72</v>
      </c>
      <c r="F5" s="658">
        <v>0</v>
      </c>
      <c r="G5" s="814">
        <f xml:space="preserve"> SUM(C5:F5)</f>
        <v>72</v>
      </c>
      <c r="H5" s="813">
        <f>G5*30%</f>
        <v>21.599999999999998</v>
      </c>
      <c r="I5" s="813">
        <f>G5*40%</f>
        <v>28.8</v>
      </c>
      <c r="J5" s="813">
        <f>G5*30%</f>
        <v>21.599999999999998</v>
      </c>
      <c r="K5" s="2281"/>
    </row>
    <row r="6" spans="1:11" x14ac:dyDescent="0.25">
      <c r="A6" s="1970"/>
      <c r="B6" s="129" t="s">
        <v>34</v>
      </c>
      <c r="C6" s="658">
        <v>0</v>
      </c>
      <c r="D6" s="629">
        <f>15*($D$2-$E$2)</f>
        <v>0</v>
      </c>
      <c r="E6" s="630">
        <f>80*$E$2</f>
        <v>80</v>
      </c>
      <c r="F6" s="658">
        <v>0</v>
      </c>
      <c r="G6" s="814">
        <f xml:space="preserve"> SUM(C6:F6)</f>
        <v>80</v>
      </c>
      <c r="H6" s="813">
        <f>G6*20%</f>
        <v>16</v>
      </c>
      <c r="I6" s="813">
        <f>G6*20%</f>
        <v>16</v>
      </c>
      <c r="J6" s="813">
        <f>G6*60%</f>
        <v>48</v>
      </c>
      <c r="K6" s="228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1390</v>
      </c>
      <c r="B1" s="1389" t="s">
        <v>1227</v>
      </c>
      <c r="C1" s="2198" t="s">
        <v>1228</v>
      </c>
      <c r="D1" s="1377" t="s">
        <v>1420</v>
      </c>
      <c r="E1" s="1377" t="s">
        <v>1421</v>
      </c>
      <c r="F1" s="1386" t="s">
        <v>1426</v>
      </c>
      <c r="G1" s="2161" t="s">
        <v>38</v>
      </c>
      <c r="H1" s="2159" t="s">
        <v>714</v>
      </c>
      <c r="I1" s="2159" t="s">
        <v>713</v>
      </c>
      <c r="J1" s="2159" t="s">
        <v>712</v>
      </c>
      <c r="K1" s="2159" t="s">
        <v>272</v>
      </c>
    </row>
    <row r="2" spans="1:11" ht="15.75" x14ac:dyDescent="0.25">
      <c r="A2" s="1379" t="s">
        <v>36</v>
      </c>
      <c r="B2" s="1388">
        <v>2</v>
      </c>
      <c r="C2" s="2198"/>
      <c r="D2" s="184">
        <f>ТрЗ_ОКиА!E253</f>
        <v>2</v>
      </c>
      <c r="E2" s="184">
        <f>ТрЗ_ОКиА!E254</f>
        <v>2</v>
      </c>
      <c r="F2" s="184">
        <f>ТрЗ_ОКиА!E254</f>
        <v>2</v>
      </c>
      <c r="G2" s="2161"/>
      <c r="H2" s="2159"/>
      <c r="I2" s="2159"/>
      <c r="J2" s="2159"/>
      <c r="K2" s="2159"/>
    </row>
    <row r="3" spans="1:11" ht="15.75" x14ac:dyDescent="0.25">
      <c r="A3" s="1387" t="s">
        <v>1423</v>
      </c>
      <c r="B3" s="1387"/>
      <c r="C3" s="1387"/>
      <c r="D3" s="1387"/>
      <c r="E3" s="1387"/>
      <c r="F3" s="1387"/>
      <c r="G3" s="1387"/>
      <c r="H3" s="1385"/>
      <c r="I3" s="1385"/>
      <c r="J3" s="1385"/>
      <c r="K3" s="1385"/>
    </row>
    <row r="4" spans="1:11" x14ac:dyDescent="0.25">
      <c r="A4" s="1970" t="s">
        <v>1432</v>
      </c>
      <c r="B4" s="129" t="s">
        <v>32</v>
      </c>
      <c r="C4" s="658">
        <v>0</v>
      </c>
      <c r="D4" s="629">
        <f>6*($D$2-$E$2)</f>
        <v>0</v>
      </c>
      <c r="E4" s="630">
        <f>48*$E$2</f>
        <v>96</v>
      </c>
      <c r="F4" s="658">
        <v>0</v>
      </c>
      <c r="G4" s="814">
        <f xml:space="preserve"> SUM(C4:F4)</f>
        <v>96</v>
      </c>
      <c r="H4" s="813">
        <f>G4*50%</f>
        <v>48</v>
      </c>
      <c r="I4" s="813">
        <f>G4*30%</f>
        <v>28.799999999999997</v>
      </c>
      <c r="J4" s="813">
        <f>G4*20%</f>
        <v>19.200000000000003</v>
      </c>
      <c r="K4" s="2280" t="s">
        <v>1428</v>
      </c>
    </row>
    <row r="5" spans="1:11" x14ac:dyDescent="0.25">
      <c r="A5" s="1970"/>
      <c r="B5" s="129" t="s">
        <v>33</v>
      </c>
      <c r="C5" s="658">
        <v>0</v>
      </c>
      <c r="D5" s="629">
        <f>8*($D$2-$E$2)</f>
        <v>0</v>
      </c>
      <c r="E5" s="630">
        <f>56*$E$2</f>
        <v>112</v>
      </c>
      <c r="F5" s="658">
        <v>0</v>
      </c>
      <c r="G5" s="814">
        <f xml:space="preserve"> SUM(C5:F5)</f>
        <v>112</v>
      </c>
      <c r="H5" s="813">
        <f>G5*30%</f>
        <v>33.6</v>
      </c>
      <c r="I5" s="813">
        <f>G5*40%</f>
        <v>44.800000000000004</v>
      </c>
      <c r="J5" s="813">
        <f>G5*30%</f>
        <v>33.6</v>
      </c>
      <c r="K5" s="2281"/>
    </row>
    <row r="6" spans="1:11" x14ac:dyDescent="0.25">
      <c r="A6" s="1970"/>
      <c r="B6" s="129" t="s">
        <v>34</v>
      </c>
      <c r="C6" s="658">
        <v>0</v>
      </c>
      <c r="D6" s="629">
        <f>12*($D$2-$E$2)</f>
        <v>0</v>
      </c>
      <c r="E6" s="630">
        <f>64*$E$2</f>
        <v>128</v>
      </c>
      <c r="F6" s="658">
        <v>0</v>
      </c>
      <c r="G6" s="814">
        <f xml:space="preserve"> SUM(C6:F6)</f>
        <v>128</v>
      </c>
      <c r="H6" s="813">
        <f>G6*20%</f>
        <v>25.6</v>
      </c>
      <c r="I6" s="813">
        <f>G6*20%</f>
        <v>25.6</v>
      </c>
      <c r="J6" s="813">
        <f>G6*60%</f>
        <v>76.8</v>
      </c>
      <c r="K6" s="2282"/>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1355</v>
      </c>
      <c r="B1" s="1376" t="s">
        <v>1227</v>
      </c>
      <c r="C1" s="2160" t="s">
        <v>1228</v>
      </c>
      <c r="D1" s="1377" t="s">
        <v>1433</v>
      </c>
      <c r="E1" s="1377" t="s">
        <v>1426</v>
      </c>
      <c r="F1" s="1377" t="s">
        <v>1426</v>
      </c>
      <c r="G1" s="2161" t="s">
        <v>38</v>
      </c>
      <c r="H1" s="2159" t="s">
        <v>714</v>
      </c>
      <c r="I1" s="2159" t="s">
        <v>713</v>
      </c>
      <c r="J1" s="2159" t="s">
        <v>712</v>
      </c>
      <c r="K1" s="2159" t="s">
        <v>272</v>
      </c>
    </row>
    <row r="2" spans="1:11" ht="15.75" x14ac:dyDescent="0.25">
      <c r="A2" s="1379" t="s">
        <v>36</v>
      </c>
      <c r="B2" s="206">
        <v>2</v>
      </c>
      <c r="C2" s="2160"/>
      <c r="D2" s="184">
        <f>ТрЗ_ОКиА!E280</f>
        <v>3</v>
      </c>
      <c r="E2" s="184">
        <v>0</v>
      </c>
      <c r="F2" s="184">
        <v>0</v>
      </c>
      <c r="G2" s="2161"/>
      <c r="H2" s="2159"/>
      <c r="I2" s="2159"/>
      <c r="J2" s="2159"/>
      <c r="K2" s="2159"/>
    </row>
    <row r="3" spans="1:11" ht="15.75" x14ac:dyDescent="0.25">
      <c r="A3" s="1387" t="s">
        <v>1434</v>
      </c>
      <c r="B3" s="1387"/>
      <c r="C3" s="1387"/>
      <c r="D3" s="1387"/>
      <c r="E3" s="1387"/>
      <c r="F3" s="1387"/>
      <c r="G3" s="1387"/>
      <c r="H3" s="1385"/>
      <c r="I3" s="1385"/>
      <c r="J3" s="1385"/>
      <c r="K3" s="1385"/>
    </row>
    <row r="4" spans="1:11" ht="15" customHeight="1" x14ac:dyDescent="0.25">
      <c r="A4" s="1970" t="s">
        <v>1434</v>
      </c>
      <c r="B4" s="129" t="s">
        <v>32</v>
      </c>
      <c r="C4" s="814">
        <v>0.5</v>
      </c>
      <c r="D4" s="629">
        <f>C4*$D$2</f>
        <v>1.5</v>
      </c>
      <c r="E4" s="813">
        <v>0</v>
      </c>
      <c r="F4" s="813">
        <v>0</v>
      </c>
      <c r="G4" s="814">
        <f xml:space="preserve"> SUM(D4:F4)</f>
        <v>1.5</v>
      </c>
      <c r="H4" s="813">
        <f>G4*50%</f>
        <v>0.75</v>
      </c>
      <c r="I4" s="813">
        <f>G4*50%</f>
        <v>0.75</v>
      </c>
      <c r="J4" s="813">
        <v>0</v>
      </c>
      <c r="K4" s="1850"/>
    </row>
    <row r="5" spans="1:11" ht="15" customHeight="1" x14ac:dyDescent="0.25">
      <c r="A5" s="1970"/>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51"/>
    </row>
    <row r="6" spans="1:11" ht="15" customHeight="1" x14ac:dyDescent="0.25">
      <c r="A6" s="1970"/>
      <c r="B6" s="129" t="s">
        <v>34</v>
      </c>
      <c r="C6" s="814">
        <v>0.5</v>
      </c>
      <c r="D6" s="629">
        <f t="shared" si="0"/>
        <v>1.5</v>
      </c>
      <c r="E6" s="813">
        <v>0</v>
      </c>
      <c r="F6" s="813">
        <v>0</v>
      </c>
      <c r="G6" s="814">
        <f t="shared" si="1"/>
        <v>1.5</v>
      </c>
      <c r="H6" s="813">
        <f>G6*20%</f>
        <v>0.30000000000000004</v>
      </c>
      <c r="I6" s="813">
        <f>G6*40%</f>
        <v>0.60000000000000009</v>
      </c>
      <c r="J6" s="813">
        <f>G6*40%</f>
        <v>0.60000000000000009</v>
      </c>
      <c r="K6" s="1852"/>
    </row>
    <row r="7" spans="1:11" ht="15" customHeight="1" x14ac:dyDescent="0.25">
      <c r="A7" s="2154" t="s">
        <v>1435</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50"/>
    </row>
    <row r="8" spans="1:11" ht="15" customHeight="1" x14ac:dyDescent="0.25">
      <c r="A8" s="2154"/>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51"/>
    </row>
    <row r="9" spans="1:11" ht="15" customHeight="1" x14ac:dyDescent="0.25">
      <c r="A9" s="2154"/>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52"/>
    </row>
    <row r="10" spans="1:11" ht="15.75" x14ac:dyDescent="0.25">
      <c r="A10" s="1387" t="s">
        <v>1436</v>
      </c>
      <c r="B10" s="1387"/>
      <c r="C10" s="1387"/>
      <c r="D10" s="1387"/>
      <c r="E10" s="1387"/>
      <c r="F10" s="1387"/>
      <c r="G10" s="1387"/>
      <c r="H10" s="1385"/>
      <c r="I10" s="1385"/>
      <c r="J10" s="1385"/>
      <c r="K10" s="1385"/>
    </row>
    <row r="11" spans="1:11" x14ac:dyDescent="0.25">
      <c r="A11" s="2284" t="s">
        <v>1436</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50" t="s">
        <v>1437</v>
      </c>
    </row>
    <row r="12" spans="1:11" x14ac:dyDescent="0.25">
      <c r="A12" s="2285"/>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51"/>
    </row>
    <row r="13" spans="1:11" x14ac:dyDescent="0.25">
      <c r="A13" s="1985"/>
      <c r="B13" s="129" t="s">
        <v>34</v>
      </c>
      <c r="C13" s="814">
        <v>1.5</v>
      </c>
      <c r="D13" s="629">
        <f t="shared" si="0"/>
        <v>4.5</v>
      </c>
      <c r="E13" s="813">
        <v>0</v>
      </c>
      <c r="F13" s="813">
        <v>0</v>
      </c>
      <c r="G13" s="814">
        <f xml:space="preserve"> SUM(D13:F13)</f>
        <v>4.5</v>
      </c>
      <c r="H13" s="813">
        <f>G13*20%</f>
        <v>0.9</v>
      </c>
      <c r="I13" s="813">
        <f>G13*40%</f>
        <v>1.8</v>
      </c>
      <c r="J13" s="813">
        <f>G13*40%</f>
        <v>1.8</v>
      </c>
      <c r="K13" s="1852"/>
    </row>
    <row r="14" spans="1:11" x14ac:dyDescent="0.25">
      <c r="A14" s="2283" t="s">
        <v>1438</v>
      </c>
      <c r="B14" s="129" t="s">
        <v>32</v>
      </c>
      <c r="C14" s="814">
        <v>0.5</v>
      </c>
      <c r="D14" s="629">
        <f t="shared" si="0"/>
        <v>1.5</v>
      </c>
      <c r="E14" s="813">
        <v>0</v>
      </c>
      <c r="F14" s="813">
        <v>0</v>
      </c>
      <c r="G14" s="814">
        <f xml:space="preserve"> SUM(C14:F14)</f>
        <v>2</v>
      </c>
      <c r="H14" s="813">
        <f>G14*50%</f>
        <v>1</v>
      </c>
      <c r="I14" s="813">
        <f>G14*50%</f>
        <v>1</v>
      </c>
      <c r="J14" s="813">
        <v>0</v>
      </c>
      <c r="K14" s="1850" t="s">
        <v>1439</v>
      </c>
    </row>
    <row r="15" spans="1:11" x14ac:dyDescent="0.25">
      <c r="A15" s="2283"/>
      <c r="B15" s="129" t="s">
        <v>33</v>
      </c>
      <c r="C15" s="814">
        <v>1</v>
      </c>
      <c r="D15" s="629">
        <f t="shared" si="0"/>
        <v>3</v>
      </c>
      <c r="E15" s="813">
        <v>0</v>
      </c>
      <c r="F15" s="813">
        <v>0</v>
      </c>
      <c r="G15" s="814">
        <f xml:space="preserve"> SUM(C15:F15)</f>
        <v>4</v>
      </c>
      <c r="H15" s="813">
        <f>G15*50%</f>
        <v>2</v>
      </c>
      <c r="I15" s="813">
        <f>G15*40%</f>
        <v>1.6</v>
      </c>
      <c r="J15" s="813">
        <f>G15*10%</f>
        <v>0.4</v>
      </c>
      <c r="K15" s="1851"/>
    </row>
    <row r="16" spans="1:11" x14ac:dyDescent="0.25">
      <c r="A16" s="2283"/>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52"/>
    </row>
  </sheetData>
  <mergeCells count="14">
    <mergeCell ref="K1:K2"/>
    <mergeCell ref="C1:C2"/>
    <mergeCell ref="G1:G2"/>
    <mergeCell ref="H1:H2"/>
    <mergeCell ref="I1:I2"/>
    <mergeCell ref="J1:J2"/>
    <mergeCell ref="A14:A16"/>
    <mergeCell ref="K14:K16"/>
    <mergeCell ref="A4:A6"/>
    <mergeCell ref="K4:K6"/>
    <mergeCell ref="A7:A9"/>
    <mergeCell ref="K7:K9"/>
    <mergeCell ref="A11:A13"/>
    <mergeCell ref="K11:K13"/>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1390</v>
      </c>
      <c r="B1" s="1376" t="s">
        <v>1227</v>
      </c>
      <c r="C1" s="2160" t="s">
        <v>1228</v>
      </c>
      <c r="D1" s="1377" t="s">
        <v>1420</v>
      </c>
      <c r="E1" s="1377" t="s">
        <v>1440</v>
      </c>
      <c r="F1" s="1386" t="s">
        <v>1426</v>
      </c>
      <c r="G1" s="2161" t="s">
        <v>38</v>
      </c>
      <c r="H1" s="2159" t="s">
        <v>714</v>
      </c>
      <c r="I1" s="2159" t="s">
        <v>713</v>
      </c>
      <c r="J1" s="2159" t="s">
        <v>712</v>
      </c>
      <c r="K1" s="2159" t="s">
        <v>272</v>
      </c>
      <c r="M1" s="2174" t="s">
        <v>1232</v>
      </c>
      <c r="N1" s="2176"/>
    </row>
    <row r="2" spans="1:16" ht="15.75" customHeight="1" x14ac:dyDescent="0.25">
      <c r="A2" s="1379" t="s">
        <v>36</v>
      </c>
      <c r="B2" s="206">
        <v>2</v>
      </c>
      <c r="C2" s="2160"/>
      <c r="D2" s="184">
        <f>ТрЗ_ОКиА!E223</f>
        <v>1</v>
      </c>
      <c r="E2" s="184">
        <f>IF(ТрЗ_ОКиА!E224="Да",1,0)</f>
        <v>1</v>
      </c>
      <c r="F2" s="184" t="e">
        <f>ТрЗ_ОКиА!#REF!</f>
        <v>#REF!</v>
      </c>
      <c r="G2" s="2161"/>
      <c r="H2" s="2159"/>
      <c r="I2" s="2159"/>
      <c r="J2" s="2159"/>
      <c r="K2" s="2159"/>
      <c r="M2" s="2287"/>
      <c r="N2" s="2288"/>
    </row>
    <row r="3" spans="1:16" ht="15.75" customHeight="1" x14ac:dyDescent="0.25">
      <c r="A3" s="1387" t="s">
        <v>1441</v>
      </c>
      <c r="B3" s="1387"/>
      <c r="C3" s="1387"/>
      <c r="D3" s="1387"/>
      <c r="E3" s="1387"/>
      <c r="F3" s="1387"/>
      <c r="G3" s="1387"/>
      <c r="H3" s="1385"/>
      <c r="I3" s="1385"/>
      <c r="J3" s="1385"/>
      <c r="K3" s="1385"/>
      <c r="M3" s="2177"/>
      <c r="N3" s="2179"/>
    </row>
    <row r="4" spans="1:16" x14ac:dyDescent="0.25">
      <c r="A4" s="2286" t="s">
        <v>1442</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55"/>
      <c r="M4" s="879">
        <v>20</v>
      </c>
      <c r="N4" s="879">
        <f>1+M4/100</f>
        <v>1.2</v>
      </c>
    </row>
    <row r="5" spans="1:16" x14ac:dyDescent="0.25">
      <c r="A5" s="2286"/>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55"/>
      <c r="M5" s="879">
        <v>50</v>
      </c>
      <c r="N5" s="879">
        <f>1+M5/100</f>
        <v>1.5</v>
      </c>
    </row>
    <row r="6" spans="1:16" x14ac:dyDescent="0.25">
      <c r="A6" s="2286"/>
      <c r="B6" s="129" t="s">
        <v>34</v>
      </c>
      <c r="C6" s="813">
        <f>ROUND(90/60,2)</f>
        <v>1.5</v>
      </c>
      <c r="D6" s="629">
        <f>ROUND($D$2*90/60,2)</f>
        <v>1.5</v>
      </c>
      <c r="E6" s="630">
        <f>IF($E$2=1, 2, 0)</f>
        <v>2</v>
      </c>
      <c r="F6" s="658"/>
      <c r="G6" s="814">
        <f t="shared" si="0"/>
        <v>5</v>
      </c>
      <c r="H6" s="813">
        <f>G6*10%</f>
        <v>0.5</v>
      </c>
      <c r="I6" s="813">
        <f>G6*40%</f>
        <v>2</v>
      </c>
      <c r="J6" s="813">
        <f>G6*50%</f>
        <v>2.5</v>
      </c>
      <c r="K6" s="2155"/>
      <c r="M6" s="879">
        <v>70</v>
      </c>
      <c r="N6" s="879">
        <f>1+M6/100</f>
        <v>1.7</v>
      </c>
    </row>
    <row r="7" spans="1:16" x14ac:dyDescent="0.25">
      <c r="A7" s="2286" t="s">
        <v>1443</v>
      </c>
      <c r="B7" s="129" t="s">
        <v>32</v>
      </c>
      <c r="C7" s="814">
        <f>ROUND((1.5+4+1+40)*N4,2)</f>
        <v>55.8</v>
      </c>
      <c r="D7" s="629">
        <f>ROUND(($D$2-1)*(4+1+10)*N4,2)</f>
        <v>0</v>
      </c>
      <c r="E7" s="658">
        <v>0</v>
      </c>
      <c r="F7" s="658"/>
      <c r="G7" s="814">
        <f t="shared" si="0"/>
        <v>55.8</v>
      </c>
      <c r="H7" s="813">
        <f>G7*70%</f>
        <v>39.059999999999995</v>
      </c>
      <c r="I7" s="813">
        <f>G7*20%</f>
        <v>11.16</v>
      </c>
      <c r="J7" s="813">
        <f>G7*10%</f>
        <v>5.58</v>
      </c>
      <c r="K7" s="2280" t="s">
        <v>1444</v>
      </c>
    </row>
    <row r="8" spans="1:16" x14ac:dyDescent="0.25">
      <c r="A8" s="2286"/>
      <c r="B8" s="129" t="s">
        <v>33</v>
      </c>
      <c r="C8" s="814">
        <f>ROUND((2+4+1+40)*N5,2)</f>
        <v>70.5</v>
      </c>
      <c r="D8" s="629">
        <f>ROUND(($D$2-1)*(4+1+16)*N5,2)</f>
        <v>0</v>
      </c>
      <c r="E8" s="658">
        <v>0</v>
      </c>
      <c r="F8" s="658"/>
      <c r="G8" s="814">
        <f t="shared" si="0"/>
        <v>70.5</v>
      </c>
      <c r="H8" s="813">
        <f>G8*50%</f>
        <v>35.25</v>
      </c>
      <c r="I8" s="813">
        <f>G8*25%</f>
        <v>17.625</v>
      </c>
      <c r="J8" s="813">
        <f>G8*25%</f>
        <v>17.625</v>
      </c>
      <c r="K8" s="2281"/>
    </row>
    <row r="9" spans="1:16" x14ac:dyDescent="0.25">
      <c r="A9" s="2286"/>
      <c r="B9" s="129" t="s">
        <v>34</v>
      </c>
      <c r="C9" s="814">
        <f>ROUND((5+4+1+40)*N6,2)</f>
        <v>85</v>
      </c>
      <c r="D9" s="629">
        <f>ROUND(($D$2-1)*(4+1+20)*N6,2)</f>
        <v>0</v>
      </c>
      <c r="E9" s="658">
        <v>0</v>
      </c>
      <c r="F9" s="658"/>
      <c r="G9" s="814">
        <f t="shared" si="0"/>
        <v>85</v>
      </c>
      <c r="H9" s="813">
        <f>G9*40%</f>
        <v>34</v>
      </c>
      <c r="I9" s="813">
        <f>G9*30%</f>
        <v>25.5</v>
      </c>
      <c r="J9" s="813">
        <f>G9*30%</f>
        <v>25.5</v>
      </c>
      <c r="K9" s="2282"/>
    </row>
    <row r="10" spans="1:16" x14ac:dyDescent="0.25">
      <c r="A10" s="2286" t="s">
        <v>1445</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86"/>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86"/>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86" t="s">
        <v>1446</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86"/>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86"/>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86" t="s">
        <v>1447</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86"/>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86"/>
      <c r="B18" s="129" t="s">
        <v>34</v>
      </c>
      <c r="C18" s="658">
        <v>0</v>
      </c>
      <c r="D18" s="629">
        <f>ROUND($D$2*2,2)</f>
        <v>2</v>
      </c>
      <c r="E18" s="658">
        <v>0</v>
      </c>
      <c r="F18" s="658"/>
      <c r="G18" s="814">
        <f t="shared" si="1"/>
        <v>2</v>
      </c>
      <c r="H18" s="813">
        <f>G18*40%</f>
        <v>0.8</v>
      </c>
      <c r="I18" s="813">
        <f>G18*30%</f>
        <v>0.6</v>
      </c>
      <c r="J18" s="813">
        <f>G18*30%</f>
        <v>0.6</v>
      </c>
      <c r="K18" s="129"/>
    </row>
    <row r="19" spans="1:11" x14ac:dyDescent="0.25">
      <c r="A19" s="2286" t="s">
        <v>1448</v>
      </c>
      <c r="B19" s="129" t="s">
        <v>32</v>
      </c>
      <c r="C19" s="814">
        <f>0.5</f>
        <v>0.5</v>
      </c>
      <c r="D19" s="658">
        <v>0</v>
      </c>
      <c r="E19" s="658">
        <v>0</v>
      </c>
      <c r="F19" s="658"/>
      <c r="G19" s="814">
        <f t="shared" si="1"/>
        <v>0.5</v>
      </c>
      <c r="H19" s="813">
        <f>G19*70%</f>
        <v>0.35</v>
      </c>
      <c r="I19" s="813">
        <f>G19*20%</f>
        <v>0.1</v>
      </c>
      <c r="J19" s="813">
        <f>G19*10%</f>
        <v>0.05</v>
      </c>
      <c r="K19" s="129"/>
    </row>
    <row r="20" spans="1:11" x14ac:dyDescent="0.25">
      <c r="A20" s="2286"/>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86"/>
      <c r="B21" s="129" t="s">
        <v>34</v>
      </c>
      <c r="C21" s="814">
        <v>2</v>
      </c>
      <c r="D21" s="658">
        <v>0</v>
      </c>
      <c r="E21" s="658">
        <v>0</v>
      </c>
      <c r="F21" s="658"/>
      <c r="G21" s="814">
        <f t="shared" si="1"/>
        <v>2</v>
      </c>
      <c r="H21" s="813">
        <f>G21*30%</f>
        <v>0.6</v>
      </c>
      <c r="I21" s="813">
        <f>G21*40%</f>
        <v>0.8</v>
      </c>
      <c r="J21" s="813">
        <f>G21*30%</f>
        <v>0.6</v>
      </c>
      <c r="K21" s="129"/>
    </row>
    <row r="22" spans="1:11" x14ac:dyDescent="0.25">
      <c r="A22" s="2286" t="s">
        <v>1449</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86"/>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86"/>
      <c r="B24" s="129" t="s">
        <v>34</v>
      </c>
      <c r="C24" s="814">
        <f>1</f>
        <v>1</v>
      </c>
      <c r="D24" s="629">
        <f>ROUND($D$2*1,2)</f>
        <v>1</v>
      </c>
      <c r="E24" s="658">
        <v>0</v>
      </c>
      <c r="F24" s="658"/>
      <c r="G24" s="814">
        <f t="shared" si="1"/>
        <v>2</v>
      </c>
      <c r="H24" s="813">
        <f>G24*30%</f>
        <v>0.6</v>
      </c>
      <c r="I24" s="813">
        <f>G24*30%</f>
        <v>0.6</v>
      </c>
      <c r="J24" s="813">
        <f>G24*40%</f>
        <v>0.8</v>
      </c>
      <c r="K24" s="129"/>
    </row>
    <row r="25" spans="1:11" x14ac:dyDescent="0.25">
      <c r="A25" s="2286" t="s">
        <v>1450</v>
      </c>
      <c r="B25" s="129" t="s">
        <v>32</v>
      </c>
      <c r="C25" s="814">
        <v>1</v>
      </c>
      <c r="D25" s="629">
        <f>ROUND($D$2*6,2)</f>
        <v>6</v>
      </c>
      <c r="E25" s="630">
        <f>IF($E$2=1, 3, 0)</f>
        <v>3</v>
      </c>
      <c r="F25" s="658"/>
      <c r="G25" s="814">
        <f t="shared" si="1"/>
        <v>10</v>
      </c>
      <c r="H25" s="813">
        <f>G25*60%</f>
        <v>6</v>
      </c>
      <c r="I25" s="813">
        <f>G25*30%</f>
        <v>3</v>
      </c>
      <c r="J25" s="813">
        <f>G25*10%</f>
        <v>1</v>
      </c>
      <c r="K25" s="2280" t="s">
        <v>1451</v>
      </c>
    </row>
    <row r="26" spans="1:11" x14ac:dyDescent="0.25">
      <c r="A26" s="2286"/>
      <c r="B26" s="129" t="s">
        <v>33</v>
      </c>
      <c r="C26" s="814">
        <v>2</v>
      </c>
      <c r="D26" s="629">
        <f>ROUND($D$2*8,2)</f>
        <v>8</v>
      </c>
      <c r="E26" s="630">
        <f>IF($E$2=1, 4, 0)</f>
        <v>4</v>
      </c>
      <c r="F26" s="658"/>
      <c r="G26" s="814">
        <f t="shared" si="1"/>
        <v>14</v>
      </c>
      <c r="H26" s="813">
        <f>G26*50%</f>
        <v>7</v>
      </c>
      <c r="I26" s="813">
        <f>G26*25%</f>
        <v>3.5</v>
      </c>
      <c r="J26" s="813">
        <f>G26*25%</f>
        <v>3.5</v>
      </c>
      <c r="K26" s="2281"/>
    </row>
    <row r="27" spans="1:11" ht="30" customHeight="1" x14ac:dyDescent="0.25">
      <c r="A27" s="2286"/>
      <c r="B27" s="129" t="s">
        <v>34</v>
      </c>
      <c r="C27" s="814">
        <v>4</v>
      </c>
      <c r="D27" s="629">
        <f>ROUND($D$2*16,2)</f>
        <v>16</v>
      </c>
      <c r="E27" s="630">
        <f>IF($E$2=1, 5, 0)</f>
        <v>5</v>
      </c>
      <c r="F27" s="658"/>
      <c r="G27" s="814">
        <f t="shared" si="1"/>
        <v>25</v>
      </c>
      <c r="H27" s="813">
        <f>G27*30%</f>
        <v>7.5</v>
      </c>
      <c r="I27" s="813">
        <f>G27*35%</f>
        <v>8.75</v>
      </c>
      <c r="J27" s="813">
        <f>G27*35%</f>
        <v>8.75</v>
      </c>
      <c r="K27" s="2282"/>
    </row>
    <row r="28" spans="1:11" x14ac:dyDescent="0.25">
      <c r="A28" s="2286" t="s">
        <v>1452</v>
      </c>
      <c r="B28" s="129" t="s">
        <v>32</v>
      </c>
      <c r="C28" s="814">
        <f>ROUND(3*N4,2)</f>
        <v>3.6</v>
      </c>
      <c r="D28" s="629">
        <f>ROUND(($D$2-1)*0.5*N4,2)</f>
        <v>0</v>
      </c>
      <c r="E28" s="658">
        <v>0</v>
      </c>
      <c r="F28" s="658"/>
      <c r="G28" s="814">
        <f t="shared" si="1"/>
        <v>3.6</v>
      </c>
      <c r="H28" s="813">
        <f>G28*70%</f>
        <v>2.52</v>
      </c>
      <c r="I28" s="813">
        <f>G28*20%</f>
        <v>0.72000000000000008</v>
      </c>
      <c r="J28" s="813">
        <f>G28*10%</f>
        <v>0.36000000000000004</v>
      </c>
      <c r="K28" s="2280" t="s">
        <v>1453</v>
      </c>
    </row>
    <row r="29" spans="1:11" x14ac:dyDescent="0.25">
      <c r="A29" s="2286"/>
      <c r="B29" s="129" t="s">
        <v>33</v>
      </c>
      <c r="C29" s="814">
        <f>ROUND(4*N5,2)</f>
        <v>6</v>
      </c>
      <c r="D29" s="629">
        <f>ROUND(($D$2-1)*1*N5,2)</f>
        <v>0</v>
      </c>
      <c r="E29" s="658">
        <v>0</v>
      </c>
      <c r="F29" s="658"/>
      <c r="G29" s="814">
        <f t="shared" si="1"/>
        <v>6</v>
      </c>
      <c r="H29" s="813">
        <f>G29*60%</f>
        <v>3.5999999999999996</v>
      </c>
      <c r="I29" s="813">
        <f>G29*25%</f>
        <v>1.5</v>
      </c>
      <c r="J29" s="813">
        <f>G29*15%</f>
        <v>0.89999999999999991</v>
      </c>
      <c r="K29" s="2281"/>
    </row>
    <row r="30" spans="1:11" x14ac:dyDescent="0.25">
      <c r="A30" s="2286"/>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82"/>
    </row>
    <row r="31" spans="1:11" x14ac:dyDescent="0.25">
      <c r="A31" s="2286" t="s">
        <v>1454</v>
      </c>
      <c r="B31" s="129" t="s">
        <v>32</v>
      </c>
      <c r="C31" s="814">
        <f>ROUND(4*N4,2)</f>
        <v>4.8</v>
      </c>
      <c r="D31" s="629">
        <f>ROUND(($D$2-1)*3*N4,2)</f>
        <v>0</v>
      </c>
      <c r="E31" s="658">
        <v>0</v>
      </c>
      <c r="F31" s="658"/>
      <c r="G31" s="814">
        <f t="shared" si="1"/>
        <v>4.8</v>
      </c>
      <c r="H31" s="813">
        <f>G31*70%</f>
        <v>3.36</v>
      </c>
      <c r="I31" s="813">
        <f>G31*20%</f>
        <v>0.96</v>
      </c>
      <c r="J31" s="813">
        <f>G31*10%</f>
        <v>0.48</v>
      </c>
      <c r="K31" s="2280" t="s">
        <v>1455</v>
      </c>
    </row>
    <row r="32" spans="1:11" x14ac:dyDescent="0.25">
      <c r="A32" s="2286"/>
      <c r="B32" s="129" t="s">
        <v>33</v>
      </c>
      <c r="C32" s="814">
        <f>ROUND(6*N5,2)</f>
        <v>9</v>
      </c>
      <c r="D32" s="629">
        <f>ROUND(($D$2-1)*5*N5,2)</f>
        <v>0</v>
      </c>
      <c r="E32" s="658">
        <v>0</v>
      </c>
      <c r="F32" s="658"/>
      <c r="G32" s="814">
        <f t="shared" si="1"/>
        <v>9</v>
      </c>
      <c r="H32" s="813">
        <f>G32*60%</f>
        <v>5.3999999999999995</v>
      </c>
      <c r="I32" s="813">
        <f>G32*25%</f>
        <v>2.25</v>
      </c>
      <c r="J32" s="813">
        <f>G32*15%</f>
        <v>1.3499999999999999</v>
      </c>
      <c r="K32" s="2281"/>
    </row>
    <row r="33" spans="1:11" x14ac:dyDescent="0.25">
      <c r="A33" s="2286"/>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82"/>
    </row>
    <row r="34" spans="1:11" x14ac:dyDescent="0.25">
      <c r="A34" s="2286" t="s">
        <v>1456</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86"/>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86"/>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86" t="s">
        <v>1457</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86"/>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86"/>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13:A15"/>
    <mergeCell ref="A16:A18"/>
    <mergeCell ref="A19:A21"/>
    <mergeCell ref="K28:K30"/>
    <mergeCell ref="A31:A33"/>
    <mergeCell ref="K31:K33"/>
    <mergeCell ref="K25:K27"/>
    <mergeCell ref="M1:N3"/>
    <mergeCell ref="A4:A6"/>
    <mergeCell ref="K4:K6"/>
    <mergeCell ref="A7:A9"/>
    <mergeCell ref="K7:K9"/>
    <mergeCell ref="J1:J2"/>
    <mergeCell ref="K1:K2"/>
    <mergeCell ref="A10:A12"/>
    <mergeCell ref="C1:C2"/>
    <mergeCell ref="G1:G2"/>
    <mergeCell ref="H1:H2"/>
    <mergeCell ref="I1:I2"/>
    <mergeCell ref="A34:A36"/>
    <mergeCell ref="A37:A39"/>
    <mergeCell ref="A28:A30"/>
    <mergeCell ref="A22:A24"/>
    <mergeCell ref="A25:A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776</v>
      </c>
      <c r="B1" t="s">
        <v>777</v>
      </c>
      <c r="C1" t="s">
        <v>778</v>
      </c>
      <c r="D1" t="s">
        <v>779</v>
      </c>
    </row>
    <row r="2" spans="1:27" x14ac:dyDescent="0.25">
      <c r="A2" t="s">
        <v>712</v>
      </c>
      <c r="B2" t="s">
        <v>106</v>
      </c>
      <c r="D2" t="s">
        <v>780</v>
      </c>
    </row>
    <row r="3" spans="1:27" x14ac:dyDescent="0.25">
      <c r="A3" t="s">
        <v>713</v>
      </c>
      <c r="B3" t="s">
        <v>107</v>
      </c>
      <c r="D3" t="s">
        <v>704</v>
      </c>
    </row>
    <row r="4" spans="1:27" x14ac:dyDescent="0.25">
      <c r="A4" t="s">
        <v>714</v>
      </c>
      <c r="D4" t="s">
        <v>781</v>
      </c>
    </row>
    <row r="5" spans="1:27" x14ac:dyDescent="0.25">
      <c r="A5" t="s">
        <v>53</v>
      </c>
      <c r="D5" t="s">
        <v>782</v>
      </c>
    </row>
    <row r="6" spans="1:27" x14ac:dyDescent="0.25">
      <c r="A6" t="s">
        <v>120</v>
      </c>
      <c r="D6" t="s">
        <v>783</v>
      </c>
    </row>
    <row r="7" spans="1:27" x14ac:dyDescent="0.25">
      <c r="D7" t="s">
        <v>1220</v>
      </c>
    </row>
    <row r="8" spans="1:27" x14ac:dyDescent="0.25">
      <c r="A8" t="s">
        <v>784</v>
      </c>
    </row>
    <row r="9" spans="1:27" x14ac:dyDescent="0.25">
      <c r="A9" s="970" t="s">
        <v>785</v>
      </c>
      <c r="B9" s="970" t="s">
        <v>786</v>
      </c>
      <c r="C9" s="970" t="s">
        <v>787</v>
      </c>
      <c r="D9" s="970" t="s">
        <v>788</v>
      </c>
      <c r="E9" s="970" t="s">
        <v>789</v>
      </c>
      <c r="F9" s="970" t="s">
        <v>790</v>
      </c>
      <c r="G9" s="970" t="s">
        <v>791</v>
      </c>
      <c r="H9" s="970" t="s">
        <v>792</v>
      </c>
      <c r="I9" s="970" t="s">
        <v>793</v>
      </c>
      <c r="J9" s="970" t="s">
        <v>794</v>
      </c>
      <c r="K9" s="970" t="s">
        <v>795</v>
      </c>
      <c r="L9" s="970" t="s">
        <v>796</v>
      </c>
      <c r="M9" s="970" t="s">
        <v>797</v>
      </c>
      <c r="N9" s="970" t="s">
        <v>798</v>
      </c>
      <c r="O9" s="970" t="s">
        <v>799</v>
      </c>
      <c r="P9" s="970" t="s">
        <v>800</v>
      </c>
      <c r="Q9" s="970" t="s">
        <v>801</v>
      </c>
      <c r="R9" s="970" t="s">
        <v>802</v>
      </c>
      <c r="S9" s="970" t="s">
        <v>803</v>
      </c>
      <c r="T9" s="970" t="s">
        <v>804</v>
      </c>
      <c r="U9" s="970" t="s">
        <v>805</v>
      </c>
      <c r="V9" s="970" t="s">
        <v>806</v>
      </c>
      <c r="W9" s="970" t="s">
        <v>807</v>
      </c>
      <c r="X9" s="970" t="s">
        <v>808</v>
      </c>
      <c r="Y9" s="970" t="s">
        <v>809</v>
      </c>
      <c r="Z9" s="970" t="s">
        <v>810</v>
      </c>
      <c r="AA9" s="970" t="s">
        <v>811</v>
      </c>
    </row>
    <row r="10" spans="1:27" ht="30" x14ac:dyDescent="0.25">
      <c r="A10" s="1017" t="s">
        <v>356</v>
      </c>
      <c r="B10" s="1018" t="s">
        <v>812</v>
      </c>
      <c r="C10" s="970" t="s">
        <v>813</v>
      </c>
      <c r="D10" s="970" t="s">
        <v>814</v>
      </c>
      <c r="E10" s="970" t="s">
        <v>371</v>
      </c>
      <c r="F10" s="970" t="s">
        <v>376</v>
      </c>
      <c r="G10" s="970" t="s">
        <v>352</v>
      </c>
      <c r="H10" s="970" t="s">
        <v>815</v>
      </c>
      <c r="I10" s="1019" t="s">
        <v>816</v>
      </c>
      <c r="J10" s="970" t="s">
        <v>817</v>
      </c>
      <c r="K10" s="970" t="s">
        <v>111</v>
      </c>
      <c r="L10" s="970" t="s">
        <v>818</v>
      </c>
      <c r="M10" s="970" t="s">
        <v>360</v>
      </c>
      <c r="N10" s="970" t="s">
        <v>418</v>
      </c>
      <c r="O10" s="970" t="s">
        <v>819</v>
      </c>
      <c r="P10" s="970" t="s">
        <v>820</v>
      </c>
      <c r="Q10" s="970" t="s">
        <v>380</v>
      </c>
      <c r="R10" s="970" t="s">
        <v>821</v>
      </c>
      <c r="S10" s="970" t="s">
        <v>822</v>
      </c>
      <c r="T10" s="970" t="s">
        <v>823</v>
      </c>
      <c r="U10" s="970" t="s">
        <v>824</v>
      </c>
      <c r="V10" s="970" t="s">
        <v>825</v>
      </c>
      <c r="W10" s="970" t="s">
        <v>433</v>
      </c>
      <c r="X10" s="970" t="s">
        <v>434</v>
      </c>
      <c r="Y10" s="970" t="s">
        <v>826</v>
      </c>
      <c r="Z10" s="970" t="s">
        <v>827</v>
      </c>
      <c r="AA10" s="970" t="s">
        <v>828</v>
      </c>
    </row>
    <row r="11" spans="1:27" ht="30" x14ac:dyDescent="0.25">
      <c r="A11" s="1017" t="s">
        <v>283</v>
      </c>
      <c r="B11" s="1017" t="s">
        <v>347</v>
      </c>
      <c r="C11" s="970" t="s">
        <v>365</v>
      </c>
      <c r="D11" s="970" t="s">
        <v>829</v>
      </c>
      <c r="E11" s="970" t="s">
        <v>288</v>
      </c>
      <c r="F11" s="970" t="s">
        <v>377</v>
      </c>
      <c r="G11" s="970" t="s">
        <v>830</v>
      </c>
      <c r="H11" s="970" t="s">
        <v>373</v>
      </c>
      <c r="I11" s="970" t="s">
        <v>285</v>
      </c>
      <c r="J11" s="970" t="s">
        <v>395</v>
      </c>
      <c r="K11" s="970" t="s">
        <v>818</v>
      </c>
      <c r="L11" s="970" t="s">
        <v>410</v>
      </c>
      <c r="M11" s="970" t="s">
        <v>831</v>
      </c>
      <c r="N11" s="970" t="s">
        <v>832</v>
      </c>
      <c r="O11" s="970" t="s">
        <v>421</v>
      </c>
      <c r="P11" s="970" t="s">
        <v>423</v>
      </c>
      <c r="Q11" s="970" t="s">
        <v>381</v>
      </c>
      <c r="R11" s="970" t="s">
        <v>426</v>
      </c>
      <c r="S11" s="970"/>
      <c r="T11" s="970" t="s">
        <v>537</v>
      </c>
      <c r="U11" s="970"/>
      <c r="V11" s="970" t="s">
        <v>431</v>
      </c>
      <c r="W11" s="970"/>
      <c r="X11" s="970" t="s">
        <v>435</v>
      </c>
      <c r="Y11" s="970" t="s">
        <v>437</v>
      </c>
      <c r="Z11" s="970" t="s">
        <v>833</v>
      </c>
      <c r="AA11" s="970" t="s">
        <v>834</v>
      </c>
    </row>
    <row r="12" spans="1:27" ht="14.45" customHeight="1" x14ac:dyDescent="0.25">
      <c r="A12" s="1017" t="s">
        <v>835</v>
      </c>
      <c r="B12" s="1017" t="s">
        <v>348</v>
      </c>
      <c r="C12" s="970" t="s">
        <v>836</v>
      </c>
      <c r="D12" s="970" t="s">
        <v>367</v>
      </c>
      <c r="E12" s="970"/>
      <c r="F12" s="970" t="s">
        <v>378</v>
      </c>
      <c r="G12" s="970"/>
      <c r="H12" s="970" t="s">
        <v>374</v>
      </c>
      <c r="I12" s="970" t="s">
        <v>286</v>
      </c>
      <c r="J12" s="970" t="s">
        <v>837</v>
      </c>
      <c r="K12" s="970" t="s">
        <v>838</v>
      </c>
      <c r="L12" s="970" t="s">
        <v>411</v>
      </c>
      <c r="M12" s="970" t="s">
        <v>362</v>
      </c>
      <c r="N12" s="970"/>
      <c r="O12" s="970"/>
      <c r="P12" s="970" t="s">
        <v>424</v>
      </c>
      <c r="Q12" s="970" t="s">
        <v>831</v>
      </c>
      <c r="R12" s="970" t="s">
        <v>427</v>
      </c>
      <c r="S12" s="970"/>
      <c r="T12" s="970" t="s">
        <v>539</v>
      </c>
      <c r="U12" s="970"/>
      <c r="V12" s="970" t="s">
        <v>432</v>
      </c>
      <c r="W12" s="970"/>
      <c r="X12" s="970"/>
      <c r="Y12" s="970"/>
      <c r="Z12" s="970" t="s">
        <v>839</v>
      </c>
      <c r="AA12" s="970" t="s">
        <v>840</v>
      </c>
    </row>
    <row r="13" spans="1:27" x14ac:dyDescent="0.25">
      <c r="A13" s="1017" t="s">
        <v>358</v>
      </c>
      <c r="B13" s="1017" t="s">
        <v>841</v>
      </c>
      <c r="C13" s="970" t="s">
        <v>842</v>
      </c>
      <c r="D13" s="970" t="s">
        <v>368</v>
      </c>
      <c r="E13" s="970"/>
      <c r="F13" s="970" t="s">
        <v>379</v>
      </c>
      <c r="G13" s="970"/>
      <c r="H13" s="970"/>
      <c r="I13" s="970" t="s">
        <v>287</v>
      </c>
      <c r="J13" s="970" t="s">
        <v>843</v>
      </c>
      <c r="K13" s="970"/>
      <c r="L13" s="970" t="s">
        <v>412</v>
      </c>
      <c r="M13" s="970"/>
      <c r="N13" s="970"/>
      <c r="O13" s="970"/>
      <c r="P13" s="970"/>
      <c r="Q13" s="970" t="s">
        <v>382</v>
      </c>
      <c r="R13" s="970" t="s">
        <v>428</v>
      </c>
      <c r="S13" s="970"/>
      <c r="T13" s="970"/>
      <c r="U13" s="970"/>
      <c r="V13" s="970"/>
      <c r="W13" s="970"/>
      <c r="X13" s="970"/>
      <c r="Y13" s="970"/>
      <c r="Z13" s="970" t="s">
        <v>844</v>
      </c>
      <c r="AA13" s="970" t="s">
        <v>845</v>
      </c>
    </row>
    <row r="14" spans="1:27" x14ac:dyDescent="0.25">
      <c r="A14" s="970"/>
      <c r="B14" s="1017" t="s">
        <v>846</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847</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848</v>
      </c>
      <c r="AA15" s="970"/>
    </row>
    <row r="16" spans="1:27" x14ac:dyDescent="0.25">
      <c r="A16" s="993"/>
      <c r="B16" s="1021" t="s">
        <v>354</v>
      </c>
    </row>
    <row r="17" spans="1:17" x14ac:dyDescent="0.25">
      <c r="A17" s="970"/>
      <c r="B17" s="1022" t="s">
        <v>352</v>
      </c>
    </row>
    <row r="21" spans="1:17" x14ac:dyDescent="0.25">
      <c r="A21" s="1023" t="s">
        <v>849</v>
      </c>
      <c r="B21" s="1023" t="s">
        <v>36</v>
      </c>
      <c r="C21" s="1023" t="s">
        <v>850</v>
      </c>
      <c r="D21" s="1023" t="s">
        <v>851</v>
      </c>
      <c r="E21" s="1023" t="s">
        <v>852</v>
      </c>
      <c r="F21" s="1023" t="s">
        <v>853</v>
      </c>
      <c r="G21" s="1023" t="s">
        <v>854</v>
      </c>
      <c r="H21" s="1023" t="s">
        <v>855</v>
      </c>
      <c r="I21" s="1023" t="s">
        <v>856</v>
      </c>
      <c r="J21" s="1023" t="s">
        <v>857</v>
      </c>
      <c r="K21" s="1023" t="s">
        <v>858</v>
      </c>
      <c r="L21" s="1023" t="s">
        <v>859</v>
      </c>
      <c r="M21" s="1023" t="s">
        <v>860</v>
      </c>
      <c r="N21" s="1023" t="s">
        <v>861</v>
      </c>
      <c r="O21" s="1024" t="s">
        <v>862</v>
      </c>
      <c r="P21" s="1025" t="s">
        <v>863</v>
      </c>
      <c r="Q21" s="1026" t="s">
        <v>864</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865</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866</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641</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640</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867</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868</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869</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602</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603</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604</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870</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871</v>
      </c>
      <c r="B4" s="1141" t="s">
        <v>872</v>
      </c>
      <c r="C4" s="1142" t="s">
        <v>873</v>
      </c>
      <c r="D4" s="1141" t="s">
        <v>52</v>
      </c>
      <c r="E4" s="1142" t="s">
        <v>714</v>
      </c>
      <c r="F4" s="1142" t="s">
        <v>713</v>
      </c>
      <c r="G4" s="1142" t="s">
        <v>712</v>
      </c>
      <c r="H4" s="1141" t="s">
        <v>874</v>
      </c>
    </row>
    <row r="5" spans="1:8" ht="89.25" x14ac:dyDescent="0.25">
      <c r="A5" s="1037" t="s">
        <v>875</v>
      </c>
      <c r="B5" s="1038">
        <f>ТрЗ_ОВ!E111</f>
        <v>0</v>
      </c>
      <c r="C5" s="1040"/>
      <c r="D5" s="1039"/>
      <c r="E5" s="1040"/>
      <c r="F5" s="1039"/>
      <c r="G5" s="1040"/>
      <c r="H5" s="1039" t="s">
        <v>1019</v>
      </c>
    </row>
    <row r="6" spans="1:8" x14ac:dyDescent="0.25">
      <c r="A6" s="1037" t="s">
        <v>1182</v>
      </c>
      <c r="B6" s="1038">
        <f>ТрЗ_ОВ!H111</f>
        <v>0</v>
      </c>
      <c r="C6" s="1040"/>
      <c r="D6" s="1039"/>
      <c r="E6" s="1040"/>
      <c r="F6" s="1039"/>
      <c r="G6" s="1040"/>
      <c r="H6" s="1039"/>
    </row>
    <row r="7" spans="1:8" x14ac:dyDescent="0.25">
      <c r="A7" s="1037" t="s">
        <v>879</v>
      </c>
      <c r="B7" s="1232">
        <v>1</v>
      </c>
      <c r="C7" s="1242">
        <v>4</v>
      </c>
      <c r="D7" s="1130">
        <v>4</v>
      </c>
      <c r="E7" s="1040"/>
      <c r="F7" s="1039">
        <f>D7/8</f>
        <v>0.5</v>
      </c>
      <c r="G7" s="1040"/>
      <c r="H7" s="1039"/>
    </row>
    <row r="8" spans="1:8" x14ac:dyDescent="0.25">
      <c r="A8" s="1037" t="s">
        <v>880</v>
      </c>
      <c r="B8" s="1143" t="s">
        <v>881</v>
      </c>
      <c r="C8" s="1242"/>
      <c r="D8" s="1130"/>
      <c r="E8" s="1040"/>
      <c r="F8" s="1040"/>
      <c r="G8" s="1040"/>
      <c r="H8" s="1039"/>
    </row>
    <row r="9" spans="1:8" x14ac:dyDescent="0.25">
      <c r="A9" s="1042" t="s">
        <v>882</v>
      </c>
      <c r="B9" s="1049">
        <v>1</v>
      </c>
      <c r="C9" s="1242">
        <v>1</v>
      </c>
      <c r="D9" s="1130">
        <f t="shared" ref="D9:D12" si="0">C9*$B$6</f>
        <v>0</v>
      </c>
      <c r="E9" s="1040">
        <f t="shared" ref="E9:F12" si="1">0.5*$D9</f>
        <v>0</v>
      </c>
      <c r="F9" s="1040">
        <f t="shared" si="1"/>
        <v>0</v>
      </c>
      <c r="G9" s="1040"/>
      <c r="H9" s="1039"/>
    </row>
    <row r="10" spans="1:8" x14ac:dyDescent="0.25">
      <c r="A10" s="1042" t="s">
        <v>883</v>
      </c>
      <c r="B10" s="1049">
        <v>1</v>
      </c>
      <c r="C10" s="1242">
        <v>1</v>
      </c>
      <c r="D10" s="1130">
        <f t="shared" si="0"/>
        <v>0</v>
      </c>
      <c r="E10" s="1040">
        <f t="shared" si="1"/>
        <v>0</v>
      </c>
      <c r="F10" s="1040">
        <f t="shared" si="1"/>
        <v>0</v>
      </c>
      <c r="G10" s="1040"/>
      <c r="H10" s="1039"/>
    </row>
    <row r="11" spans="1:8" x14ac:dyDescent="0.25">
      <c r="A11" s="1042" t="s">
        <v>884</v>
      </c>
      <c r="B11" s="1049">
        <v>1</v>
      </c>
      <c r="C11" s="1242">
        <v>1</v>
      </c>
      <c r="D11" s="1130">
        <f t="shared" si="0"/>
        <v>0</v>
      </c>
      <c r="E11" s="1040">
        <f t="shared" si="1"/>
        <v>0</v>
      </c>
      <c r="F11" s="1040">
        <f t="shared" si="1"/>
        <v>0</v>
      </c>
      <c r="G11" s="1040"/>
      <c r="H11" s="1039"/>
    </row>
    <row r="12" spans="1:8" x14ac:dyDescent="0.25">
      <c r="A12" s="1042" t="s">
        <v>885</v>
      </c>
      <c r="B12" s="1049">
        <v>1</v>
      </c>
      <c r="C12" s="1242">
        <v>1</v>
      </c>
      <c r="D12" s="1130">
        <f t="shared" si="0"/>
        <v>0</v>
      </c>
      <c r="E12" s="1040">
        <f t="shared" si="1"/>
        <v>0</v>
      </c>
      <c r="F12" s="1040">
        <f t="shared" si="1"/>
        <v>0</v>
      </c>
      <c r="G12" s="1040"/>
      <c r="H12" s="1039"/>
    </row>
    <row r="13" spans="1:8" x14ac:dyDescent="0.25">
      <c r="A13" s="1037" t="s">
        <v>886</v>
      </c>
      <c r="B13" s="1049"/>
      <c r="C13" s="1242"/>
      <c r="D13" s="1130"/>
      <c r="E13" s="1040"/>
      <c r="F13" s="1039"/>
      <c r="G13" s="1040"/>
      <c r="H13" s="1039"/>
    </row>
    <row r="14" spans="1:8" x14ac:dyDescent="0.25">
      <c r="A14" s="1037" t="s">
        <v>887</v>
      </c>
      <c r="B14" s="1049"/>
      <c r="C14" s="1242"/>
      <c r="D14" s="1130"/>
      <c r="E14" s="1040"/>
      <c r="F14" s="1039"/>
      <c r="G14" s="1040"/>
      <c r="H14" s="1039"/>
    </row>
    <row r="15" spans="1:8" x14ac:dyDescent="0.25">
      <c r="A15" s="1042" t="s">
        <v>888</v>
      </c>
      <c r="B15" s="1049">
        <v>1</v>
      </c>
      <c r="C15" s="1242">
        <v>1</v>
      </c>
      <c r="D15" s="1130">
        <f>C15*$B$6</f>
        <v>0</v>
      </c>
      <c r="E15" s="1040">
        <f>0.5*$D15</f>
        <v>0</v>
      </c>
      <c r="F15" s="1040">
        <f>0.5*$D15</f>
        <v>0</v>
      </c>
      <c r="G15" s="1040"/>
      <c r="H15" s="1039"/>
    </row>
    <row r="16" spans="1:8" x14ac:dyDescent="0.25">
      <c r="A16" s="1234" t="s">
        <v>936</v>
      </c>
      <c r="B16" s="1049">
        <v>1</v>
      </c>
      <c r="C16" s="1242">
        <v>1</v>
      </c>
      <c r="D16" s="1130">
        <f t="shared" ref="D16:D31" si="2">C16*$B$6</f>
        <v>0</v>
      </c>
      <c r="E16" s="1040">
        <f t="shared" ref="E16:F31" si="3">0.5*$D16</f>
        <v>0</v>
      </c>
      <c r="F16" s="1223">
        <f t="shared" si="3"/>
        <v>0</v>
      </c>
      <c r="G16" s="1130"/>
      <c r="H16" s="1130"/>
    </row>
    <row r="17" spans="1:8" x14ac:dyDescent="0.25">
      <c r="A17" s="1234" t="s">
        <v>1024</v>
      </c>
      <c r="B17" s="1049">
        <v>1</v>
      </c>
      <c r="C17" s="1242">
        <v>1</v>
      </c>
      <c r="D17" s="1130">
        <f t="shared" si="2"/>
        <v>0</v>
      </c>
      <c r="E17" s="1040">
        <f t="shared" si="3"/>
        <v>0</v>
      </c>
      <c r="F17" s="1223">
        <f t="shared" si="3"/>
        <v>0</v>
      </c>
      <c r="G17" s="1130"/>
      <c r="H17" s="1130"/>
    </row>
    <row r="18" spans="1:8" x14ac:dyDescent="0.25">
      <c r="A18" s="1234" t="s">
        <v>1183</v>
      </c>
      <c r="B18" s="1049">
        <v>1</v>
      </c>
      <c r="C18" s="1242">
        <v>0.5</v>
      </c>
      <c r="D18" s="1130">
        <f t="shared" si="2"/>
        <v>0</v>
      </c>
      <c r="E18" s="1040">
        <f t="shared" si="3"/>
        <v>0</v>
      </c>
      <c r="F18" s="1223">
        <f t="shared" si="3"/>
        <v>0</v>
      </c>
      <c r="G18" s="1130"/>
      <c r="H18" s="1130"/>
    </row>
    <row r="19" spans="1:8" x14ac:dyDescent="0.25">
      <c r="A19" s="1234" t="s">
        <v>1025</v>
      </c>
      <c r="B19" s="1049">
        <v>1</v>
      </c>
      <c r="C19" s="1242">
        <v>2</v>
      </c>
      <c r="D19" s="1130">
        <f t="shared" si="2"/>
        <v>0</v>
      </c>
      <c r="E19" s="1040">
        <f t="shared" si="3"/>
        <v>0</v>
      </c>
      <c r="F19" s="1223">
        <f t="shared" si="3"/>
        <v>0</v>
      </c>
      <c r="G19" s="1130"/>
      <c r="H19" s="1130"/>
    </row>
    <row r="20" spans="1:8" x14ac:dyDescent="0.25">
      <c r="A20" s="268" t="s">
        <v>1181</v>
      </c>
      <c r="B20" s="1049">
        <v>1</v>
      </c>
      <c r="C20" s="1242">
        <v>0.5</v>
      </c>
      <c r="D20" s="1130">
        <f t="shared" si="2"/>
        <v>0</v>
      </c>
      <c r="E20" s="1040">
        <f t="shared" si="3"/>
        <v>0</v>
      </c>
      <c r="F20" s="1223">
        <f t="shared" si="3"/>
        <v>0</v>
      </c>
      <c r="G20" s="268"/>
      <c r="H20" s="268"/>
    </row>
    <row r="21" spans="1:8" x14ac:dyDescent="0.25">
      <c r="A21" s="1042" t="s">
        <v>1026</v>
      </c>
      <c r="B21" s="1049">
        <v>1</v>
      </c>
      <c r="C21" s="1242">
        <v>2</v>
      </c>
      <c r="D21" s="1130">
        <f t="shared" si="2"/>
        <v>0</v>
      </c>
      <c r="E21" s="1040">
        <f t="shared" si="3"/>
        <v>0</v>
      </c>
      <c r="F21" s="1040">
        <f t="shared" si="3"/>
        <v>0</v>
      </c>
      <c r="G21" s="1040"/>
      <c r="H21" s="1039"/>
    </row>
    <row r="22" spans="1:8" x14ac:dyDescent="0.25">
      <c r="A22" s="1150" t="s">
        <v>1158</v>
      </c>
      <c r="B22" s="1049"/>
      <c r="C22" s="1242"/>
      <c r="D22" s="1130"/>
      <c r="E22" s="1040"/>
      <c r="F22" s="1040"/>
      <c r="G22" s="1040"/>
      <c r="H22" s="1039"/>
    </row>
    <row r="23" spans="1:8" x14ac:dyDescent="0.25">
      <c r="A23" s="1234" t="s">
        <v>1184</v>
      </c>
      <c r="B23" s="1049">
        <v>1</v>
      </c>
      <c r="C23" s="1099">
        <v>1</v>
      </c>
      <c r="D23" s="1130">
        <f t="shared" si="2"/>
        <v>0</v>
      </c>
      <c r="E23" s="1040">
        <f t="shared" si="3"/>
        <v>0</v>
      </c>
      <c r="F23" s="1040">
        <f t="shared" si="3"/>
        <v>0</v>
      </c>
      <c r="G23" s="1040"/>
      <c r="H23" s="1039"/>
    </row>
    <row r="24" spans="1:8" x14ac:dyDescent="0.25">
      <c r="A24" s="1234" t="s">
        <v>1185</v>
      </c>
      <c r="B24" s="1049">
        <v>0.5</v>
      </c>
      <c r="C24" s="1099">
        <v>0.5</v>
      </c>
      <c r="D24" s="1130">
        <f t="shared" si="2"/>
        <v>0</v>
      </c>
      <c r="E24" s="1040">
        <f t="shared" si="3"/>
        <v>0</v>
      </c>
      <c r="F24" s="1040">
        <f t="shared" si="3"/>
        <v>0</v>
      </c>
      <c r="G24" s="1040"/>
      <c r="H24" s="1039"/>
    </row>
    <row r="25" spans="1:8" x14ac:dyDescent="0.25">
      <c r="A25" s="1234" t="s">
        <v>1186</v>
      </c>
      <c r="B25" s="1049">
        <v>1</v>
      </c>
      <c r="C25" s="1099">
        <v>1</v>
      </c>
      <c r="D25" s="1130">
        <f t="shared" si="2"/>
        <v>0</v>
      </c>
      <c r="E25" s="1040">
        <f t="shared" si="3"/>
        <v>0</v>
      </c>
      <c r="F25" s="1040">
        <f t="shared" si="3"/>
        <v>0</v>
      </c>
      <c r="G25" s="1040"/>
      <c r="H25" s="1039"/>
    </row>
    <row r="26" spans="1:8" x14ac:dyDescent="0.25">
      <c r="A26" s="1234" t="s">
        <v>1187</v>
      </c>
      <c r="B26" s="1049">
        <v>1</v>
      </c>
      <c r="C26" s="1099">
        <v>0.5</v>
      </c>
      <c r="D26" s="1130">
        <f t="shared" si="2"/>
        <v>0</v>
      </c>
      <c r="E26" s="1040">
        <f t="shared" si="3"/>
        <v>0</v>
      </c>
      <c r="F26" s="1040">
        <f t="shared" si="3"/>
        <v>0</v>
      </c>
      <c r="G26" s="1040"/>
      <c r="H26" s="1039"/>
    </row>
    <row r="27" spans="1:8" x14ac:dyDescent="0.25">
      <c r="A27" s="1234" t="s">
        <v>1188</v>
      </c>
      <c r="B27" s="1049">
        <v>0.5</v>
      </c>
      <c r="C27" s="1099">
        <v>0.5</v>
      </c>
      <c r="D27" s="1130">
        <f t="shared" si="2"/>
        <v>0</v>
      </c>
      <c r="E27" s="1040">
        <f t="shared" si="3"/>
        <v>0</v>
      </c>
      <c r="F27" s="1040">
        <f t="shared" si="3"/>
        <v>0</v>
      </c>
      <c r="G27" s="1040"/>
      <c r="H27" s="1039"/>
    </row>
    <row r="28" spans="1:8" x14ac:dyDescent="0.25">
      <c r="A28" s="1234" t="s">
        <v>1189</v>
      </c>
      <c r="B28" s="1049">
        <v>0.5</v>
      </c>
      <c r="C28" s="1099">
        <v>0.5</v>
      </c>
      <c r="D28" s="1130">
        <f t="shared" si="2"/>
        <v>0</v>
      </c>
      <c r="E28" s="1040">
        <f t="shared" si="3"/>
        <v>0</v>
      </c>
      <c r="F28" s="1040">
        <f t="shared" si="3"/>
        <v>0</v>
      </c>
      <c r="G28" s="1040"/>
      <c r="H28" s="1039"/>
    </row>
    <row r="29" spans="1:8" x14ac:dyDescent="0.25">
      <c r="A29" s="1234" t="s">
        <v>1190</v>
      </c>
      <c r="B29" s="1049">
        <v>0.5</v>
      </c>
      <c r="C29" s="1099">
        <v>0.5</v>
      </c>
      <c r="D29" s="1130">
        <f t="shared" si="2"/>
        <v>0</v>
      </c>
      <c r="E29" s="1040">
        <f t="shared" si="3"/>
        <v>0</v>
      </c>
      <c r="F29" s="1040">
        <f t="shared" si="3"/>
        <v>0</v>
      </c>
      <c r="G29" s="1040"/>
      <c r="H29" s="1039"/>
    </row>
    <row r="30" spans="1:8" x14ac:dyDescent="0.25">
      <c r="A30" s="1234" t="s">
        <v>1191</v>
      </c>
      <c r="B30" s="1049">
        <v>2</v>
      </c>
      <c r="C30" s="1099">
        <v>0.5</v>
      </c>
      <c r="D30" s="1130">
        <f t="shared" si="2"/>
        <v>0</v>
      </c>
      <c r="E30" s="1040">
        <f t="shared" si="3"/>
        <v>0</v>
      </c>
      <c r="F30" s="1040">
        <f t="shared" si="3"/>
        <v>0</v>
      </c>
      <c r="G30" s="1040"/>
      <c r="H30" s="1039"/>
    </row>
    <row r="31" spans="1:8" x14ac:dyDescent="0.25">
      <c r="A31" s="1234" t="s">
        <v>1192</v>
      </c>
      <c r="B31" s="1049">
        <v>0.5</v>
      </c>
      <c r="C31" s="1099">
        <v>0.5</v>
      </c>
      <c r="D31" s="1130">
        <f t="shared" si="2"/>
        <v>0</v>
      </c>
      <c r="E31" s="1040">
        <f t="shared" si="3"/>
        <v>0</v>
      </c>
      <c r="F31" s="1040">
        <f t="shared" si="3"/>
        <v>0</v>
      </c>
      <c r="G31" s="1040"/>
      <c r="H31" s="1039"/>
    </row>
    <row r="32" spans="1:8" ht="25.5" x14ac:dyDescent="0.25">
      <c r="A32" s="1037" t="s">
        <v>962</v>
      </c>
      <c r="B32" s="1049">
        <v>1</v>
      </c>
      <c r="C32" s="1242" t="s">
        <v>896</v>
      </c>
      <c r="D32" s="1130">
        <f>ROUNDUP(IF(0.1*(SUM($D$15:$D$21))&gt;8,0.1*(SUM($D$15:$D$21)),8),0)</f>
        <v>8</v>
      </c>
      <c r="E32" s="1040"/>
      <c r="F32" s="1040">
        <f>0.5*$D32</f>
        <v>4</v>
      </c>
      <c r="G32" s="1040">
        <f>0.5*$D32</f>
        <v>4</v>
      </c>
      <c r="H32" s="1039"/>
    </row>
    <row r="33" spans="1:8" ht="26.25" thickBot="1" x14ac:dyDescent="0.3">
      <c r="A33" s="1070" t="s">
        <v>963</v>
      </c>
      <c r="B33" s="1049">
        <v>1</v>
      </c>
      <c r="C33" s="1242" t="s">
        <v>898</v>
      </c>
      <c r="D33" s="1130">
        <f>ROUNDUP(IF(0.05*(SUM($D$15:$D$21))&gt;8,0.05*(SUM($D$15:$D$21)),8),0)</f>
        <v>8</v>
      </c>
      <c r="E33" s="1155"/>
      <c r="F33" s="1155">
        <f>0.5*$D33</f>
        <v>4</v>
      </c>
      <c r="G33" s="1155">
        <f>0.5*$D33</f>
        <v>4</v>
      </c>
      <c r="H33" s="1156"/>
    </row>
    <row r="34" spans="1:8" x14ac:dyDescent="0.25">
      <c r="A34" s="1067" t="s">
        <v>563</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900</v>
      </c>
      <c r="D36" s="268">
        <f>ROUNDUP(SUM(D9:D12)/8,0)</f>
        <v>0</v>
      </c>
      <c r="E36" s="268">
        <f t="shared" ref="E36:F36" si="4">ROUNDUP(SUM(E9:E12)/8,0)</f>
        <v>0</v>
      </c>
      <c r="F36" s="268">
        <f t="shared" si="4"/>
        <v>0</v>
      </c>
      <c r="G36" s="268">
        <f>ROUNDUP(SUM(G7:G12)/8,0)</f>
        <v>0</v>
      </c>
      <c r="H36" s="1067"/>
    </row>
    <row r="37" spans="1:8" x14ac:dyDescent="0.25">
      <c r="A37" s="1067"/>
      <c r="B37" s="1067"/>
      <c r="C37" s="63" t="s">
        <v>901</v>
      </c>
      <c r="D37" s="63">
        <f>ROUNDUP(SUM(D15:D32)/8,0)</f>
        <v>1</v>
      </c>
      <c r="E37" s="63">
        <f>ROUNDUP(SUM(E15:E32)/8,0)</f>
        <v>0</v>
      </c>
      <c r="F37" s="63">
        <f>ROUNDUP(SUM(F15:F32)/8,0)</f>
        <v>1</v>
      </c>
      <c r="G37" s="63">
        <f>ROUNDUP(SUM(G15:G32)/8,0)</f>
        <v>1</v>
      </c>
      <c r="H37" s="1067"/>
    </row>
    <row r="38" spans="1:8" x14ac:dyDescent="0.25">
      <c r="A38" s="1067"/>
      <c r="B38" s="1067"/>
      <c r="C38" s="268" t="s">
        <v>902</v>
      </c>
      <c r="D38" s="268">
        <f>ROUNDUP(SUM(D33)/8,0)</f>
        <v>1</v>
      </c>
      <c r="E38" s="268">
        <f t="shared" ref="E38:G38" si="5">ROUNDUP(SUM(E33)/8,0)</f>
        <v>0</v>
      </c>
      <c r="F38" s="268">
        <f t="shared" si="5"/>
        <v>1</v>
      </c>
      <c r="G38" s="268">
        <f t="shared" si="5"/>
        <v>1</v>
      </c>
      <c r="H38" s="1067"/>
    </row>
    <row r="39" spans="1:8" x14ac:dyDescent="0.25">
      <c r="A39" s="1067"/>
      <c r="B39" s="1067"/>
      <c r="C39" s="63" t="s">
        <v>903</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c r="C2" s="1036"/>
      <c r="D2" s="1036"/>
      <c r="E2" s="1036"/>
      <c r="F2" s="1036"/>
      <c r="G2" s="1036"/>
      <c r="H2" s="1036"/>
    </row>
    <row r="3" spans="1:8" x14ac:dyDescent="0.25">
      <c r="A3" s="1037" t="s">
        <v>904</v>
      </c>
      <c r="B3" s="1038">
        <f>ТрЗ_ОВ!H164</f>
        <v>0</v>
      </c>
      <c r="C3" s="1039"/>
      <c r="D3" s="1039"/>
      <c r="E3" s="1039"/>
      <c r="F3" s="1039"/>
      <c r="G3" s="1039"/>
      <c r="H3" s="1039"/>
    </row>
    <row r="4" spans="1:8" x14ac:dyDescent="0.25">
      <c r="A4" s="1037" t="s">
        <v>879</v>
      </c>
      <c r="B4" s="1041"/>
      <c r="C4" s="1039"/>
      <c r="D4" s="1039"/>
      <c r="E4" s="1039"/>
      <c r="F4" s="1039"/>
      <c r="G4" s="1039"/>
      <c r="H4" s="1039"/>
    </row>
    <row r="5" spans="1:8" x14ac:dyDescent="0.25">
      <c r="A5" s="1037" t="s">
        <v>880</v>
      </c>
      <c r="B5" s="1041" t="s">
        <v>881</v>
      </c>
      <c r="C5" s="1039"/>
      <c r="D5" s="1039"/>
      <c r="E5" s="1039"/>
      <c r="F5" s="1039"/>
      <c r="G5" s="1039"/>
      <c r="H5" s="1039"/>
    </row>
    <row r="6" spans="1:8" x14ac:dyDescent="0.25">
      <c r="A6" s="1042" t="s">
        <v>882</v>
      </c>
      <c r="B6" s="1043">
        <v>1</v>
      </c>
      <c r="C6" s="1039"/>
      <c r="D6" s="1039"/>
      <c r="E6" s="1039"/>
      <c r="F6" s="1039"/>
      <c r="G6" s="1039"/>
      <c r="H6" s="1039"/>
    </row>
    <row r="7" spans="1:8" x14ac:dyDescent="0.25">
      <c r="A7" s="1042" t="s">
        <v>883</v>
      </c>
      <c r="B7" s="1043">
        <v>1</v>
      </c>
      <c r="C7" s="1039"/>
      <c r="D7" s="1039"/>
      <c r="E7" s="1039"/>
      <c r="F7" s="1039"/>
      <c r="G7" s="1039"/>
      <c r="H7" s="1039"/>
    </row>
    <row r="8" spans="1:8" x14ac:dyDescent="0.25">
      <c r="A8" s="1042" t="s">
        <v>884</v>
      </c>
      <c r="B8" s="1043">
        <v>1</v>
      </c>
      <c r="C8" s="1039"/>
      <c r="D8" s="1039"/>
      <c r="E8" s="1039"/>
      <c r="F8" s="1039"/>
      <c r="G8" s="1039"/>
      <c r="H8" s="1039"/>
    </row>
    <row r="9" spans="1:8" x14ac:dyDescent="0.25">
      <c r="A9" s="1042" t="s">
        <v>885</v>
      </c>
      <c r="B9" s="1043">
        <v>1</v>
      </c>
      <c r="C9" s="1039"/>
      <c r="D9" s="1039"/>
      <c r="E9" s="1039"/>
      <c r="F9" s="1039"/>
      <c r="G9" s="1039"/>
      <c r="H9" s="1039"/>
    </row>
    <row r="10" spans="1:8" x14ac:dyDescent="0.25">
      <c r="A10" s="1037" t="s">
        <v>886</v>
      </c>
      <c r="B10" s="1043"/>
      <c r="C10" s="1039"/>
      <c r="D10" s="1039"/>
      <c r="E10" s="1039"/>
      <c r="F10" s="1039"/>
      <c r="G10" s="1039"/>
      <c r="H10" s="1039"/>
    </row>
    <row r="11" spans="1:8" x14ac:dyDescent="0.25">
      <c r="A11" s="1037" t="s">
        <v>887</v>
      </c>
      <c r="B11" s="1043"/>
      <c r="C11" s="1039"/>
      <c r="D11" s="1039"/>
      <c r="E11" s="1039"/>
      <c r="F11" s="1039"/>
      <c r="G11" s="1039"/>
      <c r="H11" s="1039"/>
    </row>
    <row r="12" spans="1:8" x14ac:dyDescent="0.25">
      <c r="A12" s="1042" t="s">
        <v>905</v>
      </c>
      <c r="B12" s="1043">
        <v>1</v>
      </c>
      <c r="C12" s="1047">
        <v>2</v>
      </c>
      <c r="D12" s="1039">
        <f>C12*B3</f>
        <v>0</v>
      </c>
      <c r="E12" s="1039">
        <f>0.5*D12</f>
        <v>0</v>
      </c>
      <c r="F12" s="1039">
        <f>0.5*D12</f>
        <v>0</v>
      </c>
      <c r="G12" s="1039"/>
      <c r="H12" s="1039"/>
    </row>
    <row r="13" spans="1:8" ht="25.5" x14ac:dyDescent="0.25">
      <c r="A13" s="1037" t="s">
        <v>895</v>
      </c>
      <c r="B13" s="1039" t="s">
        <v>896</v>
      </c>
      <c r="C13" s="1039"/>
      <c r="D13" s="1039">
        <f>D12*0.1</f>
        <v>0</v>
      </c>
      <c r="F13" s="1039">
        <f>0.5*D13</f>
        <v>0</v>
      </c>
      <c r="G13" s="1039">
        <f>0.5*D13</f>
        <v>0</v>
      </c>
      <c r="H13" s="1039"/>
    </row>
    <row r="14" spans="1:8" ht="26.25" thickBot="1" x14ac:dyDescent="0.3">
      <c r="A14" s="1070" t="s">
        <v>897</v>
      </c>
      <c r="B14" s="1053" t="s">
        <v>898</v>
      </c>
      <c r="C14" s="1053"/>
      <c r="D14" s="1053">
        <f>D12*0.1</f>
        <v>0</v>
      </c>
      <c r="F14" s="1039">
        <f>0.5*D14</f>
        <v>0</v>
      </c>
      <c r="G14" s="1039">
        <f>0.5*D14</f>
        <v>0</v>
      </c>
      <c r="H14" s="1053"/>
    </row>
    <row r="15" spans="1:8" x14ac:dyDescent="0.25">
      <c r="A15" s="1067" t="s">
        <v>563</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899</v>
      </c>
      <c r="D17" s="1069"/>
      <c r="E17" s="1069"/>
      <c r="F17" s="1069"/>
      <c r="G17" s="1069"/>
      <c r="H17" s="1067"/>
    </row>
    <row r="18" spans="1:8" x14ac:dyDescent="0.25">
      <c r="A18" s="1067"/>
      <c r="B18" s="1067"/>
      <c r="C18" s="268" t="s">
        <v>900</v>
      </c>
      <c r="D18" s="268">
        <f>SUM(D6:D9)/8</f>
        <v>0</v>
      </c>
      <c r="E18" s="268">
        <f>ROUNDUP(SUM(E6:E9)/8,0)</f>
        <v>0</v>
      </c>
      <c r="F18" s="268">
        <f>ROUNDUP(SUM(F6:F9)/8,0)</f>
        <v>0</v>
      </c>
      <c r="G18" s="268">
        <f>ROUNDUP(SUM(G4:G9)/8,0)</f>
        <v>0</v>
      </c>
      <c r="H18" s="1067"/>
    </row>
    <row r="19" spans="1:8" x14ac:dyDescent="0.25">
      <c r="A19" s="1067"/>
      <c r="B19" s="1067"/>
      <c r="C19" s="63" t="s">
        <v>901</v>
      </c>
      <c r="D19" s="63">
        <f>ROUNDUP(SUM(D12:D13)/8,1)</f>
        <v>0</v>
      </c>
      <c r="E19" s="63">
        <f t="shared" ref="E19:G19" si="0">ROUNDUP(SUM(E12:E13)/8,1)</f>
        <v>0</v>
      </c>
      <c r="F19" s="63">
        <f t="shared" si="0"/>
        <v>0</v>
      </c>
      <c r="G19" s="63">
        <f t="shared" si="0"/>
        <v>0</v>
      </c>
      <c r="H19" s="1067"/>
    </row>
    <row r="20" spans="1:8" x14ac:dyDescent="0.25">
      <c r="A20" s="1067"/>
      <c r="B20" s="1067"/>
      <c r="C20" s="268" t="s">
        <v>902</v>
      </c>
      <c r="D20" s="268">
        <f>ROUNDUP(SUM(D14)/8,1)</f>
        <v>0</v>
      </c>
      <c r="E20" s="268">
        <f t="shared" ref="E20:G20" si="1">ROUNDUP(SUM(E14)/8,1)</f>
        <v>0</v>
      </c>
      <c r="F20" s="268">
        <f t="shared" si="1"/>
        <v>0</v>
      </c>
      <c r="G20" s="268">
        <f t="shared" si="1"/>
        <v>0</v>
      </c>
      <c r="H20" s="1067"/>
    </row>
    <row r="21" spans="1:8" x14ac:dyDescent="0.25">
      <c r="A21" s="1067"/>
      <c r="B21" s="1067"/>
      <c r="C21" s="63" t="s">
        <v>903</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94" t="s">
        <v>871</v>
      </c>
      <c r="B2" s="2289" t="s">
        <v>918</v>
      </c>
      <c r="C2" s="2290"/>
      <c r="D2" s="2291"/>
      <c r="E2" s="2296" t="s">
        <v>873</v>
      </c>
      <c r="F2" s="2297"/>
      <c r="G2" s="2294"/>
      <c r="H2" s="2289" t="s">
        <v>52</v>
      </c>
      <c r="I2" s="2289"/>
      <c r="J2" s="2291"/>
      <c r="K2" s="2298" t="s">
        <v>714</v>
      </c>
      <c r="L2" s="2299"/>
      <c r="M2" s="2300"/>
      <c r="N2" s="2289" t="s">
        <v>713</v>
      </c>
      <c r="O2" s="2290"/>
      <c r="P2" s="2291"/>
      <c r="Q2" s="2289" t="s">
        <v>712</v>
      </c>
      <c r="R2" s="2290"/>
      <c r="S2" s="2291"/>
      <c r="T2" s="2292" t="s">
        <v>874</v>
      </c>
    </row>
    <row r="3" spans="1:20" ht="15.75" thickBot="1" x14ac:dyDescent="0.3">
      <c r="A3" s="2295"/>
      <c r="B3" s="1157" t="s">
        <v>836</v>
      </c>
      <c r="C3" s="1157" t="s">
        <v>1043</v>
      </c>
      <c r="D3" s="1157" t="s">
        <v>1044</v>
      </c>
      <c r="E3" s="1157" t="s">
        <v>836</v>
      </c>
      <c r="F3" s="1157" t="s">
        <v>1043</v>
      </c>
      <c r="G3" s="1157" t="s">
        <v>1044</v>
      </c>
      <c r="H3" s="1157" t="s">
        <v>836</v>
      </c>
      <c r="I3" s="1157" t="s">
        <v>1043</v>
      </c>
      <c r="J3" s="1157" t="s">
        <v>1044</v>
      </c>
      <c r="K3" s="1157" t="s">
        <v>836</v>
      </c>
      <c r="L3" s="1157" t="s">
        <v>1043</v>
      </c>
      <c r="M3" s="1157" t="s">
        <v>1044</v>
      </c>
      <c r="N3" s="1157" t="s">
        <v>836</v>
      </c>
      <c r="O3" s="1157" t="s">
        <v>1043</v>
      </c>
      <c r="P3" s="1157" t="s">
        <v>1044</v>
      </c>
      <c r="Q3" s="1157" t="s">
        <v>836</v>
      </c>
      <c r="R3" s="1157" t="s">
        <v>1043</v>
      </c>
      <c r="S3" s="1157" t="s">
        <v>1044</v>
      </c>
      <c r="T3" s="2293"/>
    </row>
    <row r="4" spans="1:20" x14ac:dyDescent="0.25">
      <c r="A4" s="1034" t="s">
        <v>875</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1045</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908</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1046</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880</v>
      </c>
      <c r="B8" s="1041" t="s">
        <v>881</v>
      </c>
      <c r="C8" s="1041" t="s">
        <v>881</v>
      </c>
      <c r="D8" s="1041" t="s">
        <v>881</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879</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882</v>
      </c>
      <c r="B10" s="1043" t="s">
        <v>1047</v>
      </c>
      <c r="C10" s="1043" t="s">
        <v>1048</v>
      </c>
      <c r="D10" s="1043" t="s">
        <v>1048</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883</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884</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885</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886</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1049</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1050</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888</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1051</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1052</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1053</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1054</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755</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1026</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1055</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1056</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1057</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1058</v>
      </c>
      <c r="B27" s="1129">
        <f>IF(ТрЗ_ОВ!$D$90="Да",1,0)</f>
        <v>1</v>
      </c>
      <c r="C27" s="1129">
        <f>IF(ТрЗ_ОВ!$D$90="Да",1,0)</f>
        <v>1</v>
      </c>
      <c r="D27" s="1129">
        <f>IF(ТрЗ_ОВ!$D$90="Да",1,0)</f>
        <v>1</v>
      </c>
      <c r="E27" s="1040" t="s">
        <v>1059</v>
      </c>
      <c r="F27" s="1040" t="s">
        <v>1059</v>
      </c>
      <c r="G27" s="1040" t="s">
        <v>1059</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1060</v>
      </c>
      <c r="B28" s="1129">
        <f>IF(ТрЗ_ОВ!$D$91="Да",1,0)</f>
        <v>1</v>
      </c>
      <c r="C28" s="1129">
        <f>IF(ТрЗ_ОВ!$D$91="Да",1,0)</f>
        <v>1</v>
      </c>
      <c r="D28" s="1129">
        <f>IF(ТрЗ_ОВ!$D$91="Да",1,0)</f>
        <v>1</v>
      </c>
      <c r="E28" s="1040" t="s">
        <v>1061</v>
      </c>
      <c r="F28" s="1040" t="s">
        <v>1061</v>
      </c>
      <c r="G28" s="1040" t="s">
        <v>1061</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1062</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960</v>
      </c>
      <c r="B30" s="1129">
        <f>IF(ТрЗ_ОВ!$D$93="Да",1,0)</f>
        <v>1</v>
      </c>
      <c r="C30" s="1129">
        <f>IF(ТрЗ_ОВ!$D$93="Да",1,0)</f>
        <v>1</v>
      </c>
      <c r="D30" s="1129">
        <f>IF(ТрЗ_ОВ!$D$93="Да",1,0)</f>
        <v>1</v>
      </c>
      <c r="E30" s="1040" t="s">
        <v>1063</v>
      </c>
      <c r="F30" s="1040" t="s">
        <v>1063</v>
      </c>
      <c r="G30" s="1040" t="s">
        <v>1063</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1064</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1065</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727</v>
      </c>
      <c r="B33" s="1038">
        <f>ТрЗ_ОВ!$D$97</f>
        <v>0</v>
      </c>
      <c r="C33" s="1038">
        <f>ТрЗ_ОВ!$D$97</f>
        <v>0</v>
      </c>
      <c r="D33" s="1038">
        <f>ТрЗ_ОВ!$D$97</f>
        <v>0</v>
      </c>
      <c r="E33" s="1040" t="s">
        <v>1066</v>
      </c>
      <c r="F33" s="1040" t="s">
        <v>1066</v>
      </c>
      <c r="G33" s="1040" t="s">
        <v>1066</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755</v>
      </c>
      <c r="B34" s="1038">
        <f>ТрЗ_ОВ!$D$98</f>
        <v>0</v>
      </c>
      <c r="C34" s="1038">
        <f>ТрЗ_ОВ!$D$98</f>
        <v>0</v>
      </c>
      <c r="D34" s="1038">
        <f>ТрЗ_ОВ!$D$98</f>
        <v>0</v>
      </c>
      <c r="E34" s="1040" t="s">
        <v>1067</v>
      </c>
      <c r="F34" s="1040" t="s">
        <v>1067</v>
      </c>
      <c r="G34" s="1040" t="s">
        <v>1067</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728</v>
      </c>
      <c r="B35" s="1038">
        <f>ТрЗ_ОВ!$D$99</f>
        <v>0</v>
      </c>
      <c r="C35" s="1038">
        <f>ТрЗ_ОВ!$D$99</f>
        <v>0</v>
      </c>
      <c r="D35" s="1038">
        <f>ТрЗ_ОВ!$D$99</f>
        <v>0</v>
      </c>
      <c r="E35" s="1040" t="s">
        <v>1068</v>
      </c>
      <c r="F35" s="1040" t="s">
        <v>1068</v>
      </c>
      <c r="G35" s="1040" t="s">
        <v>1068</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1069</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741</v>
      </c>
      <c r="B37" s="1129">
        <f>ТрЗ_ОВ!$D$102</f>
        <v>0</v>
      </c>
      <c r="C37" s="1129">
        <f>ТрЗ_ОВ!$D$102</f>
        <v>0</v>
      </c>
      <c r="D37" s="1129">
        <f>ТрЗ_ОВ!$D$102</f>
        <v>0</v>
      </c>
      <c r="E37" s="1040" t="s">
        <v>1070</v>
      </c>
      <c r="F37" s="1040" t="s">
        <v>1070</v>
      </c>
      <c r="G37" s="1040" t="s">
        <v>1070</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742</v>
      </c>
      <c r="B38" s="1129">
        <f>ТрЗ_ОВ!$D$103</f>
        <v>0</v>
      </c>
      <c r="C38" s="1129">
        <f>ТрЗ_ОВ!$D$103</f>
        <v>0</v>
      </c>
      <c r="D38" s="1129">
        <f>ТрЗ_ОВ!$D$103</f>
        <v>0</v>
      </c>
      <c r="E38" s="1040" t="s">
        <v>1070</v>
      </c>
      <c r="F38" s="1040" t="s">
        <v>1070</v>
      </c>
      <c r="G38" s="1040" t="s">
        <v>1070</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1071</v>
      </c>
    </row>
    <row r="39" spans="1:20" x14ac:dyDescent="0.25">
      <c r="A39" s="1042" t="s">
        <v>736</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758</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1072</v>
      </c>
      <c r="B41" s="1043">
        <v>1</v>
      </c>
      <c r="C41" s="1043">
        <v>1</v>
      </c>
      <c r="D41" s="1043">
        <v>1</v>
      </c>
      <c r="E41" s="1040" t="s">
        <v>1073</v>
      </c>
      <c r="F41" s="1040" t="s">
        <v>1073</v>
      </c>
      <c r="G41" s="1040" t="s">
        <v>1073</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897</v>
      </c>
      <c r="B42" s="1163">
        <v>1</v>
      </c>
      <c r="C42" s="1163">
        <v>1</v>
      </c>
      <c r="D42" s="1163">
        <v>1</v>
      </c>
      <c r="E42" s="1053" t="s">
        <v>1074</v>
      </c>
      <c r="F42" s="1132" t="s">
        <v>1074</v>
      </c>
      <c r="G42" s="1132" t="s">
        <v>1074</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1075</v>
      </c>
      <c r="I45" s="1164" t="s">
        <v>1076</v>
      </c>
      <c r="J45" s="1165" t="s">
        <v>1077</v>
      </c>
      <c r="K45" s="1067"/>
      <c r="L45" s="1067"/>
      <c r="M45" s="1067"/>
      <c r="N45" s="1067"/>
      <c r="O45" s="1067"/>
      <c r="P45" s="1067"/>
      <c r="Q45" s="1067"/>
      <c r="R45" s="1067"/>
      <c r="S45" s="1067"/>
      <c r="T45" s="1067"/>
    </row>
    <row r="46" spans="1:20" x14ac:dyDescent="0.25">
      <c r="A46" s="1067"/>
      <c r="B46" s="1067"/>
      <c r="C46" s="1067"/>
      <c r="D46" s="1067"/>
      <c r="E46" s="1067"/>
      <c r="F46" s="1067"/>
      <c r="G46" s="1166" t="s">
        <v>1078</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1079</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1080</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1081</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1075</v>
      </c>
      <c r="I51" s="1164" t="s">
        <v>1076</v>
      </c>
      <c r="J51" s="1165" t="s">
        <v>1077</v>
      </c>
      <c r="K51" s="1067"/>
      <c r="L51" s="1067"/>
      <c r="M51" s="1067"/>
      <c r="N51" s="1067"/>
      <c r="O51" s="1067"/>
      <c r="P51" s="1067"/>
      <c r="Q51" s="1067"/>
      <c r="R51" s="1067"/>
      <c r="S51" s="1067"/>
      <c r="T51" s="1067"/>
    </row>
    <row r="52" spans="1:20" x14ac:dyDescent="0.25">
      <c r="A52" s="1067"/>
      <c r="B52" s="1067"/>
      <c r="C52" s="1067"/>
      <c r="D52" s="1067"/>
      <c r="E52" s="1067"/>
      <c r="F52" s="1067"/>
      <c r="G52" s="1166" t="s">
        <v>1082</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1083</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1084</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1081</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1075</v>
      </c>
      <c r="I57" s="1164" t="s">
        <v>1076</v>
      </c>
      <c r="J57" s="1165" t="s">
        <v>1077</v>
      </c>
      <c r="K57" s="1067"/>
      <c r="L57" s="1067"/>
      <c r="M57" s="1067"/>
      <c r="N57" s="1067"/>
      <c r="O57" s="1067"/>
      <c r="P57" s="1067"/>
      <c r="Q57" s="1067"/>
      <c r="R57" s="1067"/>
      <c r="S57" s="1067"/>
      <c r="T57" s="1067"/>
    </row>
    <row r="58" spans="1:20" x14ac:dyDescent="0.25">
      <c r="A58" s="1067"/>
      <c r="B58" s="1067"/>
      <c r="C58" s="1067"/>
      <c r="D58" s="1067"/>
      <c r="E58" s="1067"/>
      <c r="F58" s="1067"/>
      <c r="G58" s="1166" t="s">
        <v>1085</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1086</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1087</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1081</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305" t="s">
        <v>1088</v>
      </c>
      <c r="B1" s="2305"/>
      <c r="C1" s="2305"/>
      <c r="D1" s="2305"/>
      <c r="E1" s="2305"/>
      <c r="F1" s="2305"/>
      <c r="G1" s="2305"/>
      <c r="H1" s="2305" t="s">
        <v>1089</v>
      </c>
      <c r="I1" s="2305"/>
      <c r="J1" s="2305"/>
      <c r="K1" s="2305"/>
      <c r="L1" s="2305"/>
      <c r="M1" s="2305"/>
      <c r="N1" s="2305" t="s">
        <v>1090</v>
      </c>
      <c r="O1" s="2305"/>
      <c r="P1" s="2305"/>
      <c r="Q1" s="2305" t="s">
        <v>865</v>
      </c>
      <c r="R1" s="2305"/>
      <c r="S1" s="2305"/>
      <c r="T1" s="2305"/>
      <c r="U1" s="2305"/>
      <c r="V1" s="2305"/>
      <c r="W1" s="2305"/>
    </row>
    <row r="2" spans="1:23" ht="75" x14ac:dyDescent="0.25">
      <c r="A2" s="1175" t="s">
        <v>1091</v>
      </c>
      <c r="B2" s="1176" t="s">
        <v>1092</v>
      </c>
      <c r="C2" s="1176" t="s">
        <v>1093</v>
      </c>
      <c r="D2" s="1177" t="s">
        <v>1094</v>
      </c>
      <c r="E2" s="1178" t="s">
        <v>714</v>
      </c>
      <c r="F2" s="1178" t="s">
        <v>713</v>
      </c>
      <c r="G2" s="1178" t="s">
        <v>712</v>
      </c>
      <c r="H2" s="1175" t="s">
        <v>1091</v>
      </c>
      <c r="I2" s="1176" t="s">
        <v>1092</v>
      </c>
      <c r="J2" s="1179" t="s">
        <v>1094</v>
      </c>
      <c r="K2" s="1180" t="s">
        <v>714</v>
      </c>
      <c r="L2" s="1180" t="s">
        <v>713</v>
      </c>
      <c r="M2" s="1180" t="s">
        <v>712</v>
      </c>
      <c r="N2" s="1180" t="s">
        <v>714</v>
      </c>
      <c r="O2" s="1180" t="s">
        <v>713</v>
      </c>
      <c r="P2" s="1180" t="s">
        <v>712</v>
      </c>
      <c r="Q2" s="1175" t="s">
        <v>1091</v>
      </c>
      <c r="R2" s="1176" t="s">
        <v>1092</v>
      </c>
      <c r="S2" s="1176" t="s">
        <v>1093</v>
      </c>
      <c r="T2" s="1177" t="s">
        <v>1094</v>
      </c>
      <c r="U2" s="1178" t="s">
        <v>714</v>
      </c>
      <c r="V2" s="1178" t="s">
        <v>713</v>
      </c>
      <c r="W2" s="1178" t="s">
        <v>712</v>
      </c>
    </row>
    <row r="3" spans="1:23" ht="35.450000000000003" customHeight="1" x14ac:dyDescent="0.25">
      <c r="A3" s="1181" t="s">
        <v>1095</v>
      </c>
      <c r="B3" s="879">
        <f>ТрЗ_ОВ!$E$107</f>
        <v>0</v>
      </c>
      <c r="C3" s="879">
        <f>ТрЗ_ОВ!$E$107</f>
        <v>0</v>
      </c>
      <c r="D3" s="1182"/>
      <c r="E3" s="1183"/>
      <c r="F3" s="1183"/>
      <c r="G3" s="1183"/>
      <c r="H3" s="1110" t="s">
        <v>1095</v>
      </c>
      <c r="I3" s="1184">
        <f>ТрЗ_ОВ!$E$107</f>
        <v>0</v>
      </c>
      <c r="J3" s="1182"/>
      <c r="K3" s="1183"/>
      <c r="L3" s="1183"/>
      <c r="M3" s="1183"/>
      <c r="N3" s="1183"/>
      <c r="O3" s="1183"/>
      <c r="P3" s="1183"/>
      <c r="Q3" s="1181" t="s">
        <v>1095</v>
      </c>
      <c r="R3" s="879">
        <f>ТрЗ_ОВ!$E$107</f>
        <v>0</v>
      </c>
      <c r="S3" s="879">
        <f>ТрЗ_ОВ!$E$107</f>
        <v>0</v>
      </c>
      <c r="T3" s="1182"/>
      <c r="U3" s="1183"/>
      <c r="V3" s="1183"/>
      <c r="W3" s="1183"/>
    </row>
    <row r="4" spans="1:23" ht="24.6" customHeight="1" x14ac:dyDescent="0.25">
      <c r="A4" s="1181" t="s">
        <v>876</v>
      </c>
      <c r="B4" s="879">
        <f>ТрЗ_ОВ!H107</f>
        <v>0</v>
      </c>
      <c r="C4" s="879">
        <f>ТрЗ_ОВ!H107</f>
        <v>0</v>
      </c>
      <c r="D4" s="1182"/>
      <c r="E4" s="1183"/>
      <c r="F4" s="1183"/>
      <c r="G4" s="1183"/>
      <c r="H4" s="1181" t="s">
        <v>1096</v>
      </c>
      <c r="I4" s="1184">
        <f>ТрЗ_ОВ!H107</f>
        <v>0</v>
      </c>
      <c r="J4" s="1185">
        <v>1</v>
      </c>
      <c r="K4" s="879"/>
      <c r="L4" s="879"/>
      <c r="M4" s="879"/>
      <c r="N4" s="879"/>
      <c r="O4" s="879"/>
      <c r="P4" s="879"/>
      <c r="Q4" s="1181" t="s">
        <v>876</v>
      </c>
      <c r="R4" s="879">
        <f>ТрЗ_ОВ!X107</f>
        <v>0</v>
      </c>
      <c r="S4" s="879">
        <f>ТрЗ_ОВ!X107</f>
        <v>0</v>
      </c>
      <c r="T4" s="1182"/>
      <c r="U4" s="1183"/>
      <c r="V4" s="1183"/>
      <c r="W4" s="1183"/>
    </row>
    <row r="5" spans="1:23" ht="30.6" customHeight="1" x14ac:dyDescent="0.25">
      <c r="A5" s="1110" t="s">
        <v>879</v>
      </c>
      <c r="B5" s="1186"/>
      <c r="C5" s="879"/>
      <c r="D5" s="1182"/>
      <c r="E5" s="1183">
        <v>0</v>
      </c>
      <c r="F5" s="1187">
        <f>4/8</f>
        <v>0.5</v>
      </c>
      <c r="G5" s="1183">
        <v>0</v>
      </c>
      <c r="H5" s="1110" t="s">
        <v>879</v>
      </c>
      <c r="I5" s="1186"/>
      <c r="J5" s="1182"/>
      <c r="K5" s="1183"/>
      <c r="L5" s="1183"/>
      <c r="M5" s="1183"/>
      <c r="N5" s="1183"/>
      <c r="O5" s="1183"/>
      <c r="P5" s="1183"/>
      <c r="Q5" s="1110" t="s">
        <v>879</v>
      </c>
      <c r="R5" s="1186"/>
      <c r="S5" s="879"/>
      <c r="T5" s="1182"/>
      <c r="U5" s="1183"/>
      <c r="V5" s="1183"/>
      <c r="W5" s="1183"/>
    </row>
    <row r="6" spans="1:23" x14ac:dyDescent="0.25">
      <c r="A6" s="2306" t="s">
        <v>880</v>
      </c>
      <c r="B6" s="2306"/>
      <c r="C6" s="2306"/>
      <c r="D6" s="2307"/>
      <c r="E6" s="1188"/>
      <c r="F6" s="1188"/>
      <c r="G6" s="1188"/>
      <c r="H6" s="2306" t="s">
        <v>880</v>
      </c>
      <c r="I6" s="2306"/>
      <c r="J6" s="2307"/>
      <c r="K6" s="1188"/>
      <c r="L6" s="1188"/>
      <c r="M6" s="1188"/>
      <c r="N6" s="1188"/>
      <c r="O6" s="1188"/>
      <c r="P6" s="1188"/>
      <c r="Q6" s="2306" t="s">
        <v>880</v>
      </c>
      <c r="R6" s="2306"/>
      <c r="S6" s="2306"/>
      <c r="T6" s="2307"/>
      <c r="U6" s="1188"/>
      <c r="V6" s="1188"/>
      <c r="W6" s="1188"/>
    </row>
    <row r="7" spans="1:23" ht="12" customHeight="1" x14ac:dyDescent="0.25">
      <c r="A7" s="1189" t="s">
        <v>882</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882</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882</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883</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883</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883</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884</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884</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884</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885</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885</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885</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306" t="s">
        <v>886</v>
      </c>
      <c r="B11" s="2306"/>
      <c r="C11" s="2306"/>
      <c r="D11" s="2307"/>
      <c r="E11" s="1188"/>
      <c r="F11" s="1188"/>
      <c r="G11" s="1188"/>
      <c r="H11" s="2306" t="s">
        <v>886</v>
      </c>
      <c r="I11" s="2306"/>
      <c r="J11" s="2307"/>
      <c r="K11" s="1188"/>
      <c r="L11" s="1188"/>
      <c r="M11" s="1188"/>
      <c r="N11" s="1188"/>
      <c r="O11" s="1188"/>
      <c r="P11" s="1188"/>
      <c r="Q11" s="2306" t="s">
        <v>886</v>
      </c>
      <c r="R11" s="2306"/>
      <c r="S11" s="2306"/>
      <c r="T11" s="2307"/>
      <c r="U11" s="1188"/>
      <c r="V11" s="1188"/>
      <c r="W11" s="1188"/>
    </row>
    <row r="12" spans="1:23" ht="27" customHeight="1" x14ac:dyDescent="0.25">
      <c r="A12" s="1110" t="s">
        <v>1049</v>
      </c>
      <c r="B12" s="1187"/>
      <c r="C12" s="879"/>
      <c r="D12" s="1182"/>
      <c r="E12" s="1191"/>
      <c r="F12" s="1191"/>
      <c r="G12" s="1183"/>
      <c r="H12" s="1110" t="s">
        <v>1049</v>
      </c>
      <c r="I12" s="1187"/>
      <c r="J12" s="1182"/>
      <c r="K12" s="1191"/>
      <c r="L12" s="1191"/>
      <c r="M12" s="1183"/>
      <c r="N12" s="1191"/>
      <c r="O12" s="1191"/>
      <c r="P12" s="1183"/>
      <c r="Q12" s="1110" t="s">
        <v>1049</v>
      </c>
      <c r="R12" s="1187"/>
      <c r="S12" s="879"/>
      <c r="T12" s="1182"/>
      <c r="U12" s="1191"/>
      <c r="V12" s="1191"/>
      <c r="W12" s="1183"/>
    </row>
    <row r="13" spans="1:23" ht="13.9" customHeight="1" x14ac:dyDescent="0.25">
      <c r="A13" s="1106" t="s">
        <v>1097</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1097</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1097</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1098</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1099</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1098</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1100</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1101</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1100</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1101</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1102</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1101</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1103</v>
      </c>
      <c r="B17" s="1187"/>
      <c r="C17" s="879">
        <v>1</v>
      </c>
      <c r="D17" s="1182"/>
      <c r="E17" s="1191">
        <f>IF(ТрЗ_ОВ!$C$107="Red Check (desktop)",$B17*0.8,IF(ТрЗ_ОВ!$C$107="Red Check (web)",$C17*0.8,0))</f>
        <v>0</v>
      </c>
      <c r="F17" s="1191">
        <f>IF(ТрЗ_ОВ!$C$107="Red Check (desktop)",$B17*0.2,IF(ТрЗ_ОВ!$C$107="Red Check (web)",$C17*0.2,0))</f>
        <v>0</v>
      </c>
      <c r="G17" s="1183"/>
      <c r="H17" s="129" t="s">
        <v>1104</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1103</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1105</v>
      </c>
      <c r="B18" s="1187"/>
      <c r="C18" s="879">
        <v>0.2</v>
      </c>
      <c r="D18" s="1182"/>
      <c r="E18" s="1191">
        <f>IF(ТрЗ_ОВ!$C$107="Red Check (desktop)",$B18*0.8,IF(ТрЗ_ОВ!$C$107="Red Check (web)",$C18*0.8,0))</f>
        <v>0</v>
      </c>
      <c r="F18" s="1191">
        <f>IF(ТрЗ_ОВ!$C$107="Red Check (desktop)",$B18*0.2,IF(ТрЗ_ОВ!$C$107="Red Check (web)",$C18*0.2,0))</f>
        <v>0</v>
      </c>
      <c r="G18" s="1183"/>
      <c r="H18" s="2301" t="s">
        <v>1106</v>
      </c>
      <c r="I18" s="2301"/>
      <c r="J18" s="2302"/>
      <c r="K18" s="1192"/>
      <c r="L18" s="1192"/>
      <c r="M18" s="1192"/>
      <c r="N18" s="1192"/>
      <c r="O18" s="1192"/>
      <c r="P18" s="1192"/>
      <c r="Q18" s="129" t="s">
        <v>1105</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1107</v>
      </c>
      <c r="B19" s="1187"/>
      <c r="C19" s="879">
        <v>0.5</v>
      </c>
      <c r="D19" s="1182"/>
      <c r="E19" s="1191">
        <f>IF(ТрЗ_ОВ!$C$107="Red Check (desktop)",$B19*0.8,IF(ТрЗ_ОВ!$C$107="Red Check (web)",$C19*0.8,0))</f>
        <v>0</v>
      </c>
      <c r="F19" s="1191">
        <f>IF(ТрЗ_ОВ!$C$107="Red Check (desktop)",$B19*0.2,IF(ТрЗ_ОВ!$C$107="Red Check (web)",$C19*0.2,0))</f>
        <v>0</v>
      </c>
      <c r="G19" s="1183"/>
      <c r="H19" s="879" t="s">
        <v>1108</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1107</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1109</v>
      </c>
      <c r="B20" s="1187"/>
      <c r="C20" s="879">
        <v>1.5</v>
      </c>
      <c r="D20" s="1182"/>
      <c r="E20" s="1191">
        <f>IF(ТрЗ_ОВ!$C$107="Red Check (desktop)",$B20*0.8,IF(ТрЗ_ОВ!$C$107="Red Check (web)",$C20*0.8,0))</f>
        <v>0</v>
      </c>
      <c r="F20" s="1191">
        <f>IF(ТрЗ_ОВ!$C$107="Red Check (desktop)",$B20*0.2,IF(ТрЗ_ОВ!$C$107="Red Check (web)",$C20*0.2,0))</f>
        <v>0</v>
      </c>
      <c r="G20" s="1183"/>
      <c r="H20" s="2301" t="s">
        <v>1110</v>
      </c>
      <c r="I20" s="2301"/>
      <c r="J20" s="2302"/>
      <c r="K20" s="1192"/>
      <c r="L20" s="1192"/>
      <c r="M20" s="1192"/>
      <c r="N20" s="1192"/>
      <c r="O20" s="1192"/>
      <c r="P20" s="1192"/>
      <c r="Q20" s="1193" t="s">
        <v>1109</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1111</v>
      </c>
      <c r="B21" s="1187"/>
      <c r="C21" s="879">
        <v>0.5</v>
      </c>
      <c r="D21" s="1182"/>
      <c r="E21" s="1191">
        <f>IF(ТрЗ_ОВ!$C$107="Red Check (desktop)",$B21*0.8,IF(ТрЗ_ОВ!$C$107="Red Check (web)",$C21*0.8,0))</f>
        <v>0</v>
      </c>
      <c r="F21" s="1191">
        <f>IF(ТрЗ_ОВ!$C$107="Red Check (desktop)",$B21*0.2,IF(ТрЗ_ОВ!$C$107="Red Check (web)",$C21*0.2,0))</f>
        <v>0</v>
      </c>
      <c r="G21" s="1183"/>
      <c r="H21" s="129" t="s">
        <v>1112</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1111</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1113</v>
      </c>
      <c r="B22" s="1187"/>
      <c r="C22" s="879">
        <v>0.2</v>
      </c>
      <c r="D22" s="1182"/>
      <c r="E22" s="1191">
        <f>IF(ТрЗ_ОВ!$C$107="Red Check (desktop)",$B22*0.8,IF(ТрЗ_ОВ!$C$107="Red Check (web)",$C22*0.8,0))</f>
        <v>0</v>
      </c>
      <c r="F22" s="1191">
        <f>IF(ТрЗ_ОВ!$C$107="Red Check (desktop)",$B22*0.2,IF(ТрЗ_ОВ!$C$107="Red Check (web)",$C22*0.2,0))</f>
        <v>0</v>
      </c>
      <c r="G22" s="1183"/>
      <c r="H22" s="129" t="s">
        <v>1114</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1113</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1115</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1116</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1115</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1117</v>
      </c>
      <c r="B24" s="1187">
        <v>0.5</v>
      </c>
      <c r="C24" s="879">
        <v>0.5</v>
      </c>
      <c r="D24" s="1182">
        <v>0.2</v>
      </c>
      <c r="E24" s="1191">
        <f>IF(ТрЗ_ОВ!$C$107="Red Check (desktop)",$B24*0.2,IF(ТрЗ_ОВ!$C$107="Red Check (web)",$C24*0.2,0))</f>
        <v>0</v>
      </c>
      <c r="F24" s="1191">
        <f>IF(ТрЗ_ОВ!$C$107="Red Check (desktop)",$B24*0.8,IF(ТрЗ_ОВ!$C$107="Red Check (web)",$C24*0.8,0))</f>
        <v>0</v>
      </c>
      <c r="G24" s="1183"/>
      <c r="H24" s="2301" t="s">
        <v>1118</v>
      </c>
      <c r="I24" s="2301"/>
      <c r="J24" s="2302"/>
      <c r="K24" s="1192"/>
      <c r="L24" s="1192"/>
      <c r="M24" s="1192"/>
      <c r="N24" s="1192"/>
      <c r="O24" s="1192"/>
      <c r="P24" s="1192"/>
      <c r="Q24" s="129" t="s">
        <v>1117</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1104</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1119</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1104</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1120</v>
      </c>
      <c r="B26" s="1187">
        <v>0.25</v>
      </c>
      <c r="C26" s="879">
        <v>0.25</v>
      </c>
      <c r="D26" s="1182"/>
      <c r="E26" s="1191">
        <f>IF(ТрЗ_ОВ!$C$107="Red Check (desktop)",$B26*0.2,IF(ТрЗ_ОВ!$C$107="Red Check (web)",$C26*0.2,0))</f>
        <v>0</v>
      </c>
      <c r="F26" s="1191">
        <f>IF(ТрЗ_ОВ!$C$107="Red Check (desktop)",$B26*0.8,IF(ТрЗ_ОВ!$C$107="Red Check (web)",$C26*0.8,0))</f>
        <v>0</v>
      </c>
      <c r="G26" s="1183"/>
      <c r="H26" s="2301" t="s">
        <v>1121</v>
      </c>
      <c r="I26" s="2301"/>
      <c r="J26" s="2302"/>
      <c r="K26" s="1192"/>
      <c r="L26" s="1192"/>
      <c r="M26" s="1192"/>
      <c r="N26" s="1192"/>
      <c r="O26" s="1192"/>
      <c r="P26" s="1192"/>
      <c r="Q26" s="129" t="s">
        <v>1120</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301" t="s">
        <v>1106</v>
      </c>
      <c r="B27" s="2301"/>
      <c r="C27" s="2301"/>
      <c r="D27" s="2302"/>
      <c r="E27" s="1192"/>
      <c r="F27" s="1192"/>
      <c r="G27" s="1192"/>
      <c r="H27" s="129" t="s">
        <v>1122</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301" t="s">
        <v>1106</v>
      </c>
      <c r="R27" s="2301"/>
      <c r="S27" s="2301"/>
      <c r="T27" s="2302"/>
      <c r="U27" s="1192"/>
      <c r="V27" s="1192"/>
      <c r="W27" s="1192"/>
    </row>
    <row r="28" spans="1:23" ht="90" x14ac:dyDescent="0.25">
      <c r="A28" s="1198" t="s">
        <v>1123</v>
      </c>
      <c r="B28" s="1198">
        <v>1.5</v>
      </c>
      <c r="C28" s="1198">
        <v>1.5</v>
      </c>
      <c r="D28" s="1199"/>
      <c r="E28" s="1191">
        <f>IF(ТрЗ_ОВ!$C$107="Red Check (desktop)",$B28*0.6,IF(ТрЗ_ОВ!$C$107="Red Check (web)",$C28*0.6,0))</f>
        <v>0</v>
      </c>
      <c r="F28" s="1191">
        <f>IF(ТрЗ_ОВ!$C$107="Red Check (desktop)",$B28*0.4,IF(ТрЗ_ОВ!$C$107="Red Check (web)",$C28*0.4,0))</f>
        <v>0</v>
      </c>
      <c r="G28" s="1183"/>
      <c r="H28" s="2301" t="s">
        <v>1124</v>
      </c>
      <c r="I28" s="2301"/>
      <c r="J28" s="2302"/>
      <c r="K28" s="1192"/>
      <c r="L28" s="1192"/>
      <c r="M28" s="1192"/>
      <c r="N28" s="1192"/>
      <c r="O28" s="1192"/>
      <c r="P28" s="1192"/>
      <c r="Q28" s="879" t="s">
        <v>1123</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1125</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1126</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1125</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303" t="s">
        <v>1110</v>
      </c>
      <c r="B30" s="2303"/>
      <c r="C30" s="2303"/>
      <c r="D30" s="2304"/>
      <c r="E30" s="1192"/>
      <c r="F30" s="1192"/>
      <c r="G30" s="1192"/>
      <c r="H30" s="268"/>
      <c r="I30" s="268"/>
      <c r="J30" s="1200">
        <f>IF(ТрЗ_ОВ!$C$107="PT xSpider",I3*(SUM(J13,J15:J17)),0)</f>
        <v>0</v>
      </c>
      <c r="K30" s="1200"/>
      <c r="L30" s="1200"/>
      <c r="M30" s="1200"/>
      <c r="N30" s="1200"/>
      <c r="O30" s="1200"/>
      <c r="P30" s="1200"/>
      <c r="Q30" s="2301" t="s">
        <v>1110</v>
      </c>
      <c r="R30" s="2301"/>
      <c r="S30" s="2301"/>
      <c r="T30" s="2302"/>
      <c r="U30" s="1192"/>
      <c r="V30" s="1192"/>
      <c r="W30" s="1192"/>
    </row>
    <row r="31" spans="1:23" ht="18.75" x14ac:dyDescent="0.3">
      <c r="A31" s="64" t="s">
        <v>1127</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1128</v>
      </c>
      <c r="I31" s="1203">
        <f>I4*SUM(I21:I23,I19,I25)+SUM(I13:I17)</f>
        <v>6.35</v>
      </c>
      <c r="J31" s="1204"/>
      <c r="K31" s="1205">
        <f>SUM(K13:K25,J30*0.5)</f>
        <v>0</v>
      </c>
      <c r="L31" s="1205">
        <f>SUM(L13:L25,J30*0.5)</f>
        <v>0</v>
      </c>
      <c r="M31" s="1206"/>
      <c r="N31" s="1205">
        <f>SUM(N13:N25,M30*0.5)</f>
        <v>0</v>
      </c>
      <c r="O31" s="1205">
        <f>SUM(O13:O25,M30*0.5)</f>
        <v>0</v>
      </c>
      <c r="P31" s="1206"/>
      <c r="Q31" s="129" t="s">
        <v>1127</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1129</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1130</v>
      </c>
      <c r="I32" s="1208">
        <f>$B$3*(I7+I8+I9+I10)</f>
        <v>0</v>
      </c>
      <c r="J32" s="1209"/>
      <c r="K32" s="1210">
        <f>SUM(K7:K10)</f>
        <v>0</v>
      </c>
      <c r="L32" s="1210">
        <f>SUM(L7:L10)</f>
        <v>0</v>
      </c>
      <c r="M32" s="1208"/>
      <c r="N32" s="1210">
        <f>SUM(N7:N10)</f>
        <v>0</v>
      </c>
      <c r="O32" s="1210">
        <f>SUM(O7:O10)</f>
        <v>0</v>
      </c>
      <c r="P32" s="1208"/>
      <c r="Q32" s="129" t="s">
        <v>1129</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1131</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1131</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1132</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1133</v>
      </c>
      <c r="K34">
        <f t="shared" ref="K34:P34" si="2">ROUNDUP(K$32/8,0)</f>
        <v>0</v>
      </c>
      <c r="L34">
        <f t="shared" si="2"/>
        <v>0</v>
      </c>
      <c r="M34">
        <f t="shared" si="2"/>
        <v>0</v>
      </c>
      <c r="N34">
        <f t="shared" si="2"/>
        <v>0</v>
      </c>
      <c r="O34">
        <f t="shared" si="2"/>
        <v>0</v>
      </c>
      <c r="P34">
        <f t="shared" si="2"/>
        <v>0</v>
      </c>
      <c r="Q34" s="129" t="s">
        <v>1132</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301" t="s">
        <v>1118</v>
      </c>
      <c r="B35" s="2301"/>
      <c r="C35" s="2301"/>
      <c r="D35" s="2302"/>
      <c r="E35" s="1192"/>
      <c r="F35" s="1192"/>
      <c r="G35" s="1192"/>
      <c r="J35" t="s">
        <v>901</v>
      </c>
      <c r="K35">
        <f t="shared" ref="K35:P35" si="3">ROUNDUP(K31/8,0)</f>
        <v>0</v>
      </c>
      <c r="L35">
        <f t="shared" si="3"/>
        <v>0</v>
      </c>
      <c r="M35">
        <f t="shared" si="3"/>
        <v>0</v>
      </c>
      <c r="N35">
        <f t="shared" si="3"/>
        <v>0</v>
      </c>
      <c r="O35">
        <f t="shared" si="3"/>
        <v>0</v>
      </c>
      <c r="P35">
        <f t="shared" si="3"/>
        <v>0</v>
      </c>
      <c r="Q35" s="2301" t="s">
        <v>1118</v>
      </c>
      <c r="R35" s="2301"/>
      <c r="S35" s="2301"/>
      <c r="T35" s="2302"/>
      <c r="U35" s="1192"/>
      <c r="V35" s="1192"/>
      <c r="W35" s="1192"/>
    </row>
    <row r="36" spans="1:23" ht="105" x14ac:dyDescent="0.25">
      <c r="A36" s="1198" t="s">
        <v>1119</v>
      </c>
      <c r="B36" s="1201">
        <v>0.15</v>
      </c>
      <c r="C36" s="1201">
        <v>0.15</v>
      </c>
      <c r="D36" s="1199"/>
      <c r="E36" s="1191">
        <f>IF(ТрЗ_ОВ!$C$107="Red Check (desktop)",$B36*$B$4,IF(ТрЗ_ОВ!$C$107="Red Check (web)",$C36*$C$4,0))</f>
        <v>0</v>
      </c>
      <c r="F36" s="1191"/>
      <c r="G36" s="1183"/>
      <c r="J36" t="s">
        <v>902</v>
      </c>
      <c r="K36">
        <f>ROUNDUP(K33/8,0)</f>
        <v>0</v>
      </c>
      <c r="L36">
        <f t="shared" ref="L36:M36" si="4">ROUNDUP(L33/8,0)</f>
        <v>0</v>
      </c>
      <c r="M36">
        <f t="shared" si="4"/>
        <v>0</v>
      </c>
      <c r="N36">
        <f>ROUNDUP(N33/8,0)</f>
        <v>0</v>
      </c>
      <c r="O36">
        <f t="shared" ref="O36:P36" si="5">ROUNDUP(O33/8,0)</f>
        <v>0</v>
      </c>
      <c r="P36">
        <f t="shared" si="5"/>
        <v>0</v>
      </c>
      <c r="Q36" s="1196" t="s">
        <v>1119</v>
      </c>
      <c r="R36" s="1195">
        <v>0.15</v>
      </c>
      <c r="S36" s="1195">
        <v>0.15</v>
      </c>
      <c r="T36" s="1182"/>
      <c r="U36" s="1191">
        <f>IF(ТрЗ_ОВ!$C$107="MaxPatrol VM",$B36*$B$4,IF(ТрЗ_ОВ!$C$107="Red Check (web)",$C36*$C$4,0))</f>
        <v>0</v>
      </c>
      <c r="V36" s="1191"/>
      <c r="W36" s="1183"/>
    </row>
    <row r="37" spans="1:23" x14ac:dyDescent="0.25">
      <c r="A37" s="2301" t="s">
        <v>1134</v>
      </c>
      <c r="B37" s="2301"/>
      <c r="C37" s="2301"/>
      <c r="D37" s="2302"/>
      <c r="E37" s="1192"/>
      <c r="F37" s="1192"/>
      <c r="G37" s="1192"/>
      <c r="Q37" s="2301" t="s">
        <v>1134</v>
      </c>
      <c r="R37" s="2301"/>
      <c r="S37" s="2301"/>
      <c r="T37" s="2302"/>
      <c r="U37" s="1192"/>
      <c r="V37" s="1192"/>
      <c r="W37" s="1192"/>
    </row>
    <row r="38" spans="1:23" ht="105" x14ac:dyDescent="0.25">
      <c r="A38" s="879" t="s">
        <v>1135</v>
      </c>
      <c r="B38" s="1183"/>
      <c r="C38" s="1194">
        <v>5</v>
      </c>
      <c r="D38" s="1182"/>
      <c r="E38" s="1191"/>
      <c r="F38" s="1211">
        <f>IF(ТрЗ_ОВ!$C$107="Red Check (desktop)",0,IF(ТрЗ_ОВ!$C$107="Red Check (web)",5,0))</f>
        <v>0</v>
      </c>
      <c r="G38" s="1183"/>
      <c r="Q38" s="879" t="s">
        <v>1135</v>
      </c>
      <c r="R38" s="1183"/>
      <c r="S38" s="1194">
        <v>5</v>
      </c>
      <c r="T38" s="1182"/>
      <c r="U38" s="1191"/>
      <c r="V38" s="1211">
        <f>IF(ТрЗ_ОВ!$C$107="MaxPatrol VM",0,IF(ТрЗ_ОВ!$C$107="Red Check (web)",5,0))</f>
        <v>0</v>
      </c>
      <c r="W38" s="1183"/>
    </row>
    <row r="39" spans="1:23" x14ac:dyDescent="0.25">
      <c r="A39" s="2301" t="s">
        <v>1121</v>
      </c>
      <c r="B39" s="2301"/>
      <c r="C39" s="2301"/>
      <c r="D39" s="2302"/>
      <c r="E39" s="1192"/>
      <c r="F39" s="1192"/>
      <c r="G39" s="1192"/>
      <c r="Q39" s="2301" t="s">
        <v>1121</v>
      </c>
      <c r="R39" s="2301"/>
      <c r="S39" s="2301"/>
      <c r="T39" s="2302"/>
      <c r="U39" s="1192"/>
      <c r="V39" s="1192"/>
      <c r="W39" s="1192"/>
    </row>
    <row r="40" spans="1:23" x14ac:dyDescent="0.25">
      <c r="A40" s="129" t="s">
        <v>1122</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1122</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301" t="s">
        <v>1124</v>
      </c>
      <c r="B41" s="2301"/>
      <c r="C41" s="2301"/>
      <c r="D41" s="2302"/>
      <c r="E41" s="1192"/>
      <c r="F41" s="1192"/>
      <c r="G41" s="1192"/>
      <c r="Q41" s="2301" t="s">
        <v>1124</v>
      </c>
      <c r="R41" s="2301"/>
      <c r="S41" s="2301"/>
      <c r="T41" s="2302"/>
      <c r="U41" s="1192"/>
      <c r="V41" s="1192"/>
      <c r="W41" s="1192"/>
    </row>
    <row r="42" spans="1:23" x14ac:dyDescent="0.25">
      <c r="A42" s="129" t="s">
        <v>1126</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1126</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1136</v>
      </c>
      <c r="B44" s="1206">
        <f>SUM(B13:B26,B28,B36)+(B4*(B31+B32+B33+B34))+D43</f>
        <v>7.25</v>
      </c>
      <c r="C44" s="1213">
        <f>SUM(C13:C22,C24:C26,C36,D43,C28)+(C4*(C31+C32+C33+C34))</f>
        <v>11.399999999999999</v>
      </c>
      <c r="D44" s="1214"/>
      <c r="E44" s="1215">
        <f>SUM(E13:E28,E31:E36,D43,E40)</f>
        <v>0</v>
      </c>
      <c r="F44" s="1215">
        <f>SUM(F13:F28,F31:F36,D43,F40,F38)</f>
        <v>0</v>
      </c>
      <c r="G44" s="1215">
        <v>0</v>
      </c>
      <c r="Q44" s="1207" t="s">
        <v>1136</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1128</v>
      </c>
      <c r="B45" s="1208">
        <f>SUM(B13:B26)+(B4*(B29+B31+B32+B33+B34+B36)+D43)</f>
        <v>5.6</v>
      </c>
      <c r="C45" s="1213">
        <f>SUM(C13:C22,C24:C26,C36,D43)+(C4*(C31+C32+C33+C34+C29))</f>
        <v>9.8999999999999986</v>
      </c>
      <c r="D45" s="1204"/>
      <c r="E45" s="1215">
        <f>SUM(E13:E27,E29:E36,D43,E40)</f>
        <v>0</v>
      </c>
      <c r="F45" s="1215">
        <f>SUM(F13:F27,F29:F36,D43,F40,F38)</f>
        <v>0</v>
      </c>
      <c r="G45" s="1215">
        <v>0</v>
      </c>
      <c r="Q45" s="1207" t="s">
        <v>1128</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1130</v>
      </c>
      <c r="B46" s="1208" t="e">
        <f>#REF!</f>
        <v>#REF!</v>
      </c>
      <c r="C46" s="1208" t="e">
        <f>#REF!</f>
        <v>#REF!</v>
      </c>
      <c r="D46" s="1209"/>
      <c r="E46" s="1216">
        <f>SUM(E7:E10)</f>
        <v>0</v>
      </c>
      <c r="F46" s="1216">
        <f>SUM(F7:F10)</f>
        <v>0</v>
      </c>
      <c r="G46" s="1216">
        <v>0</v>
      </c>
      <c r="Q46" s="1207" t="s">
        <v>1130</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1133</v>
      </c>
      <c r="E48">
        <f>ROUNDUP(E$46/8,0)</f>
        <v>0</v>
      </c>
      <c r="F48">
        <f t="shared" ref="F48:G48" si="6">ROUNDUP(F$46/8,0)</f>
        <v>0</v>
      </c>
      <c r="G48">
        <f t="shared" si="6"/>
        <v>0</v>
      </c>
      <c r="T48" t="s">
        <v>1133</v>
      </c>
      <c r="U48">
        <f>ROUNDUP(U$46/8,0)</f>
        <v>0</v>
      </c>
      <c r="V48">
        <f t="shared" ref="V48:W48" si="7">ROUNDUP(V$46/8,0)</f>
        <v>0</v>
      </c>
      <c r="W48">
        <f t="shared" si="7"/>
        <v>0</v>
      </c>
    </row>
    <row r="49" spans="4:23" x14ac:dyDescent="0.25">
      <c r="D49" t="s">
        <v>1137</v>
      </c>
      <c r="E49">
        <f>ROUNDUP(E$44/8,0)</f>
        <v>0</v>
      </c>
      <c r="F49">
        <f t="shared" ref="F49:G49" si="8">ROUNDUP(F$44/8,0)</f>
        <v>0</v>
      </c>
      <c r="G49">
        <f t="shared" si="8"/>
        <v>0</v>
      </c>
      <c r="T49" t="s">
        <v>1137</v>
      </c>
      <c r="U49">
        <f>ROUNDUP(U$44/8,0)</f>
        <v>0</v>
      </c>
      <c r="V49">
        <f t="shared" ref="V49:W49" si="9">ROUNDUP(V$44/8,0)</f>
        <v>0</v>
      </c>
      <c r="W49">
        <f t="shared" si="9"/>
        <v>0</v>
      </c>
    </row>
    <row r="50" spans="4:23" x14ac:dyDescent="0.25">
      <c r="D50" t="s">
        <v>901</v>
      </c>
      <c r="E50">
        <f>ROUNDUP(E$45/8,0)</f>
        <v>0</v>
      </c>
      <c r="F50">
        <f t="shared" ref="F50:G50" si="10">ROUNDUP(F$45/8,0)</f>
        <v>0</v>
      </c>
      <c r="G50">
        <f t="shared" si="10"/>
        <v>0</v>
      </c>
      <c r="T50" t="s">
        <v>901</v>
      </c>
      <c r="U50">
        <f>ROUNDUP(U$45/8,0)</f>
        <v>0</v>
      </c>
      <c r="V50">
        <f t="shared" ref="V50:W50" si="11">ROUNDUP(V$45/8,0)</f>
        <v>0</v>
      </c>
      <c r="W50">
        <f t="shared" si="11"/>
        <v>0</v>
      </c>
    </row>
    <row r="51" spans="4:23" x14ac:dyDescent="0.25">
      <c r="D51" t="s">
        <v>902</v>
      </c>
      <c r="E51">
        <f>ROUNDUP(E47/8,0)</f>
        <v>0</v>
      </c>
      <c r="F51">
        <f t="shared" ref="F51:G51" si="12">ROUNDUP(F47/8,0)</f>
        <v>0</v>
      </c>
      <c r="G51">
        <f t="shared" si="12"/>
        <v>0</v>
      </c>
      <c r="T51" t="s">
        <v>902</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H24:J24"/>
    <mergeCell ref="A1:G1"/>
    <mergeCell ref="H1:M1"/>
    <mergeCell ref="N1:P1"/>
    <mergeCell ref="Q1:W1"/>
    <mergeCell ref="A6:D6"/>
    <mergeCell ref="H6:J6"/>
    <mergeCell ref="Q6:T6"/>
    <mergeCell ref="A11:D11"/>
    <mergeCell ref="H11:J11"/>
    <mergeCell ref="Q11:T11"/>
    <mergeCell ref="H18:J18"/>
    <mergeCell ref="H20:J20"/>
    <mergeCell ref="H26:J26"/>
    <mergeCell ref="A27:D27"/>
    <mergeCell ref="Q27:T27"/>
    <mergeCell ref="H28:J28"/>
    <mergeCell ref="A30:D30"/>
    <mergeCell ref="Q30:T30"/>
    <mergeCell ref="A41:D41"/>
    <mergeCell ref="Q41:T41"/>
    <mergeCell ref="A35:D35"/>
    <mergeCell ref="Q35:T35"/>
    <mergeCell ref="A37:D37"/>
    <mergeCell ref="Q37:T37"/>
    <mergeCell ref="A39:D39"/>
    <mergeCell ref="Q39:T39"/>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871</v>
      </c>
      <c r="B4" s="1141" t="s">
        <v>872</v>
      </c>
      <c r="C4" s="1142" t="s">
        <v>873</v>
      </c>
      <c r="D4" s="1141" t="s">
        <v>52</v>
      </c>
      <c r="E4" s="1142" t="s">
        <v>714</v>
      </c>
      <c r="F4" s="1142" t="s">
        <v>713</v>
      </c>
      <c r="G4" s="1142" t="s">
        <v>712</v>
      </c>
      <c r="H4" s="1141" t="s">
        <v>874</v>
      </c>
    </row>
    <row r="5" spans="1:8" ht="89.25" x14ac:dyDescent="0.25">
      <c r="A5" s="1037" t="s">
        <v>875</v>
      </c>
      <c r="B5" s="1245">
        <f>ТрЗ_ОВ!E108</f>
        <v>0</v>
      </c>
      <c r="C5" s="1040"/>
      <c r="D5" s="1039"/>
      <c r="E5" s="1040"/>
      <c r="F5" s="1039"/>
      <c r="G5" s="1040"/>
      <c r="H5" s="1039" t="s">
        <v>1019</v>
      </c>
    </row>
    <row r="6" spans="1:8" x14ac:dyDescent="0.25">
      <c r="A6" s="1037" t="s">
        <v>1193</v>
      </c>
      <c r="B6" s="1245">
        <f>ТрЗ_ОВ!H108</f>
        <v>0</v>
      </c>
      <c r="C6" s="1040"/>
      <c r="D6" s="1039"/>
      <c r="E6" s="1040"/>
      <c r="F6" s="1039"/>
      <c r="G6" s="1040"/>
      <c r="H6" s="1039"/>
    </row>
    <row r="7" spans="1:8" x14ac:dyDescent="0.25">
      <c r="A7" s="1037" t="s">
        <v>1194</v>
      </c>
      <c r="B7" s="1245">
        <f>ТрЗ_ОВ!J108</f>
        <v>0</v>
      </c>
      <c r="C7" s="1040"/>
      <c r="D7" s="1039"/>
      <c r="E7" s="1040"/>
      <c r="F7" s="1039"/>
      <c r="G7" s="1040"/>
      <c r="H7" s="1039"/>
    </row>
    <row r="8" spans="1:8" x14ac:dyDescent="0.25">
      <c r="A8" s="1037" t="s">
        <v>879</v>
      </c>
      <c r="B8" s="1039">
        <v>1</v>
      </c>
      <c r="C8" s="1040">
        <v>4</v>
      </c>
      <c r="D8" s="1039">
        <v>4</v>
      </c>
      <c r="E8" s="1040"/>
      <c r="F8" s="1039">
        <f>D8/8</f>
        <v>0.5</v>
      </c>
      <c r="G8" s="1040"/>
      <c r="H8" s="1039"/>
    </row>
    <row r="9" spans="1:8" x14ac:dyDescent="0.25">
      <c r="A9" s="1037" t="s">
        <v>880</v>
      </c>
      <c r="B9" s="1039" t="s">
        <v>881</v>
      </c>
      <c r="C9" s="1040"/>
      <c r="D9" s="1039"/>
      <c r="E9" s="1040"/>
      <c r="F9" s="1040"/>
      <c r="G9" s="1040"/>
      <c r="H9" s="1039"/>
    </row>
    <row r="10" spans="1:8" x14ac:dyDescent="0.25">
      <c r="A10" s="1042" t="s">
        <v>882</v>
      </c>
      <c r="B10" s="1246">
        <v>1</v>
      </c>
      <c r="C10" s="1040">
        <v>1</v>
      </c>
      <c r="D10" s="1039">
        <f t="shared" ref="D10:D13" si="0">C10*($B$6)</f>
        <v>0</v>
      </c>
      <c r="E10" s="1040">
        <f>0.5*D10</f>
        <v>0</v>
      </c>
      <c r="F10" s="1040">
        <f>0.5*D10</f>
        <v>0</v>
      </c>
      <c r="G10" s="1040"/>
      <c r="H10" s="1039"/>
    </row>
    <row r="11" spans="1:8" x14ac:dyDescent="0.25">
      <c r="A11" s="1042" t="s">
        <v>883</v>
      </c>
      <c r="B11" s="1246">
        <v>1</v>
      </c>
      <c r="C11" s="1040">
        <v>1</v>
      </c>
      <c r="D11" s="1039">
        <f t="shared" si="0"/>
        <v>0</v>
      </c>
      <c r="E11" s="1040">
        <f t="shared" ref="E11:E13" si="1">0.5*D11</f>
        <v>0</v>
      </c>
      <c r="F11" s="1040">
        <f t="shared" ref="F11:F13" si="2">0.5*D11</f>
        <v>0</v>
      </c>
      <c r="G11" s="1040"/>
      <c r="H11" s="1039"/>
    </row>
    <row r="12" spans="1:8" x14ac:dyDescent="0.25">
      <c r="A12" s="1042" t="s">
        <v>884</v>
      </c>
      <c r="B12" s="1246">
        <v>1</v>
      </c>
      <c r="C12" s="1040">
        <v>1</v>
      </c>
      <c r="D12" s="1039">
        <f t="shared" si="0"/>
        <v>0</v>
      </c>
      <c r="E12" s="1040">
        <f t="shared" si="1"/>
        <v>0</v>
      </c>
      <c r="F12" s="1040">
        <f t="shared" si="2"/>
        <v>0</v>
      </c>
      <c r="G12" s="1040"/>
      <c r="H12" s="1039"/>
    </row>
    <row r="13" spans="1:8" x14ac:dyDescent="0.25">
      <c r="A13" s="1042" t="s">
        <v>885</v>
      </c>
      <c r="B13" s="1246">
        <v>1</v>
      </c>
      <c r="C13" s="1040">
        <v>1</v>
      </c>
      <c r="D13" s="1039">
        <f t="shared" si="0"/>
        <v>0</v>
      </c>
      <c r="E13" s="1040">
        <f t="shared" si="1"/>
        <v>0</v>
      </c>
      <c r="F13" s="1040">
        <f t="shared" si="2"/>
        <v>0</v>
      </c>
      <c r="G13" s="1040"/>
      <c r="H13" s="1039"/>
    </row>
    <row r="14" spans="1:8" x14ac:dyDescent="0.25">
      <c r="A14" s="1037" t="s">
        <v>886</v>
      </c>
      <c r="B14" s="1246"/>
      <c r="C14" s="1040"/>
      <c r="D14" s="1039"/>
      <c r="E14" s="1040"/>
      <c r="F14" s="1039"/>
      <c r="G14" s="1040"/>
      <c r="H14" s="1039"/>
    </row>
    <row r="15" spans="1:8" x14ac:dyDescent="0.25">
      <c r="A15" s="1037" t="s">
        <v>887</v>
      </c>
      <c r="B15" s="1246"/>
      <c r="C15" s="1040"/>
      <c r="D15" s="1039"/>
      <c r="E15" s="1040"/>
      <c r="F15" s="1039"/>
      <c r="G15" s="1040"/>
      <c r="H15" s="1039"/>
    </row>
    <row r="16" spans="1:8" x14ac:dyDescent="0.25">
      <c r="A16" s="1042" t="s">
        <v>1023</v>
      </c>
      <c r="B16" s="1247">
        <v>1</v>
      </c>
      <c r="C16" s="1099">
        <v>1</v>
      </c>
      <c r="D16" s="1040">
        <f>C16*$B$6</f>
        <v>0</v>
      </c>
      <c r="E16" s="1040">
        <f>0.5*$D16</f>
        <v>0</v>
      </c>
      <c r="F16" s="1040">
        <f>0.5*$D16</f>
        <v>0</v>
      </c>
      <c r="G16" s="1040"/>
      <c r="H16" s="1039"/>
    </row>
    <row r="17" spans="1:8" x14ac:dyDescent="0.25">
      <c r="A17" s="1189" t="s">
        <v>936</v>
      </c>
      <c r="B17" s="1247">
        <v>1</v>
      </c>
      <c r="C17" s="1099">
        <v>1</v>
      </c>
      <c r="D17" s="1040">
        <f t="shared" ref="D17:D23" si="3">C17*$B$6</f>
        <v>0</v>
      </c>
      <c r="E17" s="1040">
        <f t="shared" ref="E17:F23" si="4">0.5*$D17</f>
        <v>0</v>
      </c>
      <c r="F17" s="1040">
        <f t="shared" si="4"/>
        <v>0</v>
      </c>
      <c r="G17" s="1040"/>
      <c r="H17" s="1039"/>
    </row>
    <row r="18" spans="1:8" x14ac:dyDescent="0.25">
      <c r="A18" s="1189" t="s">
        <v>1024</v>
      </c>
      <c r="B18" s="1247">
        <v>1</v>
      </c>
      <c r="C18" s="1099">
        <v>1</v>
      </c>
      <c r="D18" s="1040">
        <f t="shared" si="3"/>
        <v>0</v>
      </c>
      <c r="E18" s="1040">
        <f t="shared" si="4"/>
        <v>0</v>
      </c>
      <c r="F18" s="1040">
        <f t="shared" si="4"/>
        <v>0</v>
      </c>
      <c r="G18" s="1040"/>
      <c r="H18" s="1039"/>
    </row>
    <row r="19" spans="1:8" x14ac:dyDescent="0.25">
      <c r="A19" s="1189" t="s">
        <v>894</v>
      </c>
      <c r="B19" s="1247">
        <v>0.5</v>
      </c>
      <c r="C19" s="1099">
        <v>1</v>
      </c>
      <c r="D19" s="1040">
        <f t="shared" si="3"/>
        <v>0</v>
      </c>
      <c r="E19" s="1040">
        <f t="shared" si="4"/>
        <v>0</v>
      </c>
      <c r="F19" s="1040">
        <f t="shared" si="4"/>
        <v>0</v>
      </c>
      <c r="G19" s="1040"/>
      <c r="H19" s="1039"/>
    </row>
    <row r="20" spans="1:8" x14ac:dyDescent="0.25">
      <c r="A20" s="1189" t="s">
        <v>1025</v>
      </c>
      <c r="B20" s="1247">
        <v>2</v>
      </c>
      <c r="C20" s="1099">
        <v>1</v>
      </c>
      <c r="D20" s="1040">
        <f t="shared" si="3"/>
        <v>0</v>
      </c>
      <c r="E20" s="1040">
        <f t="shared" si="4"/>
        <v>0</v>
      </c>
      <c r="F20" s="1040">
        <f t="shared" si="4"/>
        <v>0</v>
      </c>
      <c r="G20" s="1040"/>
      <c r="H20" s="1039"/>
    </row>
    <row r="21" spans="1:8" x14ac:dyDescent="0.25">
      <c r="A21" s="1189" t="s">
        <v>1195</v>
      </c>
      <c r="B21" s="1247">
        <v>1</v>
      </c>
      <c r="C21" s="1099">
        <v>1</v>
      </c>
      <c r="D21" s="1040">
        <f t="shared" si="3"/>
        <v>0</v>
      </c>
      <c r="E21" s="1040">
        <f t="shared" si="4"/>
        <v>0</v>
      </c>
      <c r="F21" s="1040">
        <f t="shared" si="4"/>
        <v>0</v>
      </c>
      <c r="G21" s="1040"/>
      <c r="H21" s="1039"/>
    </row>
    <row r="22" spans="1:8" x14ac:dyDescent="0.25">
      <c r="A22" s="1134" t="s">
        <v>1025</v>
      </c>
      <c r="B22" s="1247">
        <v>1</v>
      </c>
      <c r="C22" s="1099">
        <v>1</v>
      </c>
      <c r="D22" s="1040">
        <f t="shared" si="3"/>
        <v>0</v>
      </c>
      <c r="E22" s="1040">
        <f t="shared" si="4"/>
        <v>0</v>
      </c>
      <c r="F22" s="1040">
        <f t="shared" si="4"/>
        <v>0</v>
      </c>
      <c r="G22" s="1040"/>
      <c r="H22" s="1039"/>
    </row>
    <row r="23" spans="1:8" x14ac:dyDescent="0.25">
      <c r="A23" s="1134" t="s">
        <v>1026</v>
      </c>
      <c r="B23" s="1247">
        <v>1</v>
      </c>
      <c r="C23" s="1099">
        <v>1</v>
      </c>
      <c r="D23" s="1040">
        <f t="shared" si="3"/>
        <v>0</v>
      </c>
      <c r="E23" s="1040">
        <f t="shared" si="4"/>
        <v>0</v>
      </c>
      <c r="F23" s="1040">
        <f t="shared" si="4"/>
        <v>0</v>
      </c>
      <c r="G23" s="1040"/>
      <c r="H23" s="1039"/>
    </row>
    <row r="24" spans="1:8" x14ac:dyDescent="0.25">
      <c r="A24" s="1037" t="s">
        <v>1196</v>
      </c>
      <c r="B24" s="1246"/>
      <c r="C24" s="1040"/>
      <c r="D24" s="1039"/>
      <c r="E24" s="1040"/>
      <c r="F24" s="1039"/>
      <c r="G24" s="1040"/>
      <c r="H24" s="1039"/>
    </row>
    <row r="25" spans="1:8" x14ac:dyDescent="0.25">
      <c r="A25" s="1189" t="s">
        <v>1028</v>
      </c>
      <c r="B25" s="1099">
        <v>1</v>
      </c>
      <c r="C25" s="1099">
        <v>1</v>
      </c>
      <c r="D25" s="1130">
        <f>C25*$B$6</f>
        <v>0</v>
      </c>
      <c r="E25" s="1040">
        <f t="shared" ref="E25:E34" si="5">0.5*$D25</f>
        <v>0</v>
      </c>
      <c r="F25" s="1040">
        <f>0.4*$D25</f>
        <v>0</v>
      </c>
      <c r="G25" s="1040">
        <f>0.1*$D25</f>
        <v>0</v>
      </c>
      <c r="H25" s="1039"/>
    </row>
    <row r="26" spans="1:8" x14ac:dyDescent="0.25">
      <c r="A26" s="1189" t="s">
        <v>1029</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1197</v>
      </c>
      <c r="B27" s="1099">
        <v>1</v>
      </c>
      <c r="C27" s="1099">
        <v>1</v>
      </c>
      <c r="D27" s="1130">
        <f t="shared" si="6"/>
        <v>0</v>
      </c>
      <c r="E27" s="1040">
        <f t="shared" si="5"/>
        <v>0</v>
      </c>
      <c r="F27" s="1040">
        <f t="shared" si="7"/>
        <v>0</v>
      </c>
      <c r="G27" s="1040">
        <f t="shared" si="8"/>
        <v>0</v>
      </c>
      <c r="H27" s="1039"/>
    </row>
    <row r="28" spans="1:8" x14ac:dyDescent="0.25">
      <c r="A28" s="1189" t="s">
        <v>1198</v>
      </c>
      <c r="B28" s="1099">
        <v>1</v>
      </c>
      <c r="C28" s="1099">
        <v>16</v>
      </c>
      <c r="D28" s="1130">
        <f t="shared" si="6"/>
        <v>0</v>
      </c>
      <c r="E28" s="1040">
        <f t="shared" si="5"/>
        <v>0</v>
      </c>
      <c r="F28" s="1040">
        <f t="shared" si="7"/>
        <v>0</v>
      </c>
      <c r="G28" s="1040">
        <f t="shared" si="8"/>
        <v>0</v>
      </c>
      <c r="H28" s="1039"/>
    </row>
    <row r="29" spans="1:8" x14ac:dyDescent="0.25">
      <c r="A29" s="1189" t="s">
        <v>1199</v>
      </c>
      <c r="B29" s="1099">
        <v>1</v>
      </c>
      <c r="C29" s="1099">
        <v>1</v>
      </c>
      <c r="D29" s="1130">
        <f t="shared" si="6"/>
        <v>0</v>
      </c>
      <c r="E29" s="1040">
        <f t="shared" si="5"/>
        <v>0</v>
      </c>
      <c r="F29" s="1040">
        <f t="shared" si="7"/>
        <v>0</v>
      </c>
      <c r="G29" s="1040">
        <f t="shared" si="8"/>
        <v>0</v>
      </c>
      <c r="H29" s="1039"/>
    </row>
    <row r="30" spans="1:8" x14ac:dyDescent="0.25">
      <c r="A30" s="1189" t="s">
        <v>1033</v>
      </c>
      <c r="B30" s="1099">
        <v>1</v>
      </c>
      <c r="C30" s="1099">
        <v>8</v>
      </c>
      <c r="D30" s="1130">
        <f t="shared" si="6"/>
        <v>0</v>
      </c>
      <c r="E30" s="1040">
        <f t="shared" si="5"/>
        <v>0</v>
      </c>
      <c r="F30" s="1040">
        <f t="shared" si="7"/>
        <v>0</v>
      </c>
      <c r="G30" s="1040">
        <f t="shared" si="8"/>
        <v>0</v>
      </c>
      <c r="H30" s="1039"/>
    </row>
    <row r="31" spans="1:8" x14ac:dyDescent="0.25">
      <c r="A31" s="1189" t="s">
        <v>1034</v>
      </c>
      <c r="B31" s="1099">
        <v>1</v>
      </c>
      <c r="C31" s="1099">
        <v>0.5</v>
      </c>
      <c r="D31" s="1130">
        <f t="shared" si="6"/>
        <v>0</v>
      </c>
      <c r="E31" s="1040">
        <f t="shared" si="5"/>
        <v>0</v>
      </c>
      <c r="F31" s="1040">
        <f t="shared" si="7"/>
        <v>0</v>
      </c>
      <c r="G31" s="1040">
        <f t="shared" si="8"/>
        <v>0</v>
      </c>
      <c r="H31" s="1039"/>
    </row>
    <row r="32" spans="1:8" x14ac:dyDescent="0.25">
      <c r="A32" s="1189" t="s">
        <v>1200</v>
      </c>
      <c r="B32" s="1099">
        <v>1</v>
      </c>
      <c r="C32" s="1099">
        <v>2</v>
      </c>
      <c r="D32" s="1130">
        <f t="shared" si="6"/>
        <v>0</v>
      </c>
      <c r="E32" s="1040">
        <f t="shared" si="5"/>
        <v>0</v>
      </c>
      <c r="F32" s="1040">
        <f t="shared" si="7"/>
        <v>0</v>
      </c>
      <c r="G32" s="1040">
        <f t="shared" si="8"/>
        <v>0</v>
      </c>
      <c r="H32" s="1039"/>
    </row>
    <row r="33" spans="1:8" x14ac:dyDescent="0.25">
      <c r="A33" s="1248" t="s">
        <v>1201</v>
      </c>
      <c r="B33" s="1101">
        <v>1</v>
      </c>
      <c r="C33" s="1101">
        <v>0.5</v>
      </c>
      <c r="D33" s="1101">
        <f>C33*$B$7</f>
        <v>0</v>
      </c>
      <c r="E33" s="1148"/>
      <c r="F33" s="1148"/>
      <c r="G33" s="1148"/>
      <c r="H33" s="1149"/>
    </row>
    <row r="34" spans="1:8" x14ac:dyDescent="0.25">
      <c r="A34" s="1189" t="s">
        <v>1202</v>
      </c>
      <c r="B34" s="1099">
        <v>1</v>
      </c>
      <c r="C34" s="1099">
        <v>0.5</v>
      </c>
      <c r="D34" s="1130">
        <f>C34*$B$7</f>
        <v>0</v>
      </c>
      <c r="E34" s="1040">
        <f t="shared" si="5"/>
        <v>0</v>
      </c>
      <c r="F34" s="1040">
        <f t="shared" si="7"/>
        <v>0</v>
      </c>
      <c r="G34" s="1040">
        <f t="shared" si="8"/>
        <v>0</v>
      </c>
      <c r="H34" s="1039"/>
    </row>
    <row r="35" spans="1:8" ht="25.5" x14ac:dyDescent="0.25">
      <c r="A35" s="1037" t="s">
        <v>962</v>
      </c>
      <c r="B35" s="1246">
        <v>1</v>
      </c>
      <c r="C35" s="1040" t="s">
        <v>896</v>
      </c>
      <c r="D35" s="1039">
        <f>ROUNDUP(IF(0.1*(SUM($D$16:$D$34))&gt;8,0.1*(SUM($D$16:$D$34)),8),0)</f>
        <v>8</v>
      </c>
      <c r="E35" s="1040"/>
      <c r="F35" s="1040">
        <f>0.5*$D35</f>
        <v>4</v>
      </c>
      <c r="G35" s="1040">
        <f>0.5*$D35</f>
        <v>4</v>
      </c>
      <c r="H35" s="1039"/>
    </row>
    <row r="36" spans="1:8" ht="26.25" thickBot="1" x14ac:dyDescent="0.3">
      <c r="A36" s="1070" t="s">
        <v>963</v>
      </c>
      <c r="B36" s="1246">
        <v>1</v>
      </c>
      <c r="C36" s="1155" t="s">
        <v>898</v>
      </c>
      <c r="D36" s="1156">
        <f>ROUNDUP(IF(0.05*(SUM($D$16:$D$34))&gt;8,0.05*(SUM($D$16:$D$34)),8),0)</f>
        <v>8</v>
      </c>
      <c r="E36" s="1155"/>
      <c r="F36" s="1155">
        <f>0.5*$D36</f>
        <v>4</v>
      </c>
      <c r="G36" s="1155">
        <f>0.5*$D36</f>
        <v>4</v>
      </c>
      <c r="H36" s="1156"/>
    </row>
    <row r="37" spans="1:8" x14ac:dyDescent="0.25">
      <c r="A37" s="1067" t="s">
        <v>563</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900</v>
      </c>
      <c r="D39" s="268">
        <f>ROUNDUP(SUM(D8:D13)/8,0)</f>
        <v>1</v>
      </c>
      <c r="E39" s="268">
        <f t="shared" ref="E39:G39" si="9">ROUNDUP(SUM(E8:E13)/8,0)</f>
        <v>0</v>
      </c>
      <c r="F39" s="268">
        <f t="shared" si="9"/>
        <v>1</v>
      </c>
      <c r="G39" s="268">
        <f t="shared" si="9"/>
        <v>0</v>
      </c>
      <c r="H39" s="1067"/>
    </row>
    <row r="40" spans="1:8" x14ac:dyDescent="0.25">
      <c r="A40" s="1067"/>
      <c r="B40" s="1067"/>
      <c r="C40" s="63" t="s">
        <v>901</v>
      </c>
      <c r="D40" s="63">
        <f>ROUNDUP(SUM(D16:D35)/8,0)</f>
        <v>1</v>
      </c>
      <c r="E40" s="63">
        <f>ROUNDUP(SUM(E16:E35)/8,0)</f>
        <v>0</v>
      </c>
      <c r="F40" s="63">
        <f>ROUNDUP(SUM(F16:F35)/8,0)</f>
        <v>1</v>
      </c>
      <c r="G40" s="63">
        <f>ROUNDUP(SUM(G16:G35)/8,0)</f>
        <v>1</v>
      </c>
      <c r="H40" s="1067"/>
    </row>
    <row r="41" spans="1:8" x14ac:dyDescent="0.25">
      <c r="A41" s="1067"/>
      <c r="B41" s="1067"/>
      <c r="C41" s="268" t="s">
        <v>902</v>
      </c>
      <c r="D41" s="268">
        <f>ROUNDUP(SUM(D36)/8,0)</f>
        <v>1</v>
      </c>
      <c r="E41" s="268">
        <f t="shared" ref="E41:G41" si="10">ROUNDUP(SUM(E36)/8,0)</f>
        <v>0</v>
      </c>
      <c r="F41" s="268">
        <f t="shared" si="10"/>
        <v>1</v>
      </c>
      <c r="G41" s="268">
        <f t="shared" si="10"/>
        <v>1</v>
      </c>
      <c r="H41" s="1067"/>
    </row>
    <row r="42" spans="1:8" x14ac:dyDescent="0.25">
      <c r="A42" s="1067"/>
      <c r="B42" s="1067"/>
      <c r="C42" s="63" t="s">
        <v>903</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871</v>
      </c>
      <c r="B2" s="1077" t="s">
        <v>918</v>
      </c>
      <c r="C2" s="1078" t="s">
        <v>919</v>
      </c>
      <c r="D2" s="1079" t="s">
        <v>920</v>
      </c>
      <c r="E2" s="1080" t="s">
        <v>921</v>
      </c>
      <c r="F2" s="1081" t="s">
        <v>922</v>
      </c>
      <c r="G2" s="1078" t="s">
        <v>874</v>
      </c>
      <c r="H2" s="1249"/>
      <c r="I2" s="291"/>
    </row>
    <row r="3" spans="1:9" x14ac:dyDescent="0.25">
      <c r="A3" s="1082" t="s">
        <v>923</v>
      </c>
      <c r="B3" s="1083">
        <f>ТрЗ_ОВ!E127</f>
        <v>0</v>
      </c>
      <c r="C3" s="1084"/>
      <c r="D3" s="1084"/>
      <c r="E3" s="1084"/>
      <c r="F3" s="1084"/>
      <c r="G3" s="1085"/>
      <c r="H3" t="s">
        <v>106</v>
      </c>
    </row>
    <row r="4" spans="1:9" x14ac:dyDescent="0.25">
      <c r="A4" s="1086" t="s">
        <v>924</v>
      </c>
      <c r="B4" s="1087">
        <f>ТрЗ_ОВ!H127</f>
        <v>0</v>
      </c>
      <c r="C4" s="1088"/>
      <c r="D4" s="1088"/>
      <c r="E4" s="1088"/>
      <c r="F4" s="1088"/>
      <c r="G4" s="1089"/>
      <c r="H4" t="s">
        <v>107</v>
      </c>
    </row>
    <row r="5" spans="1:9" x14ac:dyDescent="0.25">
      <c r="A5" s="1086" t="s">
        <v>925</v>
      </c>
      <c r="B5" s="1087">
        <f>ТрЗ_ОВ!J127</f>
        <v>0</v>
      </c>
      <c r="C5" s="1088"/>
      <c r="D5" s="1088"/>
      <c r="E5" s="1088"/>
      <c r="F5" s="1088"/>
      <c r="G5" s="1089"/>
      <c r="H5" s="216"/>
      <c r="I5" t="s">
        <v>1203</v>
      </c>
    </row>
    <row r="6" spans="1:9" x14ac:dyDescent="0.25">
      <c r="A6" s="1086" t="s">
        <v>926</v>
      </c>
      <c r="B6" s="1087">
        <f>ТрЗ_ОВ!M127</f>
        <v>0</v>
      </c>
      <c r="C6" s="1088"/>
      <c r="D6" s="1088"/>
      <c r="E6" s="1088"/>
      <c r="F6" s="1088"/>
      <c r="G6" s="1089"/>
    </row>
    <row r="7" spans="1:9" x14ac:dyDescent="0.25">
      <c r="A7" s="1086" t="s">
        <v>927</v>
      </c>
      <c r="B7" s="1087">
        <f>ТрЗ_ОВ!O127</f>
        <v>0</v>
      </c>
      <c r="C7" s="1088"/>
      <c r="D7" s="1088"/>
      <c r="E7" s="1088"/>
      <c r="F7" s="1088"/>
      <c r="G7" s="1089"/>
    </row>
    <row r="8" spans="1:9" x14ac:dyDescent="0.25">
      <c r="A8" s="1086" t="s">
        <v>761</v>
      </c>
      <c r="B8" s="1087" t="s">
        <v>106</v>
      </c>
      <c r="C8" s="1088"/>
      <c r="D8" s="1088"/>
      <c r="E8" s="1088"/>
      <c r="F8" s="1088"/>
      <c r="G8" s="1089"/>
    </row>
    <row r="9" spans="1:9" x14ac:dyDescent="0.25">
      <c r="A9" s="1086" t="s">
        <v>762</v>
      </c>
      <c r="B9" s="1087" t="str">
        <f>ТрЗ_ОВ!D132</f>
        <v>Да</v>
      </c>
      <c r="C9" s="1088"/>
      <c r="D9" s="1088"/>
      <c r="E9" s="1088"/>
      <c r="F9" s="1088"/>
      <c r="G9" s="1089"/>
    </row>
    <row r="10" spans="1:9" x14ac:dyDescent="0.25">
      <c r="A10" s="1086" t="s">
        <v>763</v>
      </c>
      <c r="B10" s="1087" t="str">
        <f>ТрЗ_ОВ!D133</f>
        <v>Да</v>
      </c>
      <c r="C10" s="1088"/>
      <c r="D10" s="1088"/>
      <c r="E10" s="1088"/>
      <c r="F10" s="1088"/>
      <c r="G10" s="1089"/>
    </row>
    <row r="11" spans="1:9" x14ac:dyDescent="0.25">
      <c r="A11" s="1086" t="s">
        <v>764</v>
      </c>
      <c r="B11" s="1087">
        <f>ТрЗ_ОВ!D134</f>
        <v>0</v>
      </c>
      <c r="C11" s="1088"/>
      <c r="D11" s="1088"/>
      <c r="E11" s="1088"/>
      <c r="F11" s="1088"/>
      <c r="G11" s="1089"/>
    </row>
    <row r="12" spans="1:9" x14ac:dyDescent="0.25">
      <c r="A12" s="1086" t="s">
        <v>765</v>
      </c>
      <c r="B12" s="1087">
        <f>ТрЗ_ОВ!D135</f>
        <v>0</v>
      </c>
      <c r="C12" s="1088"/>
      <c r="D12" s="1088"/>
      <c r="E12" s="1088"/>
      <c r="F12" s="1088"/>
      <c r="G12" s="1089"/>
    </row>
    <row r="13" spans="1:9" ht="25.5" x14ac:dyDescent="0.25">
      <c r="A13" s="1086" t="s">
        <v>928</v>
      </c>
      <c r="B13" s="1087" t="s">
        <v>106</v>
      </c>
      <c r="C13" s="1088"/>
      <c r="D13" s="1088"/>
      <c r="E13" s="1088"/>
      <c r="F13" s="1088"/>
      <c r="G13" s="1089"/>
    </row>
    <row r="14" spans="1:9" x14ac:dyDescent="0.25">
      <c r="A14" s="1086" t="s">
        <v>752</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880</v>
      </c>
      <c r="B16" s="1093"/>
      <c r="C16" s="1094"/>
      <c r="D16" s="1095"/>
      <c r="E16" s="1095"/>
      <c r="F16" s="1094"/>
      <c r="G16" s="1096"/>
    </row>
    <row r="17" spans="1:7" x14ac:dyDescent="0.25">
      <c r="A17" s="1097" t="s">
        <v>929</v>
      </c>
      <c r="B17" s="1098">
        <f>IF(B13="Да",1,0)</f>
        <v>1</v>
      </c>
      <c r="C17" s="1099">
        <f>ROUNDUP(IF(B17=1,B3*50/60,0),1)</f>
        <v>0</v>
      </c>
      <c r="D17" s="1100">
        <f t="shared" ref="D17:D22" si="0">C17*0.5</f>
        <v>0</v>
      </c>
      <c r="E17" s="1101">
        <f t="shared" ref="E17:E22" si="1">C17*0.5</f>
        <v>0</v>
      </c>
      <c r="F17" s="1102"/>
      <c r="G17" s="1103"/>
    </row>
    <row r="18" spans="1:7" x14ac:dyDescent="0.25">
      <c r="A18" s="1097" t="s">
        <v>930</v>
      </c>
      <c r="B18" s="1098">
        <f>IF(B13="Да",IF(B4&gt;0,1,0),0)</f>
        <v>0</v>
      </c>
      <c r="C18" s="1099">
        <f>ROUNDUP(IF(B18=1,B4*50/60,0),1)</f>
        <v>0</v>
      </c>
      <c r="D18" s="1100">
        <f t="shared" si="0"/>
        <v>0</v>
      </c>
      <c r="E18" s="1101">
        <f t="shared" si="1"/>
        <v>0</v>
      </c>
      <c r="F18" s="1102"/>
      <c r="G18" s="1103"/>
    </row>
    <row r="19" spans="1:7" x14ac:dyDescent="0.25">
      <c r="A19" s="1097" t="s">
        <v>931</v>
      </c>
      <c r="B19" s="1098">
        <f>IF(B13="Да",IF(B5&gt;0,1,0),0)</f>
        <v>0</v>
      </c>
      <c r="C19" s="1099">
        <f>ROUNDUP(IF(B19=1,B5*50/60,0),1)</f>
        <v>0</v>
      </c>
      <c r="D19" s="1100">
        <f t="shared" si="0"/>
        <v>0</v>
      </c>
      <c r="E19" s="1101">
        <f t="shared" si="1"/>
        <v>0</v>
      </c>
      <c r="F19" s="1102"/>
      <c r="G19" s="1103"/>
    </row>
    <row r="20" spans="1:7" x14ac:dyDescent="0.25">
      <c r="A20" s="1097" t="s">
        <v>932</v>
      </c>
      <c r="B20" s="1098">
        <f>IF(B13="Да",1,0)</f>
        <v>1</v>
      </c>
      <c r="C20" s="1099">
        <f>ROUNDUP(IF(B20=1,(B3+B4+B5)*50/60,0),1)</f>
        <v>0</v>
      </c>
      <c r="D20" s="1100">
        <f t="shared" si="0"/>
        <v>0</v>
      </c>
      <c r="E20" s="1101">
        <f t="shared" si="1"/>
        <v>0</v>
      </c>
      <c r="F20" s="1102"/>
      <c r="G20" s="1103"/>
    </row>
    <row r="21" spans="1:7" x14ac:dyDescent="0.25">
      <c r="A21" s="1097" t="s">
        <v>933</v>
      </c>
      <c r="B21" s="1098">
        <f>IF(B13="Да",1,0)</f>
        <v>1</v>
      </c>
      <c r="C21" s="1099">
        <f>ROUNDUP(IF(B21=1,(B3+B4+B5)*50/60,0),1)</f>
        <v>0</v>
      </c>
      <c r="D21" s="1100">
        <f t="shared" si="0"/>
        <v>0</v>
      </c>
      <c r="E21" s="1101">
        <f t="shared" si="1"/>
        <v>0</v>
      </c>
      <c r="F21" s="1102"/>
      <c r="G21" s="1103"/>
    </row>
    <row r="22" spans="1:7" x14ac:dyDescent="0.25">
      <c r="A22" s="1097" t="s">
        <v>934</v>
      </c>
      <c r="B22" s="1098">
        <f>IF(B13="Да",1,0)</f>
        <v>1</v>
      </c>
      <c r="C22" s="1099">
        <f>ROUNDUP(IF(B22=1,(B3+B4+B5)*50/60,0),1)</f>
        <v>0</v>
      </c>
      <c r="D22" s="1100">
        <f t="shared" si="0"/>
        <v>0</v>
      </c>
      <c r="E22" s="1101">
        <f t="shared" si="1"/>
        <v>0</v>
      </c>
      <c r="F22" s="1102"/>
      <c r="G22" s="1103"/>
    </row>
    <row r="23" spans="1:7" x14ac:dyDescent="0.25">
      <c r="A23" s="1097" t="s">
        <v>935</v>
      </c>
      <c r="B23" s="1098">
        <f>IF(B13="Нет",1,0)</f>
        <v>0</v>
      </c>
      <c r="C23" s="1099">
        <f>ROUNDUP(IF(B23=1,(((B3+B4+B5)*60)+(B6*10))/60,0),1)</f>
        <v>0</v>
      </c>
      <c r="D23" s="1100"/>
      <c r="E23" s="1101">
        <f>(C23*0.32)/8</f>
        <v>0</v>
      </c>
      <c r="F23" s="1102">
        <f>(C23*0.68)/8</f>
        <v>0</v>
      </c>
      <c r="G23" s="1103"/>
    </row>
    <row r="24" spans="1:7" x14ac:dyDescent="0.25">
      <c r="A24" s="1104" t="s">
        <v>886</v>
      </c>
      <c r="B24" s="1105"/>
      <c r="C24" s="1099"/>
      <c r="D24" s="1099"/>
      <c r="E24" s="1099"/>
      <c r="F24" s="1099"/>
      <c r="G24" s="1103"/>
    </row>
    <row r="25" spans="1:7" x14ac:dyDescent="0.25">
      <c r="A25" s="1104" t="s">
        <v>887</v>
      </c>
      <c r="B25" s="1106"/>
      <c r="C25" s="1099"/>
      <c r="D25" s="1107"/>
      <c r="E25" s="1107"/>
      <c r="F25" s="1099"/>
      <c r="G25" s="1103"/>
    </row>
    <row r="26" spans="1:7" x14ac:dyDescent="0.25">
      <c r="A26" s="1108" t="s">
        <v>936</v>
      </c>
      <c r="B26" s="1106">
        <v>1</v>
      </c>
      <c r="C26" s="1099">
        <f>B3*1</f>
        <v>0</v>
      </c>
      <c r="D26" s="1100">
        <f>C26*0.5</f>
        <v>0</v>
      </c>
      <c r="E26" s="1101">
        <f>C26*0.5</f>
        <v>0</v>
      </c>
      <c r="F26" s="1102"/>
      <c r="G26" s="1103"/>
    </row>
    <row r="27" spans="1:7" x14ac:dyDescent="0.25">
      <c r="A27" s="1108" t="s">
        <v>937</v>
      </c>
      <c r="B27" s="1106">
        <v>1</v>
      </c>
      <c r="C27" s="1099">
        <f>B3*1</f>
        <v>0</v>
      </c>
      <c r="D27" s="1100">
        <f>C27*0.5</f>
        <v>0</v>
      </c>
      <c r="E27" s="1101">
        <f>C27*0.5</f>
        <v>0</v>
      </c>
      <c r="F27" s="1102"/>
      <c r="G27" s="1103"/>
    </row>
    <row r="28" spans="1:7" x14ac:dyDescent="0.25">
      <c r="A28" s="1104" t="s">
        <v>938</v>
      </c>
      <c r="B28" s="1106"/>
      <c r="C28" s="1099"/>
      <c r="D28" s="1107"/>
      <c r="E28" s="1107"/>
      <c r="F28" s="1099"/>
      <c r="G28" s="1103"/>
    </row>
    <row r="29" spans="1:7" x14ac:dyDescent="0.25">
      <c r="A29" s="1108" t="s">
        <v>939</v>
      </c>
      <c r="B29" s="1106">
        <v>1</v>
      </c>
      <c r="C29" s="1099">
        <f>B3*2</f>
        <v>0</v>
      </c>
      <c r="D29" s="1100">
        <f>C29*0.5</f>
        <v>0</v>
      </c>
      <c r="E29" s="1101">
        <f>C29*0.5</f>
        <v>0</v>
      </c>
      <c r="F29" s="1102"/>
      <c r="G29" s="1103"/>
    </row>
    <row r="30" spans="1:7" x14ac:dyDescent="0.25">
      <c r="A30" s="1108" t="s">
        <v>940</v>
      </c>
      <c r="B30" s="1106">
        <v>1</v>
      </c>
      <c r="C30" s="1099">
        <f>B3*0.5</f>
        <v>0</v>
      </c>
      <c r="D30" s="1100">
        <f>C30*0.5</f>
        <v>0</v>
      </c>
      <c r="E30" s="1101">
        <f>C30*0.5</f>
        <v>0</v>
      </c>
      <c r="F30" s="1102"/>
      <c r="G30" s="1103"/>
    </row>
    <row r="31" spans="1:7" x14ac:dyDescent="0.25">
      <c r="A31" s="1097" t="s">
        <v>941</v>
      </c>
      <c r="B31" s="1106">
        <v>1</v>
      </c>
      <c r="C31" s="1099">
        <f>B3*1</f>
        <v>0</v>
      </c>
      <c r="D31" s="1100">
        <f>C31*0.5</f>
        <v>0</v>
      </c>
      <c r="E31" s="1101">
        <f>C31*0.5</f>
        <v>0</v>
      </c>
      <c r="F31" s="1102"/>
      <c r="G31" s="1103"/>
    </row>
    <row r="32" spans="1:7" x14ac:dyDescent="0.25">
      <c r="A32" s="1109" t="s">
        <v>942</v>
      </c>
      <c r="B32" s="1110"/>
      <c r="C32" s="1099"/>
      <c r="D32" s="1099"/>
      <c r="E32" s="1099"/>
      <c r="F32" s="1099"/>
      <c r="G32" s="1103"/>
    </row>
    <row r="33" spans="1:7" x14ac:dyDescent="0.25">
      <c r="A33" s="1097" t="s">
        <v>943</v>
      </c>
      <c r="B33" s="1106">
        <v>1</v>
      </c>
      <c r="C33" s="1099">
        <f>B3*0.5</f>
        <v>0</v>
      </c>
      <c r="D33" s="1100">
        <f>C33*0.5</f>
        <v>0</v>
      </c>
      <c r="E33" s="1101">
        <f>C33*0.4</f>
        <v>0</v>
      </c>
      <c r="F33" s="1102">
        <f>C33*0.1</f>
        <v>0</v>
      </c>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098">
        <v>0</v>
      </c>
      <c r="C35" s="1099">
        <f>IF(B8="Да",2*$B$3, 0)</f>
        <v>0</v>
      </c>
      <c r="D35" s="1100">
        <f>C35*0.5</f>
        <v>0</v>
      </c>
      <c r="E35" s="1101">
        <f>C35*0.4</f>
        <v>0</v>
      </c>
      <c r="F35" s="1102">
        <f>C35*0.1</f>
        <v>0</v>
      </c>
      <c r="G35" s="1103"/>
    </row>
    <row r="36" spans="1:7" x14ac:dyDescent="0.25">
      <c r="A36" s="1097" t="s">
        <v>946</v>
      </c>
      <c r="B36" s="1098">
        <v>0</v>
      </c>
      <c r="C36" s="1099">
        <f>IF(B9="Да",1*$B$3, 0)</f>
        <v>0</v>
      </c>
      <c r="D36" s="1100">
        <f>C36*0.5</f>
        <v>0</v>
      </c>
      <c r="E36" s="1101">
        <f>C36*0.4</f>
        <v>0</v>
      </c>
      <c r="F36" s="1102">
        <f>C36*0.1</f>
        <v>0</v>
      </c>
      <c r="G36" s="1103"/>
    </row>
    <row r="37" spans="1:7" x14ac:dyDescent="0.25">
      <c r="A37" s="1097" t="s">
        <v>947</v>
      </c>
      <c r="B37" s="1098">
        <v>0</v>
      </c>
      <c r="C37" s="1099">
        <f>IF(B10="Да",1*$B$3, 0)</f>
        <v>0</v>
      </c>
      <c r="D37" s="1100">
        <f>C37*0.5</f>
        <v>0</v>
      </c>
      <c r="E37" s="1101">
        <f>C37*0.4</f>
        <v>0</v>
      </c>
      <c r="F37" s="1102">
        <f>C37*0.1</f>
        <v>0</v>
      </c>
      <c r="G37" s="1103"/>
    </row>
    <row r="38" spans="1:7" x14ac:dyDescent="0.25">
      <c r="A38" s="1109" t="s">
        <v>948</v>
      </c>
      <c r="B38" s="1110"/>
      <c r="C38" s="1099"/>
      <c r="D38" s="1099"/>
      <c r="E38" s="1099"/>
      <c r="F38" s="1099"/>
      <c r="G38" s="1103"/>
    </row>
    <row r="39" spans="1:7" x14ac:dyDescent="0.25">
      <c r="A39" s="1108" t="s">
        <v>949</v>
      </c>
      <c r="B39" s="1106">
        <v>1</v>
      </c>
      <c r="C39" s="1099">
        <f>B3*1</f>
        <v>0</v>
      </c>
      <c r="D39" s="1100">
        <f>C39*0.7</f>
        <v>0</v>
      </c>
      <c r="E39" s="1101">
        <f>C39*0.3</f>
        <v>0</v>
      </c>
      <c r="F39" s="1102"/>
      <c r="G39" s="1103"/>
    </row>
    <row r="40" spans="1:7" x14ac:dyDescent="0.25">
      <c r="A40" s="1097" t="s">
        <v>950</v>
      </c>
      <c r="B40" s="1106">
        <v>1</v>
      </c>
      <c r="C40" s="1099">
        <f>IF($B$7&lt;=50,ROUNDUP(10*$B$7/60,1),IF($B$7&lt;=100,ROUNDUP(12*$B$7/60,1),ROUNDUP(15*$B$7/60,1)))</f>
        <v>0</v>
      </c>
      <c r="D40" s="1100">
        <f>C40*0.45</f>
        <v>0</v>
      </c>
      <c r="E40" s="1101">
        <f>C40*0.45</f>
        <v>0</v>
      </c>
      <c r="F40" s="1102">
        <f>C40*0.1</f>
        <v>0</v>
      </c>
      <c r="G40" s="1103"/>
    </row>
    <row r="41" spans="1:7" x14ac:dyDescent="0.25">
      <c r="A41" s="1097" t="s">
        <v>951</v>
      </c>
      <c r="B41" s="1106">
        <v>1</v>
      </c>
      <c r="C41" s="1099">
        <f>ROUNDUP((B3*16)+(B7*10)/60,1)</f>
        <v>0</v>
      </c>
      <c r="D41" s="1100">
        <f>C41*0.2</f>
        <v>0</v>
      </c>
      <c r="E41" s="1101">
        <f>C41*0.6</f>
        <v>0</v>
      </c>
      <c r="F41" s="1102">
        <f>C41*0.2</f>
        <v>0</v>
      </c>
      <c r="G41" s="1103"/>
    </row>
    <row r="42" spans="1:7" x14ac:dyDescent="0.25">
      <c r="A42" s="1097" t="s">
        <v>952</v>
      </c>
      <c r="B42" s="1106">
        <v>1</v>
      </c>
      <c r="C42" s="1099">
        <f>B6*0.5</f>
        <v>0</v>
      </c>
      <c r="D42" s="1100">
        <f>C42*0.8</f>
        <v>0</v>
      </c>
      <c r="E42" s="1101">
        <f>C42*0.2</f>
        <v>0</v>
      </c>
      <c r="F42" s="1102"/>
      <c r="G42" s="1103"/>
    </row>
    <row r="43" spans="1:7" x14ac:dyDescent="0.25">
      <c r="A43" s="1109" t="s">
        <v>953</v>
      </c>
      <c r="B43" s="1110"/>
      <c r="C43" s="1099"/>
      <c r="D43" s="1099"/>
      <c r="E43" s="1099"/>
      <c r="F43" s="1099"/>
      <c r="G43" s="1103"/>
    </row>
    <row r="44" spans="1:7" x14ac:dyDescent="0.25">
      <c r="A44" s="1097" t="s">
        <v>954</v>
      </c>
      <c r="B44" s="1098">
        <v>0</v>
      </c>
      <c r="C44" s="1099">
        <f>B11*0.5</f>
        <v>0</v>
      </c>
      <c r="D44" s="1100"/>
      <c r="E44" s="1101"/>
      <c r="F44" s="1102">
        <f>B44</f>
        <v>0</v>
      </c>
      <c r="G44" s="1103"/>
    </row>
    <row r="45" spans="1:7" x14ac:dyDescent="0.25">
      <c r="A45" s="1097" t="s">
        <v>955</v>
      </c>
      <c r="B45" s="1098">
        <v>0</v>
      </c>
      <c r="C45" s="1099">
        <f>ROUNDUP(B12*20/60,1)</f>
        <v>0</v>
      </c>
      <c r="D45" s="1100"/>
      <c r="E45" s="1101"/>
      <c r="F45" s="1102">
        <f>C45</f>
        <v>0</v>
      </c>
      <c r="G45" s="1103" t="s">
        <v>956</v>
      </c>
    </row>
    <row r="46" spans="1:7" x14ac:dyDescent="0.25">
      <c r="A46" s="1097" t="s">
        <v>958</v>
      </c>
      <c r="B46" s="1098">
        <v>0</v>
      </c>
      <c r="C46" s="1099">
        <f>B4*0.5</f>
        <v>0</v>
      </c>
      <c r="D46" s="1100">
        <f>C46*0.5</f>
        <v>0</v>
      </c>
      <c r="E46" s="1101">
        <f>C46*0.4</f>
        <v>0</v>
      </c>
      <c r="F46" s="1102">
        <f>C46*0.1</f>
        <v>0</v>
      </c>
      <c r="G46" s="1103"/>
    </row>
    <row r="47" spans="1:7" x14ac:dyDescent="0.25">
      <c r="A47" s="1097" t="s">
        <v>959</v>
      </c>
      <c r="B47" s="1098">
        <v>0</v>
      </c>
      <c r="C47" s="1099">
        <f>B5*6</f>
        <v>0</v>
      </c>
      <c r="D47" s="1100">
        <f>C47*0.5</f>
        <v>0</v>
      </c>
      <c r="E47" s="1101">
        <f>C47*0.4</f>
        <v>0</v>
      </c>
      <c r="F47" s="1102">
        <f>C47*0.1</f>
        <v>0</v>
      </c>
      <c r="G47" s="1103"/>
    </row>
    <row r="48" spans="1:7" x14ac:dyDescent="0.25">
      <c r="A48" s="1097" t="s">
        <v>960</v>
      </c>
      <c r="B48" s="1098">
        <v>0</v>
      </c>
      <c r="C48" s="1099">
        <f>IF(B14="Да",24,0)</f>
        <v>24</v>
      </c>
      <c r="D48" s="1100"/>
      <c r="E48" s="1101">
        <f>C48*0.3</f>
        <v>7.1999999999999993</v>
      </c>
      <c r="F48" s="1102">
        <f>C48*0.7</f>
        <v>16.799999999999997</v>
      </c>
      <c r="G48" s="1103"/>
    </row>
    <row r="49" spans="1:7" x14ac:dyDescent="0.25">
      <c r="A49" s="1112" t="s">
        <v>961</v>
      </c>
      <c r="B49" s="1113"/>
      <c r="C49" s="1114"/>
      <c r="D49" s="1114"/>
      <c r="E49" s="1114"/>
      <c r="F49" s="1114"/>
      <c r="G49" s="1111"/>
    </row>
    <row r="50" spans="1:7" x14ac:dyDescent="0.25">
      <c r="A50" s="1104" t="s">
        <v>962</v>
      </c>
      <c r="B50" s="1106">
        <v>1</v>
      </c>
      <c r="C50" s="1099">
        <f>ROUNDUP(IF(SUM(C17:C47)*0.1&gt;8,SUM(C17:C47)*0.1,8),1)</f>
        <v>8</v>
      </c>
      <c r="D50" s="1099"/>
      <c r="E50" s="1099">
        <f>C50*0.5</f>
        <v>4</v>
      </c>
      <c r="F50" s="1099">
        <f>C50*0.5</f>
        <v>4</v>
      </c>
      <c r="G50" s="1103"/>
    </row>
    <row r="51" spans="1:7" x14ac:dyDescent="0.25">
      <c r="A51" s="1104" t="s">
        <v>963</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964</v>
      </c>
      <c r="C53" s="274">
        <f>ROUNDUP(SUM(D53:F53),0)</f>
        <v>0</v>
      </c>
      <c r="D53" s="1120">
        <f>ROUNDUP(SUM(D17:D23)/8,0)</f>
        <v>0</v>
      </c>
      <c r="E53" s="202">
        <f>ROUNDUP(SUM(E17:E23)/8,0)</f>
        <v>0</v>
      </c>
      <c r="F53" s="78">
        <f>ROUNDUP(SUM(F17:F23)/8,0)</f>
        <v>0</v>
      </c>
    </row>
    <row r="54" spans="1:7" x14ac:dyDescent="0.25">
      <c r="B54" s="1119" t="s">
        <v>965</v>
      </c>
      <c r="C54" s="274">
        <f>ROUNDUP(SUM(D54:F54),0)</f>
        <v>4</v>
      </c>
      <c r="D54" s="1120">
        <f>ROUNDUP(SUM(D26:D48)/8,0)</f>
        <v>0</v>
      </c>
      <c r="E54" s="202">
        <f>ROUNDUP(SUM(E26:E48)/8,0)</f>
        <v>1</v>
      </c>
      <c r="F54" s="78">
        <f>ROUNDUP(SUM(F26:F48)/8,0)</f>
        <v>3</v>
      </c>
    </row>
    <row r="55" spans="1:7" x14ac:dyDescent="0.25">
      <c r="B55" s="1119" t="s">
        <v>966</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 t="array" ref="B2:C2">ТрЗ_ОВ!E82:F82</f>
        <v>0</v>
      </c>
      <c r="C2" s="1036">
        <v>0</v>
      </c>
      <c r="D2" s="1036"/>
      <c r="E2" s="1036"/>
      <c r="F2" s="1036"/>
      <c r="G2" s="1036"/>
      <c r="H2" s="1036"/>
    </row>
    <row r="3" spans="1:8" x14ac:dyDescent="0.25">
      <c r="A3" s="1034" t="s">
        <v>876</v>
      </c>
      <c r="B3" s="1035">
        <f>ТрЗ_ОВ!H82</f>
        <v>0</v>
      </c>
      <c r="C3" s="1036"/>
      <c r="D3" s="1036"/>
      <c r="E3" s="1036"/>
      <c r="F3" s="1036"/>
      <c r="G3" s="1036"/>
      <c r="H3" s="1036"/>
    </row>
    <row r="4" spans="1:8" x14ac:dyDescent="0.25">
      <c r="A4" s="1037" t="s">
        <v>877</v>
      </c>
      <c r="B4" s="1038">
        <f t="array" ref="B4:C4">ТрЗ_ОВ!J82:K82</f>
        <v>0</v>
      </c>
      <c r="C4" s="1039">
        <v>0</v>
      </c>
      <c r="D4" s="1039"/>
      <c r="E4" s="1039"/>
      <c r="F4" s="1039"/>
      <c r="G4" s="1039"/>
      <c r="H4" s="1039"/>
    </row>
    <row r="5" spans="1:8" x14ac:dyDescent="0.25">
      <c r="A5" s="1037" t="s">
        <v>878</v>
      </c>
      <c r="B5" s="1038">
        <f>ТрЗ_ОВ!M82</f>
        <v>0</v>
      </c>
      <c r="C5" s="1040"/>
      <c r="D5" s="1039"/>
      <c r="E5" s="1040"/>
      <c r="F5" s="1039"/>
      <c r="G5" s="1039"/>
      <c r="H5" s="1039"/>
    </row>
    <row r="6" spans="1:8" x14ac:dyDescent="0.25">
      <c r="A6" s="1037" t="s">
        <v>879</v>
      </c>
      <c r="B6" s="1038">
        <v>1</v>
      </c>
      <c r="C6" s="1040">
        <v>4</v>
      </c>
      <c r="D6" s="1039">
        <v>4</v>
      </c>
      <c r="E6" s="1040"/>
      <c r="F6" s="1039">
        <f>D6/8</f>
        <v>0.5</v>
      </c>
      <c r="G6" s="1040"/>
      <c r="H6" s="1039"/>
    </row>
    <row r="7" spans="1:8" x14ac:dyDescent="0.25">
      <c r="A7" s="1037" t="s">
        <v>880</v>
      </c>
      <c r="B7" s="1041" t="s">
        <v>881</v>
      </c>
      <c r="C7" s="1040">
        <f>SUM(C8:C11)</f>
        <v>4</v>
      </c>
      <c r="D7" s="1039">
        <f>C7*$B$3</f>
        <v>0</v>
      </c>
      <c r="E7" s="1040">
        <f>0.5*$D$11</f>
        <v>0</v>
      </c>
      <c r="F7" s="1040">
        <f>0.5*$D$11</f>
        <v>0</v>
      </c>
      <c r="G7" s="1040"/>
      <c r="H7" s="1039"/>
    </row>
    <row r="8" spans="1:8" x14ac:dyDescent="0.25">
      <c r="A8" s="1042" t="s">
        <v>882</v>
      </c>
      <c r="B8" s="1043">
        <v>1</v>
      </c>
      <c r="C8" s="1040">
        <v>1</v>
      </c>
      <c r="D8" s="1039">
        <f t="shared" ref="D8:D11" si="0">C8*$B$3</f>
        <v>0</v>
      </c>
      <c r="E8" s="1040"/>
      <c r="F8" s="1039"/>
      <c r="G8" s="1040"/>
      <c r="H8" s="1039"/>
    </row>
    <row r="9" spans="1:8" x14ac:dyDescent="0.25">
      <c r="A9" s="1042" t="s">
        <v>883</v>
      </c>
      <c r="B9" s="1043">
        <v>1</v>
      </c>
      <c r="C9" s="1040">
        <v>1</v>
      </c>
      <c r="D9" s="1039">
        <f t="shared" si="0"/>
        <v>0</v>
      </c>
      <c r="E9" s="1040"/>
      <c r="F9" s="1039"/>
      <c r="G9" s="1040"/>
      <c r="H9" s="1039"/>
    </row>
    <row r="10" spans="1:8" x14ac:dyDescent="0.25">
      <c r="A10" s="1042" t="s">
        <v>884</v>
      </c>
      <c r="B10" s="1043">
        <v>1</v>
      </c>
      <c r="C10" s="1040">
        <v>1</v>
      </c>
      <c r="D10" s="1039">
        <f t="shared" si="0"/>
        <v>0</v>
      </c>
      <c r="E10" s="1040"/>
      <c r="F10" s="1039"/>
      <c r="G10" s="1040"/>
      <c r="H10" s="1039"/>
    </row>
    <row r="11" spans="1:8" ht="15.75" thickBot="1" x14ac:dyDescent="0.3">
      <c r="A11" s="1042" t="s">
        <v>885</v>
      </c>
      <c r="B11" s="1043">
        <v>1</v>
      </c>
      <c r="C11" s="1040">
        <v>1</v>
      </c>
      <c r="D11" s="1039">
        <f t="shared" si="0"/>
        <v>0</v>
      </c>
      <c r="E11" s="1040"/>
      <c r="F11" s="1039"/>
      <c r="G11" s="1040"/>
      <c r="H11" s="1039"/>
    </row>
    <row r="12" spans="1:8" x14ac:dyDescent="0.25">
      <c r="A12" s="1044" t="s">
        <v>886</v>
      </c>
      <c r="B12" s="1045"/>
      <c r="C12" s="1046"/>
      <c r="D12" s="1046"/>
      <c r="E12" s="1046"/>
      <c r="F12" s="1046"/>
      <c r="G12" s="1046"/>
      <c r="H12" s="1046"/>
    </row>
    <row r="13" spans="1:8" x14ac:dyDescent="0.25">
      <c r="A13" s="1041" t="s">
        <v>887</v>
      </c>
      <c r="B13" s="1043"/>
      <c r="C13" s="1039"/>
      <c r="D13" s="1039"/>
      <c r="E13" s="1039"/>
      <c r="F13" s="1039"/>
      <c r="G13" s="1039"/>
      <c r="H13" s="1039"/>
    </row>
    <row r="14" spans="1:8" x14ac:dyDescent="0.25">
      <c r="A14" s="1043" t="s">
        <v>888</v>
      </c>
      <c r="B14" s="1043">
        <v>1</v>
      </c>
      <c r="C14" s="1047"/>
      <c r="D14" s="1039"/>
      <c r="E14" s="1039"/>
      <c r="F14" s="1039"/>
      <c r="G14" s="1039"/>
      <c r="H14" s="1039"/>
    </row>
    <row r="15" spans="1:8" x14ac:dyDescent="0.25">
      <c r="A15" s="1043" t="s">
        <v>889</v>
      </c>
      <c r="B15" s="1043">
        <v>1</v>
      </c>
      <c r="C15" s="1039">
        <v>2</v>
      </c>
      <c r="D15" s="1039">
        <f>C15*$B$3</f>
        <v>0</v>
      </c>
      <c r="E15" s="1039">
        <f>0.7*D15</f>
        <v>0</v>
      </c>
      <c r="F15" s="1039">
        <f>0.3*D15</f>
        <v>0</v>
      </c>
      <c r="G15" s="1039"/>
      <c r="H15" s="1039"/>
    </row>
    <row r="16" spans="1:8" x14ac:dyDescent="0.25">
      <c r="A16" s="1043" t="s">
        <v>890</v>
      </c>
      <c r="B16" s="1043">
        <v>1</v>
      </c>
      <c r="C16" s="1039">
        <v>2</v>
      </c>
      <c r="D16" s="1039">
        <f>C16*$B$3</f>
        <v>0</v>
      </c>
      <c r="E16" s="1039">
        <f t="shared" ref="E16:E20" si="1">0.7*D16</f>
        <v>0</v>
      </c>
      <c r="F16" s="1039">
        <f t="shared" ref="F16:F20" si="2">0.3*D16</f>
        <v>0</v>
      </c>
      <c r="G16" s="1039"/>
      <c r="H16" s="1039"/>
    </row>
    <row r="17" spans="1:8" x14ac:dyDescent="0.25">
      <c r="A17" s="1043" t="s">
        <v>891</v>
      </c>
      <c r="B17" s="1043">
        <v>1</v>
      </c>
      <c r="C17" s="1039">
        <v>1</v>
      </c>
      <c r="D17" s="1048">
        <f>C17*B4</f>
        <v>0</v>
      </c>
      <c r="E17" s="1039"/>
      <c r="F17" s="1040">
        <f>0.7*D17</f>
        <v>0</v>
      </c>
      <c r="G17" s="1039">
        <f>0.3*D17</f>
        <v>0</v>
      </c>
      <c r="H17" s="1039"/>
    </row>
    <row r="18" spans="1:8" x14ac:dyDescent="0.25">
      <c r="A18" s="1043" t="s">
        <v>892</v>
      </c>
      <c r="B18" s="1043">
        <v>1</v>
      </c>
      <c r="C18" s="1039">
        <v>0.5</v>
      </c>
      <c r="D18" s="1048">
        <f>C18*B5</f>
        <v>0</v>
      </c>
      <c r="E18" s="1039"/>
      <c r="F18" s="1040">
        <f>0.7*D18</f>
        <v>0</v>
      </c>
      <c r="G18" s="1039">
        <f>0.3*D18</f>
        <v>0</v>
      </c>
      <c r="H18" s="1039"/>
    </row>
    <row r="19" spans="1:8" x14ac:dyDescent="0.25">
      <c r="A19" s="1049" t="s">
        <v>893</v>
      </c>
      <c r="B19" s="1043">
        <v>1</v>
      </c>
      <c r="C19" s="1039">
        <v>0.5</v>
      </c>
      <c r="D19" s="1048">
        <f>C19*B2</f>
        <v>0</v>
      </c>
      <c r="E19" s="1039">
        <f t="shared" si="1"/>
        <v>0</v>
      </c>
      <c r="F19" s="1039">
        <f>0.3*D19</f>
        <v>0</v>
      </c>
      <c r="G19" s="1039"/>
      <c r="H19" s="1039"/>
    </row>
    <row r="20" spans="1:8" ht="15.75" thickBot="1" x14ac:dyDescent="0.3">
      <c r="A20" s="1050" t="s">
        <v>894</v>
      </c>
      <c r="B20" s="1051">
        <v>1</v>
      </c>
      <c r="C20" s="1052">
        <v>0.5</v>
      </c>
      <c r="D20" s="1053">
        <f>C20*$B$4</f>
        <v>0</v>
      </c>
      <c r="E20" s="1053">
        <f t="shared" si="1"/>
        <v>0</v>
      </c>
      <c r="F20" s="1053">
        <f t="shared" si="2"/>
        <v>0</v>
      </c>
      <c r="G20" s="1054"/>
      <c r="H20" s="1054"/>
    </row>
    <row r="21" spans="1:8" ht="26.25" thickBot="1" x14ac:dyDescent="0.3">
      <c r="A21" s="1055" t="s">
        <v>895</v>
      </c>
      <c r="B21" s="1056" t="s">
        <v>896</v>
      </c>
      <c r="C21" s="1057"/>
      <c r="D21" s="1058">
        <f>SUM(D6:D20)*0.1</f>
        <v>0.4</v>
      </c>
      <c r="E21" s="1059"/>
      <c r="F21" s="1058">
        <f>D21*0.5</f>
        <v>0.2</v>
      </c>
      <c r="G21" s="1058">
        <f>D21*0.5</f>
        <v>0.2</v>
      </c>
      <c r="H21" s="1060"/>
    </row>
    <row r="22" spans="1:8" ht="26.25" thickBot="1" x14ac:dyDescent="0.3">
      <c r="A22" s="1061" t="s">
        <v>897</v>
      </c>
      <c r="B22" s="1062" t="s">
        <v>898</v>
      </c>
      <c r="C22" s="1063"/>
      <c r="D22" s="1064">
        <f>SUM(D12:D20)*0.1</f>
        <v>0</v>
      </c>
      <c r="E22" s="1065"/>
      <c r="F22" s="1064">
        <f>D22*0.5</f>
        <v>0</v>
      </c>
      <c r="G22" s="1064">
        <f>D22*0.5</f>
        <v>0</v>
      </c>
      <c r="H22" s="1066"/>
    </row>
    <row r="23" spans="1:8" x14ac:dyDescent="0.25">
      <c r="A23" s="1067" t="s">
        <v>563</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899</v>
      </c>
      <c r="D25" s="1069"/>
      <c r="E25" s="1069"/>
      <c r="F25" s="1069"/>
      <c r="G25" s="1069"/>
      <c r="H25" s="1067"/>
    </row>
    <row r="26" spans="1:8" x14ac:dyDescent="0.25">
      <c r="A26" s="1067"/>
      <c r="B26" s="1067"/>
      <c r="C26" s="268" t="s">
        <v>900</v>
      </c>
      <c r="D26" s="268">
        <f>SUM(D7)/8</f>
        <v>0</v>
      </c>
      <c r="E26" s="268">
        <f>ROUNDUP(SUM(E8:E11)/8,1)</f>
        <v>0</v>
      </c>
      <c r="F26" s="268">
        <f>ROUNDUP(SUM(F7)/8,1)</f>
        <v>0</v>
      </c>
      <c r="G26" s="268">
        <f>ROUNDUP(SUM(G6:G11)/8,1)</f>
        <v>0</v>
      </c>
      <c r="H26" s="1067"/>
    </row>
    <row r="27" spans="1:8" x14ac:dyDescent="0.25">
      <c r="A27" s="1067"/>
      <c r="B27" s="1067"/>
      <c r="C27" s="63" t="s">
        <v>901</v>
      </c>
      <c r="D27" s="63">
        <f>SUM(D14:D20)/8</f>
        <v>0</v>
      </c>
      <c r="E27" s="63">
        <f>ROUNDUP(SUM(F21:F21)/8,1)</f>
        <v>0.1</v>
      </c>
      <c r="F27" s="63">
        <f>ROUNDUP(SUM(G21:G21)/8,1)</f>
        <v>0.1</v>
      </c>
      <c r="G27" s="63">
        <f>ROUNDUP(SUM(G15:G20)/8,1)</f>
        <v>0</v>
      </c>
      <c r="H27" s="1067"/>
    </row>
    <row r="28" spans="1:8" x14ac:dyDescent="0.25">
      <c r="A28" s="1067"/>
      <c r="B28" s="1067"/>
      <c r="C28" s="268" t="s">
        <v>902</v>
      </c>
      <c r="D28" s="268">
        <f>ROUNDUP(SUM(D22)/8,0)</f>
        <v>0</v>
      </c>
      <c r="E28" s="268">
        <f>ROUNDUP(SUM(E22)/8,1)</f>
        <v>0</v>
      </c>
      <c r="F28" s="268">
        <f>ROUNDUP(SUM(F22)/8,1)</f>
        <v>0</v>
      </c>
      <c r="G28" s="268">
        <f>ROUNDUP(SUM(G22)/8,1)</f>
        <v>0</v>
      </c>
      <c r="H28" s="1067"/>
    </row>
    <row r="29" spans="1:8" x14ac:dyDescent="0.25">
      <c r="A29" s="1067"/>
      <c r="B29" s="1067"/>
      <c r="C29" s="63" t="s">
        <v>903</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c r="C2" s="1036"/>
      <c r="D2" s="1036"/>
      <c r="E2" s="1036"/>
      <c r="F2" s="1036"/>
      <c r="G2" s="1036"/>
      <c r="H2" s="1036"/>
    </row>
    <row r="3" spans="1:8" x14ac:dyDescent="0.25">
      <c r="A3" s="1037" t="s">
        <v>906</v>
      </c>
      <c r="B3" s="1038">
        <f>ТрЗ_ОВ!H163</f>
        <v>0</v>
      </c>
      <c r="C3" s="1039"/>
      <c r="D3" s="1039"/>
      <c r="E3" s="1039"/>
      <c r="F3" s="1039"/>
      <c r="G3" s="1039"/>
      <c r="H3" s="1039"/>
    </row>
    <row r="4" spans="1:8" x14ac:dyDescent="0.25">
      <c r="A4" s="1037" t="s">
        <v>879</v>
      </c>
      <c r="B4" s="1041"/>
      <c r="C4" s="1039"/>
      <c r="D4" s="1039"/>
      <c r="E4" s="1039"/>
      <c r="F4" s="1039"/>
      <c r="G4" s="1039"/>
      <c r="H4" s="1039"/>
    </row>
    <row r="5" spans="1:8" x14ac:dyDescent="0.25">
      <c r="A5" s="1037" t="s">
        <v>880</v>
      </c>
      <c r="B5" s="1041" t="s">
        <v>881</v>
      </c>
      <c r="C5" s="1039"/>
      <c r="D5" s="1039"/>
      <c r="E5" s="1039"/>
      <c r="F5" s="1039"/>
      <c r="G5" s="1039"/>
      <c r="H5" s="1039"/>
    </row>
    <row r="6" spans="1:8" x14ac:dyDescent="0.25">
      <c r="A6" s="1042" t="s">
        <v>882</v>
      </c>
      <c r="B6" s="1043">
        <v>1</v>
      </c>
      <c r="C6" s="1039"/>
      <c r="D6" s="1039"/>
      <c r="E6" s="1039"/>
      <c r="F6" s="1039"/>
      <c r="G6" s="1039"/>
      <c r="H6" s="1039"/>
    </row>
    <row r="7" spans="1:8" x14ac:dyDescent="0.25">
      <c r="A7" s="1042" t="s">
        <v>883</v>
      </c>
      <c r="B7" s="1043">
        <v>1</v>
      </c>
      <c r="C7" s="1039"/>
      <c r="D7" s="1039"/>
      <c r="E7" s="1039"/>
      <c r="F7" s="1039"/>
      <c r="G7" s="1039"/>
      <c r="H7" s="1039"/>
    </row>
    <row r="8" spans="1:8" x14ac:dyDescent="0.25">
      <c r="A8" s="1042" t="s">
        <v>884</v>
      </c>
      <c r="B8" s="1043">
        <v>1</v>
      </c>
      <c r="C8" s="1039"/>
      <c r="D8" s="1039"/>
      <c r="E8" s="1039"/>
      <c r="F8" s="1039"/>
      <c r="G8" s="1039"/>
      <c r="H8" s="1039"/>
    </row>
    <row r="9" spans="1:8" x14ac:dyDescent="0.25">
      <c r="A9" s="1042" t="s">
        <v>885</v>
      </c>
      <c r="B9" s="1043">
        <v>1</v>
      </c>
      <c r="C9" s="1039"/>
      <c r="D9" s="1039"/>
      <c r="E9" s="1039"/>
      <c r="F9" s="1039"/>
      <c r="G9" s="1039"/>
      <c r="H9" s="1039"/>
    </row>
    <row r="10" spans="1:8" x14ac:dyDescent="0.25">
      <c r="A10" s="1037" t="s">
        <v>886</v>
      </c>
      <c r="B10" s="1043"/>
      <c r="C10" s="1039"/>
      <c r="D10" s="1039"/>
      <c r="E10" s="1039"/>
      <c r="F10" s="1039"/>
      <c r="G10" s="1039"/>
      <c r="H10" s="1039"/>
    </row>
    <row r="11" spans="1:8" x14ac:dyDescent="0.25">
      <c r="A11" s="1037" t="s">
        <v>887</v>
      </c>
      <c r="B11" s="1043"/>
      <c r="C11" s="1039"/>
      <c r="D11" s="1039"/>
      <c r="E11" s="1039"/>
      <c r="F11" s="1039"/>
      <c r="G11" s="1039"/>
      <c r="H11" s="1039"/>
    </row>
    <row r="12" spans="1:8" x14ac:dyDescent="0.25">
      <c r="A12" s="1042" t="s">
        <v>905</v>
      </c>
      <c r="B12" s="1043">
        <v>1</v>
      </c>
      <c r="C12" s="1047">
        <v>2</v>
      </c>
      <c r="D12" s="1039">
        <f>C12*B3</f>
        <v>0</v>
      </c>
      <c r="E12" s="1039">
        <f>0.5*D12</f>
        <v>0</v>
      </c>
      <c r="F12" s="1039">
        <f>0.5*D12</f>
        <v>0</v>
      </c>
      <c r="G12" s="1039"/>
      <c r="H12" s="1039"/>
    </row>
    <row r="13" spans="1:8" ht="25.5" x14ac:dyDescent="0.25">
      <c r="A13" s="1037" t="s">
        <v>895</v>
      </c>
      <c r="B13" s="1039" t="s">
        <v>896</v>
      </c>
      <c r="C13" s="1039"/>
      <c r="D13" s="1039">
        <f>D12*0.1</f>
        <v>0</v>
      </c>
      <c r="E13" s="817"/>
      <c r="F13" s="1039">
        <f>0.5*D13</f>
        <v>0</v>
      </c>
      <c r="G13" s="1039">
        <f>0.5*D13</f>
        <v>0</v>
      </c>
      <c r="H13" s="1039"/>
    </row>
    <row r="14" spans="1:8" ht="26.25" thickBot="1" x14ac:dyDescent="0.3">
      <c r="A14" s="1070" t="s">
        <v>897</v>
      </c>
      <c r="B14" s="1053" t="s">
        <v>898</v>
      </c>
      <c r="C14" s="1053"/>
      <c r="D14" s="1053">
        <f>D12*0.1</f>
        <v>0</v>
      </c>
      <c r="E14" s="324"/>
      <c r="F14" s="1039">
        <f>0.5*D14</f>
        <v>0</v>
      </c>
      <c r="G14" s="1039">
        <f>0.5*D14</f>
        <v>0</v>
      </c>
      <c r="H14" s="1053"/>
    </row>
    <row r="15" spans="1:8" x14ac:dyDescent="0.25">
      <c r="A15" s="1067" t="s">
        <v>563</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899</v>
      </c>
      <c r="D17" s="1069"/>
      <c r="E17" s="1069"/>
      <c r="F17" s="1069"/>
      <c r="G17" s="1069"/>
      <c r="H17" s="1067"/>
    </row>
    <row r="18" spans="1:8" x14ac:dyDescent="0.25">
      <c r="A18" s="1067"/>
      <c r="B18" s="1067"/>
      <c r="C18" s="268" t="s">
        <v>900</v>
      </c>
      <c r="D18" s="268">
        <f>SUM(D6:D9)/8</f>
        <v>0</v>
      </c>
      <c r="E18" s="268">
        <f>ROUNDUP(SUM(E6:E9)/8,0)</f>
        <v>0</v>
      </c>
      <c r="F18" s="268">
        <f>ROUNDUP(SUM(F6:F9)/8,0)</f>
        <v>0</v>
      </c>
      <c r="G18" s="268">
        <f>ROUNDUP(SUM(G4:G9)/8,0)</f>
        <v>0</v>
      </c>
      <c r="H18" s="1067"/>
    </row>
    <row r="19" spans="1:8" x14ac:dyDescent="0.25">
      <c r="A19" s="1067"/>
      <c r="B19" s="1067"/>
      <c r="C19" s="63" t="s">
        <v>901</v>
      </c>
      <c r="D19" s="63">
        <f>SUM(D12:D13)/8</f>
        <v>0</v>
      </c>
      <c r="E19" s="63">
        <f t="shared" ref="E19:G19" si="0">SUM(E12:E13)/8</f>
        <v>0</v>
      </c>
      <c r="F19" s="63">
        <f t="shared" si="0"/>
        <v>0</v>
      </c>
      <c r="G19" s="63">
        <f t="shared" si="0"/>
        <v>0</v>
      </c>
      <c r="H19" s="1067"/>
    </row>
    <row r="20" spans="1:8" x14ac:dyDescent="0.25">
      <c r="A20" s="1067"/>
      <c r="B20" s="1067"/>
      <c r="C20" s="268" t="s">
        <v>902</v>
      </c>
      <c r="D20" s="268">
        <f>SUM(D14)/8</f>
        <v>0</v>
      </c>
      <c r="E20" s="268">
        <f t="shared" ref="E20:G20" si="1">SUM(E14)/8</f>
        <v>0</v>
      </c>
      <c r="F20" s="268">
        <f t="shared" si="1"/>
        <v>0</v>
      </c>
      <c r="G20" s="268">
        <f t="shared" si="1"/>
        <v>0</v>
      </c>
      <c r="H20" s="1067"/>
    </row>
    <row r="21" spans="1:8" x14ac:dyDescent="0.25">
      <c r="A21" s="1067"/>
      <c r="B21" s="1067"/>
      <c r="C21" s="63" t="s">
        <v>903</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871</v>
      </c>
      <c r="B1" s="1033" t="s">
        <v>872</v>
      </c>
      <c r="C1" s="1033" t="s">
        <v>873</v>
      </c>
      <c r="D1" s="1033" t="s">
        <v>52</v>
      </c>
      <c r="E1" s="1033" t="s">
        <v>714</v>
      </c>
      <c r="F1" s="1033" t="s">
        <v>713</v>
      </c>
      <c r="G1" s="1033" t="s">
        <v>712</v>
      </c>
      <c r="H1" s="1033" t="s">
        <v>874</v>
      </c>
    </row>
    <row r="2" spans="1:11" x14ac:dyDescent="0.25">
      <c r="A2" s="1034" t="s">
        <v>875</v>
      </c>
      <c r="B2" s="1035">
        <f>ТрЗ_ОВ!E140</f>
        <v>0</v>
      </c>
      <c r="C2" s="1036"/>
      <c r="D2" s="1036"/>
      <c r="E2" s="1036"/>
      <c r="F2" s="1036"/>
      <c r="G2" s="1036"/>
      <c r="H2" s="1036"/>
    </row>
    <row r="3" spans="1:11" x14ac:dyDescent="0.25">
      <c r="A3" s="1071" t="s">
        <v>907</v>
      </c>
      <c r="B3" s="1038">
        <f>ТрЗ_ОВ!H140</f>
        <v>0</v>
      </c>
      <c r="C3" s="1039"/>
      <c r="D3" s="1039"/>
      <c r="E3" s="1039"/>
      <c r="F3" s="1039"/>
      <c r="G3" s="1039"/>
      <c r="H3" s="1039"/>
    </row>
    <row r="4" spans="1:11" x14ac:dyDescent="0.25">
      <c r="A4" s="1071" t="s">
        <v>908</v>
      </c>
      <c r="B4" s="1038">
        <f>ТрЗ_ОВ!J140</f>
        <v>0</v>
      </c>
      <c r="C4" s="1040"/>
      <c r="D4" s="1039"/>
      <c r="E4" s="1040"/>
      <c r="F4" s="1039"/>
      <c r="G4" s="1040"/>
      <c r="H4" s="1039"/>
    </row>
    <row r="5" spans="1:11" x14ac:dyDescent="0.25">
      <c r="A5" s="1037" t="s">
        <v>879</v>
      </c>
      <c r="B5" s="1038">
        <v>1</v>
      </c>
      <c r="C5" s="1040">
        <v>4</v>
      </c>
      <c r="D5" s="1039">
        <v>4</v>
      </c>
      <c r="E5" s="1040"/>
      <c r="F5" s="1039">
        <f>D5/8</f>
        <v>0.5</v>
      </c>
      <c r="G5" s="1040"/>
      <c r="H5" s="1039"/>
    </row>
    <row r="6" spans="1:11" x14ac:dyDescent="0.25">
      <c r="A6" s="1037" t="s">
        <v>880</v>
      </c>
      <c r="B6" s="1041" t="s">
        <v>881</v>
      </c>
      <c r="C6" s="1040">
        <f>SUM(C7:C10)</f>
        <v>4</v>
      </c>
      <c r="D6" s="1039">
        <f>C6*$B$3</f>
        <v>0</v>
      </c>
      <c r="E6" s="1040">
        <f>0.5*SUM(D7:D10)</f>
        <v>0</v>
      </c>
      <c r="F6" s="1040">
        <f>0.5*SUM($D$7:$D$10)</f>
        <v>0</v>
      </c>
      <c r="G6" s="1040"/>
      <c r="H6" s="1039"/>
    </row>
    <row r="7" spans="1:11" x14ac:dyDescent="0.25">
      <c r="A7" s="1042" t="s">
        <v>882</v>
      </c>
      <c r="B7" s="1043">
        <v>1</v>
      </c>
      <c r="C7" s="1040">
        <v>1</v>
      </c>
      <c r="D7" s="1039">
        <f t="shared" ref="D7:D10" si="0">C7*$B$3</f>
        <v>0</v>
      </c>
      <c r="E7" s="1040"/>
      <c r="F7" s="1039"/>
      <c r="G7" s="1040"/>
      <c r="H7" s="1039"/>
    </row>
    <row r="8" spans="1:11" x14ac:dyDescent="0.25">
      <c r="A8" s="1042" t="s">
        <v>883</v>
      </c>
      <c r="B8" s="1043">
        <v>1</v>
      </c>
      <c r="C8" s="1040">
        <v>1</v>
      </c>
      <c r="D8" s="1039">
        <f t="shared" si="0"/>
        <v>0</v>
      </c>
      <c r="E8" s="1040"/>
      <c r="F8" s="1039"/>
      <c r="G8" s="1040"/>
      <c r="H8" s="1039"/>
    </row>
    <row r="9" spans="1:11" x14ac:dyDescent="0.25">
      <c r="A9" s="1042" t="s">
        <v>884</v>
      </c>
      <c r="B9" s="1043">
        <v>1</v>
      </c>
      <c r="C9" s="1040">
        <v>1</v>
      </c>
      <c r="D9" s="1039">
        <f t="shared" si="0"/>
        <v>0</v>
      </c>
      <c r="E9" s="1040"/>
      <c r="F9" s="1039"/>
      <c r="G9" s="1040"/>
      <c r="H9" s="1039"/>
    </row>
    <row r="10" spans="1:11" x14ac:dyDescent="0.25">
      <c r="A10" s="1042" t="s">
        <v>885</v>
      </c>
      <c r="B10" s="1043">
        <v>1</v>
      </c>
      <c r="C10" s="1040">
        <v>1</v>
      </c>
      <c r="D10" s="1039">
        <f t="shared" si="0"/>
        <v>0</v>
      </c>
      <c r="E10" s="1040"/>
      <c r="F10" s="1039"/>
      <c r="G10" s="1040"/>
      <c r="H10" s="1039"/>
    </row>
    <row r="11" spans="1:11" x14ac:dyDescent="0.25">
      <c r="A11" s="1037" t="s">
        <v>886</v>
      </c>
      <c r="B11" s="1043"/>
      <c r="C11" s="1039"/>
      <c r="D11" s="1039"/>
      <c r="E11" s="1039"/>
      <c r="F11" s="1039"/>
      <c r="G11" s="1039"/>
      <c r="H11" s="1039"/>
    </row>
    <row r="12" spans="1:11" x14ac:dyDescent="0.25">
      <c r="A12" s="1037" t="s">
        <v>887</v>
      </c>
      <c r="B12" s="1043"/>
      <c r="C12" s="1039"/>
      <c r="D12" s="1039"/>
      <c r="E12" s="1039"/>
      <c r="F12" s="1039"/>
      <c r="G12" s="1039"/>
      <c r="H12" s="1039"/>
    </row>
    <row r="13" spans="1:11" x14ac:dyDescent="0.25">
      <c r="A13" s="1072" t="s">
        <v>909</v>
      </c>
      <c r="B13" s="1043">
        <v>1</v>
      </c>
      <c r="C13" s="1039">
        <v>2</v>
      </c>
      <c r="D13" s="1039">
        <f>C13*B3</f>
        <v>0</v>
      </c>
      <c r="E13" s="1039">
        <f>D13*0.5</f>
        <v>0</v>
      </c>
      <c r="F13" s="1039">
        <f>D13*0.5</f>
        <v>0</v>
      </c>
      <c r="G13" s="1039"/>
      <c r="H13" s="1039"/>
    </row>
    <row r="14" spans="1:11" x14ac:dyDescent="0.25">
      <c r="A14" s="1072" t="s">
        <v>910</v>
      </c>
      <c r="B14" s="1043">
        <v>1</v>
      </c>
      <c r="C14" s="1047">
        <v>1</v>
      </c>
      <c r="D14" s="1039">
        <f>C14*B4</f>
        <v>0</v>
      </c>
      <c r="E14" s="1039">
        <f t="shared" ref="E14:E20" si="1">D14*0.5</f>
        <v>0</v>
      </c>
      <c r="F14" s="1039">
        <f t="shared" ref="F14:F20" si="2">D14*0.5</f>
        <v>0</v>
      </c>
      <c r="G14" s="1039"/>
      <c r="H14" s="1039"/>
    </row>
    <row r="15" spans="1:11" x14ac:dyDescent="0.25">
      <c r="A15" s="1072" t="s">
        <v>911</v>
      </c>
      <c r="B15" s="1038">
        <f>IF(ТрЗ_ОВ!D144="Да",1,0)</f>
        <v>1</v>
      </c>
      <c r="C15" s="1047">
        <v>1</v>
      </c>
      <c r="D15" s="1039">
        <f>C15*B15</f>
        <v>1</v>
      </c>
      <c r="F15" s="1039">
        <f>D15*0.7</f>
        <v>0.7</v>
      </c>
      <c r="G15" s="1039">
        <f>D15*0.3</f>
        <v>0.3</v>
      </c>
      <c r="H15" s="1073" t="s">
        <v>912</v>
      </c>
    </row>
    <row r="16" spans="1:11" x14ac:dyDescent="0.25">
      <c r="A16" s="1072" t="s">
        <v>913</v>
      </c>
      <c r="B16" s="1038">
        <f>IF(ТрЗ_ОВ!D145="Да",1,0)</f>
        <v>1</v>
      </c>
      <c r="C16" s="1047">
        <v>1</v>
      </c>
      <c r="D16" s="1039">
        <f t="shared" ref="D16:D19" si="3">C16*B16</f>
        <v>1</v>
      </c>
      <c r="F16" s="1039">
        <f t="shared" ref="F16:F19" si="4">D16*0.7</f>
        <v>0.7</v>
      </c>
      <c r="G16" s="1039">
        <f t="shared" ref="G16:G19" si="5">D16*0.3</f>
        <v>0.3</v>
      </c>
      <c r="H16" s="1073" t="s">
        <v>912</v>
      </c>
      <c r="K16" s="1073"/>
    </row>
    <row r="17" spans="1:8" x14ac:dyDescent="0.25">
      <c r="A17" s="1072" t="s">
        <v>914</v>
      </c>
      <c r="B17" s="1038">
        <f>ТрЗ_ОВ!D146</f>
        <v>0</v>
      </c>
      <c r="C17" s="1047">
        <v>0.5</v>
      </c>
      <c r="D17" s="1039">
        <f t="shared" si="3"/>
        <v>0</v>
      </c>
      <c r="F17" s="1039">
        <f t="shared" si="4"/>
        <v>0</v>
      </c>
      <c r="G17" s="1039">
        <f t="shared" si="5"/>
        <v>0</v>
      </c>
      <c r="H17" s="1073" t="s">
        <v>915</v>
      </c>
    </row>
    <row r="18" spans="1:8" x14ac:dyDescent="0.25">
      <c r="A18" s="1072" t="s">
        <v>916</v>
      </c>
      <c r="B18" s="1038">
        <f>ТрЗ_ОВ!D147</f>
        <v>0</v>
      </c>
      <c r="C18" s="1047">
        <v>1</v>
      </c>
      <c r="D18" s="1039">
        <f t="shared" si="3"/>
        <v>0</v>
      </c>
      <c r="F18" s="1039">
        <f t="shared" si="4"/>
        <v>0</v>
      </c>
      <c r="G18" s="1039">
        <f t="shared" si="5"/>
        <v>0</v>
      </c>
      <c r="H18" s="1073" t="s">
        <v>915</v>
      </c>
    </row>
    <row r="19" spans="1:8" x14ac:dyDescent="0.25">
      <c r="A19" s="1072" t="s">
        <v>917</v>
      </c>
      <c r="B19" s="1038">
        <f>ТрЗ_ОВ!D148</f>
        <v>0</v>
      </c>
      <c r="C19" s="1047">
        <v>1</v>
      </c>
      <c r="D19" s="1039">
        <f t="shared" si="3"/>
        <v>0</v>
      </c>
      <c r="F19" s="1039">
        <f t="shared" si="4"/>
        <v>0</v>
      </c>
      <c r="G19" s="1039">
        <f t="shared" si="5"/>
        <v>0</v>
      </c>
      <c r="H19" s="1073" t="s">
        <v>915</v>
      </c>
    </row>
    <row r="20" spans="1:8" x14ac:dyDescent="0.25">
      <c r="A20" s="1072" t="s">
        <v>774</v>
      </c>
      <c r="B20" s="1043">
        <f>IF(ТрЗ_ОВ!D149="Да",1,0)</f>
        <v>1</v>
      </c>
      <c r="C20" s="1047">
        <v>0.5</v>
      </c>
      <c r="D20" s="1039">
        <f>C20*B3</f>
        <v>0</v>
      </c>
      <c r="E20" s="1039">
        <f t="shared" si="1"/>
        <v>0</v>
      </c>
      <c r="F20" s="1039">
        <f t="shared" si="2"/>
        <v>0</v>
      </c>
      <c r="G20" s="1073"/>
      <c r="H20" s="1073" t="s">
        <v>912</v>
      </c>
    </row>
    <row r="21" spans="1:8" x14ac:dyDescent="0.25">
      <c r="A21" s="1072" t="s">
        <v>775</v>
      </c>
      <c r="B21" s="1043">
        <f>IF(ТрЗ_ОВ!D150="Да",1,0)</f>
        <v>1</v>
      </c>
      <c r="C21" s="1047">
        <v>1</v>
      </c>
      <c r="D21" s="1039">
        <f>C21*B21</f>
        <v>1</v>
      </c>
      <c r="E21" s="1039"/>
      <c r="F21" s="1039">
        <f t="shared" ref="F21" si="6">D21*0.7</f>
        <v>0.7</v>
      </c>
      <c r="G21" s="1039">
        <f t="shared" ref="G21" si="7">D21*0.3</f>
        <v>0.3</v>
      </c>
      <c r="H21" s="1073" t="s">
        <v>912</v>
      </c>
    </row>
    <row r="22" spans="1:8" ht="25.5" x14ac:dyDescent="0.25">
      <c r="A22" s="1037" t="s">
        <v>895</v>
      </c>
      <c r="B22" s="1039" t="s">
        <v>896</v>
      </c>
      <c r="C22" s="1039"/>
      <c r="D22" s="1039">
        <f>ROUNDUP(SUM(D13:D21),1)</f>
        <v>3</v>
      </c>
      <c r="E22" s="1039"/>
      <c r="F22" s="1039">
        <f>D22*0.5</f>
        <v>1.5</v>
      </c>
      <c r="G22" s="1039">
        <f>D22*0.5</f>
        <v>1.5</v>
      </c>
      <c r="H22" s="1039"/>
    </row>
    <row r="23" spans="1:8" ht="26.25" thickBot="1" x14ac:dyDescent="0.3">
      <c r="A23" s="1070" t="s">
        <v>897</v>
      </c>
      <c r="B23" s="1053" t="s">
        <v>898</v>
      </c>
      <c r="C23" s="1053"/>
      <c r="D23" s="1039">
        <f>ROUNDUP(SUM(D13:D21),1)</f>
        <v>3</v>
      </c>
      <c r="E23" s="1053"/>
      <c r="F23" s="1039">
        <f>D23*0.5</f>
        <v>1.5</v>
      </c>
      <c r="G23" s="1039">
        <f>D23*0.5</f>
        <v>1.5</v>
      </c>
      <c r="H23" s="1053"/>
    </row>
    <row r="24" spans="1:8" x14ac:dyDescent="0.25">
      <c r="A24" s="1067" t="s">
        <v>563</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899</v>
      </c>
      <c r="D26" s="1069"/>
      <c r="E26" s="1069"/>
      <c r="F26" s="1069"/>
      <c r="G26" s="1069"/>
      <c r="H26" s="1067"/>
    </row>
    <row r="27" spans="1:8" x14ac:dyDescent="0.25">
      <c r="A27" s="1067"/>
      <c r="B27" s="1067"/>
      <c r="C27" s="268" t="s">
        <v>900</v>
      </c>
      <c r="D27" s="268">
        <f>D6/8</f>
        <v>0</v>
      </c>
      <c r="E27" s="268">
        <f t="shared" ref="E27:G27" si="8">E6/8</f>
        <v>0</v>
      </c>
      <c r="F27" s="268">
        <f t="shared" si="8"/>
        <v>0</v>
      </c>
      <c r="G27" s="268">
        <f t="shared" si="8"/>
        <v>0</v>
      </c>
      <c r="H27" s="1067"/>
    </row>
    <row r="28" spans="1:8" x14ac:dyDescent="0.25">
      <c r="A28" s="1067"/>
      <c r="B28" s="1067"/>
      <c r="C28" s="63" t="s">
        <v>901</v>
      </c>
      <c r="D28" s="63">
        <f>ROUNDUP(SUM(D13:D22)/8,1)</f>
        <v>0.79999999999999993</v>
      </c>
      <c r="E28" s="63">
        <f t="shared" ref="E28:G28" si="9">ROUNDUP(SUM(E13:E22)/8,1)</f>
        <v>0</v>
      </c>
      <c r="F28" s="63">
        <f t="shared" si="9"/>
        <v>0.5</v>
      </c>
      <c r="G28" s="63">
        <f t="shared" si="9"/>
        <v>0.3</v>
      </c>
      <c r="H28" s="1067"/>
    </row>
    <row r="29" spans="1:8" x14ac:dyDescent="0.25">
      <c r="A29" s="1067"/>
      <c r="B29" s="1067"/>
      <c r="C29" s="268" t="s">
        <v>902</v>
      </c>
      <c r="D29" s="268">
        <f>ROUNDUP(SUM(D23)/8,1)</f>
        <v>0.4</v>
      </c>
      <c r="E29" s="268">
        <f t="shared" ref="E29:G29" si="10">ROUNDUP(SUM(E23)/8,1)</f>
        <v>0</v>
      </c>
      <c r="F29" s="268">
        <f t="shared" si="10"/>
        <v>0.2</v>
      </c>
      <c r="G29" s="268">
        <f t="shared" si="10"/>
        <v>0.2</v>
      </c>
      <c r="H29" s="1067"/>
    </row>
    <row r="30" spans="1:8" x14ac:dyDescent="0.25">
      <c r="A30" s="1067"/>
      <c r="B30" s="1067"/>
      <c r="C30" s="63" t="s">
        <v>903</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871</v>
      </c>
      <c r="B2" s="1077" t="s">
        <v>918</v>
      </c>
      <c r="C2" s="1078" t="s">
        <v>919</v>
      </c>
      <c r="D2" s="1079" t="s">
        <v>920</v>
      </c>
      <c r="E2" s="1080" t="s">
        <v>921</v>
      </c>
      <c r="F2" s="1081" t="s">
        <v>922</v>
      </c>
      <c r="G2" s="1078" t="s">
        <v>874</v>
      </c>
    </row>
    <row r="3" spans="1:7" x14ac:dyDescent="0.25">
      <c r="A3" s="1082" t="s">
        <v>923</v>
      </c>
      <c r="B3" s="1083">
        <f>ТрЗ_ОВ!E114</f>
        <v>0</v>
      </c>
      <c r="C3" s="1084"/>
      <c r="D3" s="1084"/>
      <c r="E3" s="1084"/>
      <c r="F3" s="1084"/>
      <c r="G3" s="1085"/>
    </row>
    <row r="4" spans="1:7" x14ac:dyDescent="0.25">
      <c r="A4" s="1086" t="s">
        <v>924</v>
      </c>
      <c r="B4" s="1087">
        <f>ТрЗ_ОВ!H114</f>
        <v>0</v>
      </c>
      <c r="C4" s="1088"/>
      <c r="D4" s="1088"/>
      <c r="E4" s="1088"/>
      <c r="F4" s="1088"/>
      <c r="G4" s="1089"/>
    </row>
    <row r="5" spans="1:7" x14ac:dyDescent="0.25">
      <c r="A5" s="1086" t="s">
        <v>925</v>
      </c>
      <c r="B5" s="1087">
        <f>ТрЗ_ОВ!J114</f>
        <v>0</v>
      </c>
      <c r="C5" s="1088"/>
      <c r="D5" s="1088"/>
      <c r="E5" s="1088"/>
      <c r="F5" s="1088"/>
      <c r="G5" s="1089"/>
    </row>
    <row r="6" spans="1:7" x14ac:dyDescent="0.25">
      <c r="A6" s="1086" t="s">
        <v>926</v>
      </c>
      <c r="B6" s="1087">
        <f>ТрЗ_ОВ!M114</f>
        <v>0</v>
      </c>
      <c r="C6" s="1088"/>
      <c r="D6" s="1088"/>
      <c r="E6" s="1088"/>
      <c r="F6" s="1088"/>
      <c r="G6" s="1089"/>
    </row>
    <row r="7" spans="1:7" x14ac:dyDescent="0.25">
      <c r="A7" s="1086" t="s">
        <v>927</v>
      </c>
      <c r="B7" s="1087">
        <f>ТрЗ_ОВ!O114</f>
        <v>0</v>
      </c>
      <c r="C7" s="1088"/>
      <c r="D7" s="1088"/>
      <c r="E7" s="1088"/>
      <c r="F7" s="1088"/>
      <c r="G7" s="1089"/>
    </row>
    <row r="8" spans="1:7" x14ac:dyDescent="0.25">
      <c r="A8" s="1086" t="s">
        <v>761</v>
      </c>
      <c r="B8" s="1087" t="str">
        <f>ТрЗ_ОВ!D118</f>
        <v>Да</v>
      </c>
      <c r="C8" s="1088"/>
      <c r="D8" s="1088"/>
      <c r="E8" s="1088"/>
      <c r="F8" s="1088"/>
      <c r="G8" s="1089"/>
    </row>
    <row r="9" spans="1:7" x14ac:dyDescent="0.25">
      <c r="A9" s="1086" t="s">
        <v>762</v>
      </c>
      <c r="B9" s="1087" t="str">
        <f>ТрЗ_ОВ!D119</f>
        <v>Да</v>
      </c>
      <c r="C9" s="1088"/>
      <c r="D9" s="1088"/>
      <c r="E9" s="1088"/>
      <c r="F9" s="1088"/>
      <c r="G9" s="1089"/>
    </row>
    <row r="10" spans="1:7" x14ac:dyDescent="0.25">
      <c r="A10" s="1086" t="s">
        <v>763</v>
      </c>
      <c r="B10" s="1087" t="str">
        <f>ТрЗ_ОВ!D120</f>
        <v>Да</v>
      </c>
      <c r="C10" s="1088"/>
      <c r="D10" s="1088"/>
      <c r="E10" s="1088"/>
      <c r="F10" s="1088"/>
      <c r="G10" s="1089"/>
    </row>
    <row r="11" spans="1:7" x14ac:dyDescent="0.25">
      <c r="A11" s="1086" t="s">
        <v>764</v>
      </c>
      <c r="B11" s="1087">
        <f>ТрЗ_ОВ!D121</f>
        <v>0</v>
      </c>
      <c r="C11" s="1088"/>
      <c r="D11" s="1088"/>
      <c r="E11" s="1088"/>
      <c r="F11" s="1088"/>
      <c r="G11" s="1089"/>
    </row>
    <row r="12" spans="1:7" x14ac:dyDescent="0.25">
      <c r="A12" s="1086" t="s">
        <v>765</v>
      </c>
      <c r="B12" s="1087">
        <f>ТрЗ_ОВ!D122</f>
        <v>0</v>
      </c>
      <c r="C12" s="1088"/>
      <c r="D12" s="1088"/>
      <c r="E12" s="1088"/>
      <c r="F12" s="1088"/>
      <c r="G12" s="1089"/>
    </row>
    <row r="13" spans="1:7" x14ac:dyDescent="0.25">
      <c r="A13" s="1086" t="s">
        <v>766</v>
      </c>
      <c r="B13" s="1087" t="str">
        <f>ТрЗ_ОВ!D123</f>
        <v>Да</v>
      </c>
      <c r="C13" s="1088"/>
      <c r="D13" s="1088"/>
      <c r="E13" s="1088"/>
      <c r="F13" s="1088"/>
      <c r="G13" s="1089"/>
    </row>
    <row r="14" spans="1:7" ht="25.5" x14ac:dyDescent="0.25">
      <c r="A14" s="1086" t="s">
        <v>928</v>
      </c>
      <c r="B14" s="1087" t="s">
        <v>106</v>
      </c>
      <c r="C14" s="1088"/>
      <c r="D14" s="1088"/>
      <c r="E14" s="1088"/>
      <c r="F14" s="1088"/>
      <c r="G14" s="1089"/>
    </row>
    <row r="15" spans="1:7" x14ac:dyDescent="0.25">
      <c r="A15" s="1086" t="s">
        <v>752</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880</v>
      </c>
      <c r="B17" s="1093"/>
      <c r="C17" s="1094"/>
      <c r="D17" s="1095"/>
      <c r="E17" s="1095"/>
      <c r="F17" s="1094"/>
      <c r="G17" s="1096"/>
    </row>
    <row r="18" spans="1:7" x14ac:dyDescent="0.25">
      <c r="A18" s="1097" t="s">
        <v>929</v>
      </c>
      <c r="B18" s="1098">
        <f>IF(B14="Да",1,0)</f>
        <v>1</v>
      </c>
      <c r="C18" s="1099">
        <f>ROUNDUP(IF(B18=1,B3*50/60,0),1)</f>
        <v>0</v>
      </c>
      <c r="D18" s="1100">
        <f t="shared" ref="D18:D23" si="0">C18*0.5</f>
        <v>0</v>
      </c>
      <c r="E18" s="1101">
        <f t="shared" ref="E18:E23" si="1">C18*0.5</f>
        <v>0</v>
      </c>
      <c r="F18" s="1102"/>
      <c r="G18" s="1103"/>
    </row>
    <row r="19" spans="1:7" x14ac:dyDescent="0.25">
      <c r="A19" s="1097" t="s">
        <v>930</v>
      </c>
      <c r="B19" s="1098">
        <f>IF(B14="Да",IF(B4&gt;0,1,0),0)</f>
        <v>0</v>
      </c>
      <c r="C19" s="1099">
        <f>ROUNDUP(IF(B19=1,B4*50/60,0),1)</f>
        <v>0</v>
      </c>
      <c r="D19" s="1100">
        <f t="shared" si="0"/>
        <v>0</v>
      </c>
      <c r="E19" s="1101">
        <f t="shared" si="1"/>
        <v>0</v>
      </c>
      <c r="F19" s="1102"/>
      <c r="G19" s="1103"/>
    </row>
    <row r="20" spans="1:7" x14ac:dyDescent="0.25">
      <c r="A20" s="1097" t="s">
        <v>931</v>
      </c>
      <c r="B20" s="1098">
        <f>IF(B14="Да",IF(B5&gt;0,1,0),0)</f>
        <v>0</v>
      </c>
      <c r="C20" s="1099">
        <f>ROUNDUP(IF(B20=1,B5*50/60,0),1)</f>
        <v>0</v>
      </c>
      <c r="D20" s="1100">
        <f t="shared" si="0"/>
        <v>0</v>
      </c>
      <c r="E20" s="1101">
        <f t="shared" si="1"/>
        <v>0</v>
      </c>
      <c r="F20" s="1102"/>
      <c r="G20" s="1103"/>
    </row>
    <row r="21" spans="1:7" x14ac:dyDescent="0.25">
      <c r="A21" s="1097" t="s">
        <v>932</v>
      </c>
      <c r="B21" s="1098">
        <f>IF(B14="Да",1,0)</f>
        <v>1</v>
      </c>
      <c r="C21" s="1099">
        <f>ROUNDUP(IF(B21=1,(B3+B4+B5)*50/60,0),1)</f>
        <v>0</v>
      </c>
      <c r="D21" s="1100">
        <f t="shared" si="0"/>
        <v>0</v>
      </c>
      <c r="E21" s="1101">
        <f t="shared" si="1"/>
        <v>0</v>
      </c>
      <c r="F21" s="1102"/>
      <c r="G21" s="1103"/>
    </row>
    <row r="22" spans="1:7" x14ac:dyDescent="0.25">
      <c r="A22" s="1097" t="s">
        <v>933</v>
      </c>
      <c r="B22" s="1098">
        <f>IF(B14="Да",1,0)</f>
        <v>1</v>
      </c>
      <c r="C22" s="1099">
        <f>ROUNDUP(IF(B22=1,(B3+B4+B5)*50/60,0),1)</f>
        <v>0</v>
      </c>
      <c r="D22" s="1100">
        <f t="shared" si="0"/>
        <v>0</v>
      </c>
      <c r="E22" s="1101">
        <f t="shared" si="1"/>
        <v>0</v>
      </c>
      <c r="F22" s="1102"/>
      <c r="G22" s="1103"/>
    </row>
    <row r="23" spans="1:7" x14ac:dyDescent="0.25">
      <c r="A23" s="1097" t="s">
        <v>934</v>
      </c>
      <c r="B23" s="1098">
        <f>IF(B14="Да",1,0)</f>
        <v>1</v>
      </c>
      <c r="C23" s="1099">
        <f>ROUNDUP(IF(B23=1,(B3+B4+B5)*50/60,0),1)</f>
        <v>0</v>
      </c>
      <c r="D23" s="1100">
        <f t="shared" si="0"/>
        <v>0</v>
      </c>
      <c r="E23" s="1101">
        <f t="shared" si="1"/>
        <v>0</v>
      </c>
      <c r="F23" s="1102"/>
      <c r="G23" s="1103"/>
    </row>
    <row r="24" spans="1:7" x14ac:dyDescent="0.25">
      <c r="A24" s="1097" t="s">
        <v>935</v>
      </c>
      <c r="B24" s="1098">
        <f>IF(B14="Нет",1,0)</f>
        <v>0</v>
      </c>
      <c r="C24" s="1099">
        <f>ROUNDUP(IF(B24=1,(((B3+B4+B5)*60)+(B6*10))/60,0),1)</f>
        <v>0</v>
      </c>
      <c r="D24" s="1100"/>
      <c r="E24" s="1101">
        <f>(C24*0.32)/8</f>
        <v>0</v>
      </c>
      <c r="F24" s="1102">
        <f>(C24*0.68)/8</f>
        <v>0</v>
      </c>
      <c r="G24" s="1103"/>
    </row>
    <row r="25" spans="1:7" x14ac:dyDescent="0.25">
      <c r="A25" s="1104" t="s">
        <v>886</v>
      </c>
      <c r="B25" s="1105"/>
      <c r="C25" s="1099"/>
      <c r="D25" s="1099"/>
      <c r="E25" s="1099"/>
      <c r="F25" s="1099"/>
      <c r="G25" s="1103"/>
    </row>
    <row r="26" spans="1:7" x14ac:dyDescent="0.25">
      <c r="A26" s="1104" t="s">
        <v>887</v>
      </c>
      <c r="B26" s="1106"/>
      <c r="C26" s="1099"/>
      <c r="D26" s="1107"/>
      <c r="E26" s="1107"/>
      <c r="F26" s="1099"/>
      <c r="G26" s="1103"/>
    </row>
    <row r="27" spans="1:7" x14ac:dyDescent="0.25">
      <c r="A27" s="1108" t="s">
        <v>936</v>
      </c>
      <c r="B27" s="1106">
        <v>1</v>
      </c>
      <c r="C27" s="1099">
        <f>B3*1</f>
        <v>0</v>
      </c>
      <c r="D27" s="1100">
        <f>C27*0.5</f>
        <v>0</v>
      </c>
      <c r="E27" s="1101">
        <f>C27*0.5</f>
        <v>0</v>
      </c>
      <c r="F27" s="1102"/>
      <c r="G27" s="1103"/>
    </row>
    <row r="28" spans="1:7" x14ac:dyDescent="0.25">
      <c r="A28" s="1108" t="s">
        <v>937</v>
      </c>
      <c r="B28" s="1106">
        <v>1</v>
      </c>
      <c r="C28" s="1099">
        <f>B3*1</f>
        <v>0</v>
      </c>
      <c r="D28" s="1100">
        <f>C28*0.5</f>
        <v>0</v>
      </c>
      <c r="E28" s="1101">
        <f>C28*0.5</f>
        <v>0</v>
      </c>
      <c r="F28" s="1102"/>
      <c r="G28" s="1103"/>
    </row>
    <row r="29" spans="1:7" x14ac:dyDescent="0.25">
      <c r="A29" s="1104" t="s">
        <v>938</v>
      </c>
      <c r="B29" s="1106"/>
      <c r="C29" s="1099"/>
      <c r="D29" s="1107"/>
      <c r="E29" s="1107"/>
      <c r="F29" s="1099"/>
      <c r="G29" s="1103"/>
    </row>
    <row r="30" spans="1:7" x14ac:dyDescent="0.25">
      <c r="A30" s="1108" t="s">
        <v>939</v>
      </c>
      <c r="B30" s="1106">
        <v>1</v>
      </c>
      <c r="C30" s="1099">
        <f>B3*2</f>
        <v>0</v>
      </c>
      <c r="D30" s="1100">
        <f>C30*0.5</f>
        <v>0</v>
      </c>
      <c r="E30" s="1101">
        <f>C30*0.5</f>
        <v>0</v>
      </c>
      <c r="F30" s="1102"/>
      <c r="G30" s="1103"/>
    </row>
    <row r="31" spans="1:7" x14ac:dyDescent="0.25">
      <c r="A31" s="1108" t="s">
        <v>940</v>
      </c>
      <c r="B31" s="1106">
        <v>1</v>
      </c>
      <c r="C31" s="1099">
        <f>B3*0.5</f>
        <v>0</v>
      </c>
      <c r="D31" s="1100">
        <f>C31*0.5</f>
        <v>0</v>
      </c>
      <c r="E31" s="1101">
        <f>C31*0.5</f>
        <v>0</v>
      </c>
      <c r="F31" s="1102"/>
      <c r="G31" s="1103"/>
    </row>
    <row r="32" spans="1:7" x14ac:dyDescent="0.25">
      <c r="A32" s="1097" t="s">
        <v>941</v>
      </c>
      <c r="B32" s="1106">
        <v>1</v>
      </c>
      <c r="C32" s="1099">
        <f>B3*1</f>
        <v>0</v>
      </c>
      <c r="D32" s="1100">
        <f>C32*0.5</f>
        <v>0</v>
      </c>
      <c r="E32" s="1101">
        <f>C32*0.5</f>
        <v>0</v>
      </c>
      <c r="F32" s="1102"/>
      <c r="G32" s="1103"/>
    </row>
    <row r="33" spans="1:7" x14ac:dyDescent="0.25">
      <c r="A33" s="1109" t="s">
        <v>942</v>
      </c>
      <c r="B33" s="1110"/>
      <c r="C33" s="1099"/>
      <c r="D33" s="1099"/>
      <c r="E33" s="1099"/>
      <c r="F33" s="1099"/>
      <c r="G33" s="1103"/>
    </row>
    <row r="34" spans="1:7" x14ac:dyDescent="0.25">
      <c r="A34" s="1097" t="s">
        <v>943</v>
      </c>
      <c r="B34" s="1106">
        <v>1</v>
      </c>
      <c r="C34" s="1099">
        <f>B3*0.5</f>
        <v>0</v>
      </c>
      <c r="D34" s="1100">
        <f>C34*0.5</f>
        <v>0</v>
      </c>
      <c r="E34" s="1101">
        <f>C34*0.4</f>
        <v>0</v>
      </c>
      <c r="F34" s="1102">
        <f>C34*0.1</f>
        <v>0</v>
      </c>
      <c r="G34" s="1103"/>
    </row>
    <row r="35" spans="1:7" x14ac:dyDescent="0.25">
      <c r="A35" s="1097" t="s">
        <v>944</v>
      </c>
      <c r="B35" s="1106">
        <v>1</v>
      </c>
      <c r="C35" s="1099">
        <f>B3*0.5</f>
        <v>0</v>
      </c>
      <c r="D35" s="1100">
        <f>C35*0.5</f>
        <v>0</v>
      </c>
      <c r="E35" s="1101">
        <f>C35*0.4</f>
        <v>0</v>
      </c>
      <c r="F35" s="1102">
        <f>C35*0.1</f>
        <v>0</v>
      </c>
      <c r="G35" s="1103"/>
    </row>
    <row r="36" spans="1:7" x14ac:dyDescent="0.25">
      <c r="A36" s="1097" t="s">
        <v>945</v>
      </c>
      <c r="B36" s="1098">
        <v>0</v>
      </c>
      <c r="C36" s="1099">
        <f>IF(B8="Да",2*$B$3, 0)</f>
        <v>0</v>
      </c>
      <c r="D36" s="1100">
        <f>C36*0.5</f>
        <v>0</v>
      </c>
      <c r="E36" s="1101">
        <f>C36*0.4</f>
        <v>0</v>
      </c>
      <c r="F36" s="1102">
        <f>C36*0.1</f>
        <v>0</v>
      </c>
      <c r="G36" s="1103"/>
    </row>
    <row r="37" spans="1:7" x14ac:dyDescent="0.25">
      <c r="A37" s="1097" t="s">
        <v>946</v>
      </c>
      <c r="B37" s="1098">
        <v>0</v>
      </c>
      <c r="C37" s="1099">
        <f>IF(B9="Да",1*$B$3, 0)</f>
        <v>0</v>
      </c>
      <c r="D37" s="1100">
        <f>C37*0.5</f>
        <v>0</v>
      </c>
      <c r="E37" s="1101">
        <f>C37*0.4</f>
        <v>0</v>
      </c>
      <c r="F37" s="1102">
        <f>C37*0.1</f>
        <v>0</v>
      </c>
      <c r="G37" s="1103"/>
    </row>
    <row r="38" spans="1:7" x14ac:dyDescent="0.25">
      <c r="A38" s="1097" t="s">
        <v>947</v>
      </c>
      <c r="B38" s="1098">
        <v>0</v>
      </c>
      <c r="C38" s="1099">
        <f>IF(B10="Да",1*$B$3, 0)</f>
        <v>0</v>
      </c>
      <c r="D38" s="1100">
        <f>C38*0.5</f>
        <v>0</v>
      </c>
      <c r="E38" s="1101">
        <f>C38*0.4</f>
        <v>0</v>
      </c>
      <c r="F38" s="1102">
        <f>C38*0.1</f>
        <v>0</v>
      </c>
      <c r="G38" s="1103"/>
    </row>
    <row r="39" spans="1:7" x14ac:dyDescent="0.25">
      <c r="A39" s="1109" t="s">
        <v>948</v>
      </c>
      <c r="B39" s="1110"/>
      <c r="C39" s="1099"/>
      <c r="D39" s="1099"/>
      <c r="E39" s="1099"/>
      <c r="F39" s="1099"/>
      <c r="G39" s="1103"/>
    </row>
    <row r="40" spans="1:7" x14ac:dyDescent="0.25">
      <c r="A40" s="1108" t="s">
        <v>949</v>
      </c>
      <c r="B40" s="1106">
        <v>1</v>
      </c>
      <c r="C40" s="1099">
        <f>B3*1</f>
        <v>0</v>
      </c>
      <c r="D40" s="1100">
        <f>C40*0.7</f>
        <v>0</v>
      </c>
      <c r="E40" s="1101">
        <f>C40*0.3</f>
        <v>0</v>
      </c>
      <c r="F40" s="1102"/>
      <c r="G40" s="1103"/>
    </row>
    <row r="41" spans="1:7" x14ac:dyDescent="0.25">
      <c r="A41" s="1097" t="s">
        <v>950</v>
      </c>
      <c r="B41" s="1106">
        <v>1</v>
      </c>
      <c r="C41" s="1099">
        <f>IF($B$7&lt;=50,ROUNDUP(10*$B$7/60,1),IF($B$7&lt;=100,ROUNDUP(12*$B$7/60,1),ROUNDUP(15*$B$7/60,1)))</f>
        <v>0</v>
      </c>
      <c r="D41" s="1100">
        <f>C41*0.45</f>
        <v>0</v>
      </c>
      <c r="E41" s="1101">
        <f>C41*0.45</f>
        <v>0</v>
      </c>
      <c r="F41" s="1102">
        <f>C41*0.1</f>
        <v>0</v>
      </c>
      <c r="G41" s="1103"/>
    </row>
    <row r="42" spans="1:7" x14ac:dyDescent="0.25">
      <c r="A42" s="1097" t="s">
        <v>951</v>
      </c>
      <c r="B42" s="1106">
        <v>1</v>
      </c>
      <c r="C42" s="1099">
        <f>ROUNDUP((B3*16)+(B7*10)/60,1)</f>
        <v>0</v>
      </c>
      <c r="D42" s="1100">
        <f>C42*0.2</f>
        <v>0</v>
      </c>
      <c r="E42" s="1101">
        <f>C42*0.6</f>
        <v>0</v>
      </c>
      <c r="F42" s="1102">
        <f>C42*0.2</f>
        <v>0</v>
      </c>
      <c r="G42" s="1103"/>
    </row>
    <row r="43" spans="1:7" x14ac:dyDescent="0.25">
      <c r="A43" s="1097" t="s">
        <v>952</v>
      </c>
      <c r="B43" s="1106">
        <v>1</v>
      </c>
      <c r="C43" s="1099">
        <f>B6*0.5</f>
        <v>0</v>
      </c>
      <c r="D43" s="1100">
        <f>C43*0.8</f>
        <v>0</v>
      </c>
      <c r="E43" s="1101">
        <f>C43*0.2</f>
        <v>0</v>
      </c>
      <c r="F43" s="1102"/>
      <c r="G43" s="1103"/>
    </row>
    <row r="44" spans="1:7" x14ac:dyDescent="0.25">
      <c r="A44" s="1109" t="s">
        <v>953</v>
      </c>
      <c r="B44" s="1110"/>
      <c r="C44" s="1099"/>
      <c r="D44" s="1099"/>
      <c r="E44" s="1099"/>
      <c r="F44" s="1099"/>
      <c r="G44" s="1103"/>
    </row>
    <row r="45" spans="1:7" x14ac:dyDescent="0.25">
      <c r="A45" s="1097" t="s">
        <v>954</v>
      </c>
      <c r="B45" s="1098">
        <v>0</v>
      </c>
      <c r="C45" s="1099">
        <f>B11*0.5</f>
        <v>0</v>
      </c>
      <c r="D45" s="1100"/>
      <c r="E45" s="1101"/>
      <c r="F45" s="1102">
        <f>B45</f>
        <v>0</v>
      </c>
      <c r="G45" s="1103"/>
    </row>
    <row r="46" spans="1:7" x14ac:dyDescent="0.25">
      <c r="A46" s="1097" t="s">
        <v>955</v>
      </c>
      <c r="B46" s="1098">
        <v>0</v>
      </c>
      <c r="C46" s="1099">
        <f>ROUNDUP(B12*20/60,1)</f>
        <v>0</v>
      </c>
      <c r="D46" s="1100"/>
      <c r="E46" s="1101"/>
      <c r="F46" s="1102">
        <f>C46</f>
        <v>0</v>
      </c>
      <c r="G46" s="1103" t="s">
        <v>956</v>
      </c>
    </row>
    <row r="47" spans="1:7" x14ac:dyDescent="0.25">
      <c r="A47" s="1097" t="s">
        <v>957</v>
      </c>
      <c r="B47" s="1098">
        <v>0</v>
      </c>
      <c r="C47" s="1099">
        <f>IF(B12="Да",120,0)</f>
        <v>0</v>
      </c>
      <c r="D47" s="1100"/>
      <c r="E47" s="1101"/>
      <c r="F47" s="1102">
        <f>C47</f>
        <v>0</v>
      </c>
      <c r="G47" s="1103"/>
    </row>
    <row r="48" spans="1:7" x14ac:dyDescent="0.25">
      <c r="A48" s="1097" t="s">
        <v>958</v>
      </c>
      <c r="B48" s="1098">
        <v>0</v>
      </c>
      <c r="C48" s="1099">
        <f>B4*0.5</f>
        <v>0</v>
      </c>
      <c r="D48" s="1100">
        <f>C48*0.5</f>
        <v>0</v>
      </c>
      <c r="E48" s="1101">
        <f>C48*0.4</f>
        <v>0</v>
      </c>
      <c r="F48" s="1102">
        <f>C48*0.1</f>
        <v>0</v>
      </c>
      <c r="G48" s="1103"/>
    </row>
    <row r="49" spans="1:7" x14ac:dyDescent="0.25">
      <c r="A49" s="1097" t="s">
        <v>959</v>
      </c>
      <c r="B49" s="1098">
        <v>0</v>
      </c>
      <c r="C49" s="1099">
        <f>B5*6</f>
        <v>0</v>
      </c>
      <c r="D49" s="1100">
        <f>C49*0.5</f>
        <v>0</v>
      </c>
      <c r="E49" s="1101">
        <f>C49*0.4</f>
        <v>0</v>
      </c>
      <c r="F49" s="1102">
        <f>C49*0.1</f>
        <v>0</v>
      </c>
      <c r="G49" s="1103"/>
    </row>
    <row r="50" spans="1:7" x14ac:dyDescent="0.25">
      <c r="A50" s="1097" t="s">
        <v>960</v>
      </c>
      <c r="B50" s="1098">
        <v>0</v>
      </c>
      <c r="C50" s="1099">
        <f>IF(B15="Да",24,0)</f>
        <v>24</v>
      </c>
      <c r="D50" s="1100"/>
      <c r="E50" s="1101">
        <f>C50*0.3</f>
        <v>7.1999999999999993</v>
      </c>
      <c r="F50" s="1102">
        <f>C50*0.7</f>
        <v>16.799999999999997</v>
      </c>
      <c r="G50" s="1111"/>
    </row>
    <row r="51" spans="1:7" x14ac:dyDescent="0.25">
      <c r="A51" s="1112" t="s">
        <v>961</v>
      </c>
      <c r="B51" s="1113"/>
      <c r="C51" s="1114"/>
      <c r="D51" s="1114"/>
      <c r="E51" s="1114"/>
      <c r="F51" s="1114"/>
      <c r="G51" s="1103"/>
    </row>
    <row r="52" spans="1:7" x14ac:dyDescent="0.25">
      <c r="A52" s="1104" t="s">
        <v>962</v>
      </c>
      <c r="B52" s="1106">
        <v>1</v>
      </c>
      <c r="C52" s="1099">
        <f>ROUNDUP(IF(SUM(C18:C49)*0.1&gt;8,SUM(C18:C49)*0.1,8),1)</f>
        <v>8</v>
      </c>
      <c r="D52" s="1099"/>
      <c r="E52" s="1099">
        <f>C52*0.5</f>
        <v>4</v>
      </c>
      <c r="F52" s="1099">
        <f>C52*0.5</f>
        <v>4</v>
      </c>
      <c r="G52" s="1103"/>
    </row>
    <row r="53" spans="1:7" ht="15.75" thickBot="1" x14ac:dyDescent="0.3">
      <c r="A53" s="1104" t="s">
        <v>963</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964</v>
      </c>
      <c r="C55" s="274">
        <f>ROUNDUP(SUM(D55:F55),0)</f>
        <v>0</v>
      </c>
      <c r="D55" s="1120">
        <f>ROUNDUP(SUM(D18:D24)/8,0)</f>
        <v>0</v>
      </c>
      <c r="E55" s="202">
        <f>ROUNDUP(SUM(E18:E24)/8,0)</f>
        <v>0</v>
      </c>
      <c r="F55" s="78">
        <f>ROUNDUP(SUM(F18:F24)/8,0)</f>
        <v>0</v>
      </c>
    </row>
    <row r="56" spans="1:7" x14ac:dyDescent="0.25">
      <c r="B56" s="1119" t="s">
        <v>965</v>
      </c>
      <c r="C56" s="274">
        <f>ROUNDUP(SUM(D56:F56),0)</f>
        <v>4</v>
      </c>
      <c r="D56" s="1120">
        <f>ROUNDUP(SUM(D27:D50)/8,0)</f>
        <v>0</v>
      </c>
      <c r="E56" s="202">
        <f>ROUNDUP(SUM(E27:E50)/8,0)</f>
        <v>1</v>
      </c>
      <c r="F56" s="78">
        <f>ROUNDUP(SUM(F27:F50)/8,0)</f>
        <v>3</v>
      </c>
    </row>
    <row r="57" spans="1:7" x14ac:dyDescent="0.25">
      <c r="B57" s="1119" t="s">
        <v>966</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ТрЗ_ОВ!E159</f>
        <v>0</v>
      </c>
      <c r="C2" s="1036"/>
      <c r="D2" s="1036"/>
      <c r="E2" s="1036"/>
      <c r="F2" s="1036"/>
      <c r="G2" s="1036"/>
      <c r="H2" s="1036"/>
    </row>
    <row r="3" spans="1:8" x14ac:dyDescent="0.25">
      <c r="A3" s="1037" t="s">
        <v>876</v>
      </c>
      <c r="B3" s="1038">
        <f>ТрЗ_ОВ!H159</f>
        <v>0</v>
      </c>
      <c r="C3" s="1039"/>
      <c r="D3" s="1039"/>
      <c r="E3" s="1039"/>
      <c r="F3" s="1039"/>
      <c r="G3" s="1039"/>
      <c r="H3" s="1039"/>
    </row>
    <row r="4" spans="1:8" x14ac:dyDescent="0.25">
      <c r="A4" s="1037" t="s">
        <v>967</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879</v>
      </c>
      <c r="B6" s="1038">
        <v>1</v>
      </c>
      <c r="C6" s="1040">
        <v>4</v>
      </c>
      <c r="D6" s="1039">
        <v>4</v>
      </c>
      <c r="E6" s="1040"/>
      <c r="F6" s="1039">
        <f>D6/8</f>
        <v>0.5</v>
      </c>
      <c r="G6" s="1040"/>
      <c r="H6" s="1039"/>
    </row>
    <row r="7" spans="1:8" x14ac:dyDescent="0.25">
      <c r="A7" s="1037" t="s">
        <v>880</v>
      </c>
      <c r="B7" s="1041" t="s">
        <v>881</v>
      </c>
      <c r="C7" s="1040">
        <f>SUM(C8:C11)</f>
        <v>4</v>
      </c>
      <c r="D7" s="1039">
        <f>C7*$B$3</f>
        <v>0</v>
      </c>
      <c r="E7" s="1040">
        <f>0.5*$D$10</f>
        <v>0</v>
      </c>
      <c r="F7" s="1040">
        <f>0.5*$D$10</f>
        <v>0</v>
      </c>
      <c r="G7" s="1040"/>
      <c r="H7" s="1039"/>
    </row>
    <row r="8" spans="1:8" x14ac:dyDescent="0.25">
      <c r="A8" s="1042" t="s">
        <v>882</v>
      </c>
      <c r="B8" s="1043">
        <v>1</v>
      </c>
      <c r="C8" s="1040">
        <v>1</v>
      </c>
      <c r="D8" s="1039">
        <f t="shared" ref="D8:D11" si="0">C8*$B$3</f>
        <v>0</v>
      </c>
      <c r="E8" s="1040"/>
      <c r="F8" s="1039"/>
      <c r="G8" s="1040"/>
      <c r="H8" s="1039"/>
    </row>
    <row r="9" spans="1:8" x14ac:dyDescent="0.25">
      <c r="A9" s="1042" t="s">
        <v>883</v>
      </c>
      <c r="B9" s="1043">
        <v>1</v>
      </c>
      <c r="C9" s="1040">
        <v>1</v>
      </c>
      <c r="D9" s="1039">
        <f t="shared" si="0"/>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37" t="s">
        <v>886</v>
      </c>
      <c r="B12" s="1043"/>
      <c r="C12" s="1039"/>
      <c r="D12" s="1039"/>
      <c r="E12" s="1039"/>
      <c r="F12" s="1039"/>
      <c r="G12" s="1039"/>
      <c r="H12" s="1039"/>
    </row>
    <row r="13" spans="1:8" x14ac:dyDescent="0.25">
      <c r="A13" s="1037" t="s">
        <v>887</v>
      </c>
      <c r="B13" s="1043"/>
      <c r="C13" s="1048"/>
      <c r="D13" s="129"/>
      <c r="E13" s="129"/>
      <c r="F13" s="129"/>
      <c r="G13" s="1040"/>
      <c r="H13" s="1039"/>
    </row>
    <row r="14" spans="1:8" x14ac:dyDescent="0.25">
      <c r="A14" s="1042" t="s">
        <v>888</v>
      </c>
      <c r="B14" s="1043">
        <v>1</v>
      </c>
      <c r="C14" s="1039">
        <v>1</v>
      </c>
      <c r="D14" s="1121">
        <f>C14*$B$3</f>
        <v>0</v>
      </c>
      <c r="E14" s="1121">
        <f t="shared" ref="E14:E18" si="1">0.5*D14</f>
        <v>0</v>
      </c>
      <c r="F14" s="1121">
        <f t="shared" ref="F14:F18" si="2">0.5*D14</f>
        <v>0</v>
      </c>
      <c r="G14" s="1039"/>
      <c r="H14" s="1039"/>
    </row>
    <row r="15" spans="1:8" x14ac:dyDescent="0.25">
      <c r="A15" s="1042" t="s">
        <v>889</v>
      </c>
      <c r="B15" s="1043">
        <v>1</v>
      </c>
      <c r="C15" s="1039">
        <v>2</v>
      </c>
      <c r="D15" s="1121">
        <f t="shared" ref="D15:D17" si="3">C15*$B$3</f>
        <v>0</v>
      </c>
      <c r="E15" s="1121">
        <f t="shared" si="1"/>
        <v>0</v>
      </c>
      <c r="F15" s="1121">
        <f t="shared" si="2"/>
        <v>0</v>
      </c>
      <c r="G15" s="1039"/>
      <c r="H15" s="1039"/>
    </row>
    <row r="16" spans="1:8" x14ac:dyDescent="0.25">
      <c r="A16" s="1042" t="s">
        <v>968</v>
      </c>
      <c r="B16" s="1043">
        <v>1</v>
      </c>
      <c r="C16" s="1039">
        <v>0.25</v>
      </c>
      <c r="D16" s="1121">
        <f t="shared" si="3"/>
        <v>0</v>
      </c>
      <c r="E16" s="1121">
        <f t="shared" si="1"/>
        <v>0</v>
      </c>
      <c r="F16" s="1121">
        <f t="shared" si="2"/>
        <v>0</v>
      </c>
      <c r="G16" s="1039"/>
      <c r="H16" s="1039"/>
    </row>
    <row r="17" spans="1:8" x14ac:dyDescent="0.25">
      <c r="A17" s="1042" t="s">
        <v>890</v>
      </c>
      <c r="B17" s="1043">
        <v>1</v>
      </c>
      <c r="C17" s="1047">
        <v>2</v>
      </c>
      <c r="D17" s="1121">
        <f t="shared" si="3"/>
        <v>0</v>
      </c>
      <c r="E17" s="1121">
        <f t="shared" si="1"/>
        <v>0</v>
      </c>
      <c r="F17" s="1121">
        <f t="shared" si="2"/>
        <v>0</v>
      </c>
      <c r="G17" s="1073"/>
      <c r="H17" s="1073"/>
    </row>
    <row r="18" spans="1:8" x14ac:dyDescent="0.25">
      <c r="A18" s="1042" t="s">
        <v>969</v>
      </c>
      <c r="B18" s="1043">
        <v>1</v>
      </c>
      <c r="C18" s="1039">
        <v>1</v>
      </c>
      <c r="D18" s="1039">
        <f>C18*$B$4</f>
        <v>0</v>
      </c>
      <c r="E18" s="1039">
        <f t="shared" si="1"/>
        <v>0</v>
      </c>
      <c r="F18" s="1039">
        <f t="shared" si="2"/>
        <v>0</v>
      </c>
      <c r="G18" s="1039"/>
      <c r="H18" s="1039"/>
    </row>
    <row r="19" spans="1:8" ht="25.5" x14ac:dyDescent="0.25">
      <c r="A19" s="1037" t="s">
        <v>895</v>
      </c>
      <c r="B19" s="1039" t="s">
        <v>896</v>
      </c>
      <c r="C19" s="1039"/>
      <c r="D19" s="1122">
        <f>SUM(D12:D18)*0.1</f>
        <v>0</v>
      </c>
      <c r="E19" s="1123"/>
      <c r="F19" s="1121">
        <f>0.5*D19</f>
        <v>0</v>
      </c>
      <c r="G19" s="1121">
        <f>0.5*D19</f>
        <v>0</v>
      </c>
      <c r="H19" s="1039"/>
    </row>
    <row r="20" spans="1:8" ht="26.25" thickBot="1" x14ac:dyDescent="0.3">
      <c r="A20" s="1070" t="s">
        <v>897</v>
      </c>
      <c r="B20" s="1053" t="s">
        <v>898</v>
      </c>
      <c r="C20" s="1053"/>
      <c r="D20" s="1122">
        <f>SUM(D12:D18)*0.1</f>
        <v>0</v>
      </c>
      <c r="E20" s="1123"/>
      <c r="F20" s="1121">
        <f>0.5*D20</f>
        <v>0</v>
      </c>
      <c r="G20" s="1121">
        <f>0.5*D20</f>
        <v>0</v>
      </c>
      <c r="H20" s="1053"/>
    </row>
    <row r="21" spans="1:8" x14ac:dyDescent="0.25">
      <c r="A21" s="1067" t="s">
        <v>563</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899</v>
      </c>
      <c r="D23" s="1069"/>
      <c r="E23" s="1069"/>
      <c r="F23" s="1069"/>
      <c r="G23" s="1069"/>
      <c r="H23" s="1067"/>
    </row>
    <row r="24" spans="1:8" x14ac:dyDescent="0.25">
      <c r="A24" s="1067"/>
      <c r="B24" s="1067"/>
      <c r="C24" s="268" t="s">
        <v>900</v>
      </c>
      <c r="D24" s="268">
        <f>SUM(D8:D11)/8</f>
        <v>0</v>
      </c>
      <c r="E24" s="268">
        <f>ROUNDUP(SUM(E8:E11)/8,0)</f>
        <v>0</v>
      </c>
      <c r="F24" s="268">
        <f>ROUNDUP(SUM(F8:F11)/8,0)</f>
        <v>0</v>
      </c>
      <c r="G24" s="268">
        <f>ROUNDUP(SUM(G6:G11)/8,0)</f>
        <v>0</v>
      </c>
      <c r="H24" s="1067"/>
    </row>
    <row r="25" spans="1:8" x14ac:dyDescent="0.25">
      <c r="A25" s="1067"/>
      <c r="B25" s="1067"/>
      <c r="C25" s="63" t="s">
        <v>901</v>
      </c>
      <c r="D25" s="63">
        <f>ROUNDUP(SUM(D18:D19)/8,1)</f>
        <v>0</v>
      </c>
      <c r="E25" s="63">
        <f t="shared" ref="E25:G25" si="4">ROUNDUP(SUM(E18:E19)/8,1)</f>
        <v>0</v>
      </c>
      <c r="F25" s="63">
        <f t="shared" si="4"/>
        <v>0</v>
      </c>
      <c r="G25" s="63">
        <f t="shared" si="4"/>
        <v>0</v>
      </c>
      <c r="H25" s="1067"/>
    </row>
    <row r="26" spans="1:8" x14ac:dyDescent="0.25">
      <c r="A26" s="1067"/>
      <c r="B26" s="1067"/>
      <c r="C26" s="268" t="s">
        <v>902</v>
      </c>
      <c r="D26" s="268">
        <f>ROUNDUP(SUM(D20)/8,0)</f>
        <v>0</v>
      </c>
      <c r="E26" s="268">
        <f t="shared" ref="E26:G26" si="5">ROUNDUP(SUM(E20)/8,0)</f>
        <v>0</v>
      </c>
      <c r="F26" s="268">
        <f t="shared" si="5"/>
        <v>0</v>
      </c>
      <c r="G26" s="268">
        <f t="shared" si="5"/>
        <v>0</v>
      </c>
      <c r="H26" s="1067"/>
    </row>
    <row r="27" spans="1:8" x14ac:dyDescent="0.25">
      <c r="A27" s="1067"/>
      <c r="B27" s="1067"/>
      <c r="C27" s="63" t="s">
        <v>903</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ТрЗ_ОВ!E112</f>
        <v>0</v>
      </c>
      <c r="C2" s="1036"/>
      <c r="D2" s="1036"/>
      <c r="E2" s="1036"/>
      <c r="F2" s="1036"/>
      <c r="G2" s="1036"/>
      <c r="H2" s="1036"/>
    </row>
    <row r="3" spans="1:8" x14ac:dyDescent="0.25">
      <c r="A3" s="1037" t="s">
        <v>876</v>
      </c>
      <c r="B3" s="1038">
        <f>ТрЗ_ОВ!H112</f>
        <v>0</v>
      </c>
      <c r="C3" s="1039"/>
      <c r="D3" s="1039"/>
      <c r="E3" s="1039"/>
      <c r="F3" s="1039"/>
      <c r="G3" s="1039"/>
      <c r="H3" s="1039"/>
    </row>
    <row r="4" spans="1:8" x14ac:dyDescent="0.25">
      <c r="A4" s="1037" t="s">
        <v>879</v>
      </c>
      <c r="B4" s="1038">
        <v>1</v>
      </c>
      <c r="C4" s="1040">
        <v>4</v>
      </c>
      <c r="D4" s="1039">
        <v>4</v>
      </c>
      <c r="E4" s="1040"/>
      <c r="F4" s="1039">
        <f>D4/8</f>
        <v>0.5</v>
      </c>
      <c r="G4" s="1040"/>
      <c r="H4" s="1039"/>
    </row>
    <row r="5" spans="1:8" x14ac:dyDescent="0.25">
      <c r="A5" s="1037" t="s">
        <v>880</v>
      </c>
      <c r="B5" s="1041" t="s">
        <v>881</v>
      </c>
      <c r="C5" s="1040">
        <f>SUM(C6:C9)</f>
        <v>4</v>
      </c>
      <c r="D5" s="1039">
        <f>C5*$B$3</f>
        <v>0</v>
      </c>
      <c r="E5" s="1040">
        <f>0.5*$D$5</f>
        <v>0</v>
      </c>
      <c r="F5" s="1040">
        <f>0.5*$D$5</f>
        <v>0</v>
      </c>
      <c r="G5" s="1040"/>
      <c r="H5" s="1039"/>
    </row>
    <row r="6" spans="1:8" x14ac:dyDescent="0.25">
      <c r="A6" s="1042" t="s">
        <v>882</v>
      </c>
      <c r="B6" s="1043">
        <v>1</v>
      </c>
      <c r="C6" s="1040">
        <v>1</v>
      </c>
      <c r="D6" s="1039">
        <f t="shared" ref="D6:D9" si="0">C6*$B$3</f>
        <v>0</v>
      </c>
      <c r="E6" s="1040"/>
      <c r="F6" s="1039"/>
      <c r="G6" s="1040"/>
      <c r="H6" s="1039"/>
    </row>
    <row r="7" spans="1:8" x14ac:dyDescent="0.25">
      <c r="A7" s="1042" t="s">
        <v>883</v>
      </c>
      <c r="B7" s="1043">
        <v>1</v>
      </c>
      <c r="C7" s="1040">
        <v>1</v>
      </c>
      <c r="D7" s="1039">
        <f t="shared" si="0"/>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37" t="s">
        <v>886</v>
      </c>
      <c r="B10" s="1043"/>
      <c r="C10" s="1039"/>
      <c r="D10" s="1039"/>
      <c r="E10" s="1039"/>
      <c r="F10" s="1039"/>
      <c r="G10" s="1039"/>
      <c r="H10" s="1039"/>
    </row>
    <row r="11" spans="1:8" x14ac:dyDescent="0.25">
      <c r="A11" s="1037" t="s">
        <v>887</v>
      </c>
      <c r="B11" s="1043"/>
      <c r="C11" s="1039"/>
      <c r="D11" s="1039"/>
      <c r="E11" s="1039"/>
      <c r="F11" s="1039"/>
      <c r="G11" s="1039"/>
      <c r="H11" s="1039"/>
    </row>
    <row r="12" spans="1:8" x14ac:dyDescent="0.25">
      <c r="A12" s="1042" t="s">
        <v>888</v>
      </c>
      <c r="B12" s="1043">
        <v>1</v>
      </c>
      <c r="C12" s="1039">
        <v>2</v>
      </c>
      <c r="D12" s="1039">
        <f>C12*$B$3</f>
        <v>0</v>
      </c>
      <c r="E12" s="1039">
        <f>0.7*D12</f>
        <v>0</v>
      </c>
      <c r="F12" s="1039">
        <f>0.3*D12</f>
        <v>0</v>
      </c>
      <c r="G12" s="1039"/>
      <c r="H12" s="1039"/>
    </row>
    <row r="13" spans="1:8" x14ac:dyDescent="0.25">
      <c r="A13" s="1133" t="s">
        <v>889</v>
      </c>
      <c r="B13" s="1043">
        <v>1</v>
      </c>
      <c r="C13" s="1039">
        <v>2</v>
      </c>
      <c r="D13" s="1039">
        <f t="shared" ref="D13:D17" si="1">C13*$B$3</f>
        <v>0</v>
      </c>
      <c r="E13" s="1039">
        <f t="shared" ref="E13" si="2">0.7*D13</f>
        <v>0</v>
      </c>
      <c r="F13" s="1039">
        <f t="shared" ref="F13" si="3">0.3*D13</f>
        <v>0</v>
      </c>
      <c r="G13" s="1039"/>
      <c r="H13" s="1039"/>
    </row>
    <row r="14" spans="1:8" x14ac:dyDescent="0.25">
      <c r="A14" s="268" t="s">
        <v>894</v>
      </c>
      <c r="B14" s="1043">
        <v>1</v>
      </c>
      <c r="C14" s="1039">
        <v>1</v>
      </c>
      <c r="D14" s="1039">
        <f t="shared" si="1"/>
        <v>0</v>
      </c>
      <c r="E14" s="1040">
        <f>0.7*D14</f>
        <v>0</v>
      </c>
      <c r="F14" s="1039">
        <f>0.3*D14</f>
        <v>0</v>
      </c>
      <c r="H14" s="1039"/>
    </row>
    <row r="15" spans="1:8" x14ac:dyDescent="0.25">
      <c r="A15" t="s">
        <v>999</v>
      </c>
      <c r="B15" s="1043">
        <v>1</v>
      </c>
      <c r="C15" s="1039">
        <v>0.5</v>
      </c>
      <c r="D15" s="1039">
        <f t="shared" si="1"/>
        <v>0</v>
      </c>
      <c r="E15" s="1040">
        <f>0.7*D15</f>
        <v>0</v>
      </c>
      <c r="F15" s="1039">
        <f>0.3*D15</f>
        <v>0</v>
      </c>
      <c r="H15" s="1039"/>
    </row>
    <row r="16" spans="1:8" x14ac:dyDescent="0.25">
      <c r="A16" s="1037" t="s">
        <v>1000</v>
      </c>
      <c r="B16" s="1043">
        <v>1</v>
      </c>
      <c r="C16" s="1039">
        <v>0.5</v>
      </c>
      <c r="D16" s="1039">
        <f t="shared" si="1"/>
        <v>0</v>
      </c>
      <c r="F16" s="1039">
        <f>0.7*D16</f>
        <v>0</v>
      </c>
      <c r="G16" s="1039">
        <f>0.3*D16</f>
        <v>0</v>
      </c>
      <c r="H16" s="1039"/>
    </row>
    <row r="17" spans="1:8" ht="15.75" thickBot="1" x14ac:dyDescent="0.3">
      <c r="A17" s="1037" t="s">
        <v>1001</v>
      </c>
      <c r="B17" s="1043">
        <v>1</v>
      </c>
      <c r="C17" s="1052">
        <v>0.5</v>
      </c>
      <c r="D17" s="1039">
        <f t="shared" si="1"/>
        <v>0</v>
      </c>
      <c r="F17" s="1053">
        <f>0.7*D17</f>
        <v>0</v>
      </c>
      <c r="G17" s="1053">
        <f>0.3*D17</f>
        <v>0</v>
      </c>
      <c r="H17" s="1039"/>
    </row>
    <row r="18" spans="1:8" ht="26.25" thickBot="1" x14ac:dyDescent="0.3">
      <c r="A18" s="1037" t="s">
        <v>895</v>
      </c>
      <c r="B18" s="1039" t="s">
        <v>896</v>
      </c>
      <c r="C18" s="1039"/>
      <c r="D18" s="1058">
        <f>ROUNDUP(SUM(D10:D17)*0.1,1)</f>
        <v>0</v>
      </c>
      <c r="E18" s="1059"/>
      <c r="F18" s="1058">
        <f>D18*0.5</f>
        <v>0</v>
      </c>
      <c r="G18" s="1058">
        <f>D18*0.5</f>
        <v>0</v>
      </c>
      <c r="H18" s="1039"/>
    </row>
    <row r="19" spans="1:8" ht="26.25" thickBot="1" x14ac:dyDescent="0.3">
      <c r="A19" s="1070" t="s">
        <v>897</v>
      </c>
      <c r="B19" s="1053" t="s">
        <v>898</v>
      </c>
      <c r="C19" s="1053"/>
      <c r="D19" s="1058">
        <f>ROUNDUP(SUM(D12:D17)*0.1,1)</f>
        <v>0</v>
      </c>
      <c r="E19" s="1065"/>
      <c r="F19" s="1064">
        <f>D19*0.5</f>
        <v>0</v>
      </c>
      <c r="G19" s="1064">
        <f>D19*0.5</f>
        <v>0</v>
      </c>
      <c r="H19" s="1053"/>
    </row>
    <row r="20" spans="1:8" x14ac:dyDescent="0.25">
      <c r="A20" s="1067" t="s">
        <v>563</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899</v>
      </c>
      <c r="D22" s="1069"/>
      <c r="E22" s="1069"/>
      <c r="F22" s="1069"/>
      <c r="G22" s="1069"/>
      <c r="H22" s="1067"/>
    </row>
    <row r="23" spans="1:8" x14ac:dyDescent="0.25">
      <c r="A23" s="1067"/>
      <c r="B23" s="1067"/>
      <c r="C23" s="268" t="s">
        <v>900</v>
      </c>
      <c r="D23" s="268">
        <f>SUM(D6:D9)/8</f>
        <v>0</v>
      </c>
      <c r="E23" s="268">
        <f>ROUNDUP(SUM(E6:E9)/8,0)</f>
        <v>0</v>
      </c>
      <c r="F23" s="268">
        <f>ROUNDUP(SUM(F6:F9)/8,0)</f>
        <v>0</v>
      </c>
      <c r="G23" s="268">
        <f>ROUNDUP(SUM(G4:G9)/8,0)</f>
        <v>0</v>
      </c>
      <c r="H23" s="1067"/>
    </row>
    <row r="24" spans="1:8" x14ac:dyDescent="0.25">
      <c r="A24" s="1067"/>
      <c r="B24" s="1067"/>
      <c r="C24" s="63" t="s">
        <v>901</v>
      </c>
      <c r="D24" s="63">
        <f>SUM(D18:D18)/8</f>
        <v>0</v>
      </c>
      <c r="E24" s="63">
        <f>ROUNDUP(SUM(E18:E18)/8,0)</f>
        <v>0</v>
      </c>
      <c r="F24" s="63">
        <f>ROUNDUP(SUM(F18:F18)/8,0)</f>
        <v>0</v>
      </c>
      <c r="G24" s="63">
        <f>ROUNDUP(SUM(G18:G18)/8,0)</f>
        <v>0</v>
      </c>
      <c r="H24" s="1067"/>
    </row>
    <row r="25" spans="1:8" x14ac:dyDescent="0.25">
      <c r="A25" s="1067"/>
      <c r="B25" s="1067"/>
      <c r="C25" s="268" t="s">
        <v>902</v>
      </c>
      <c r="D25" s="268">
        <f>ROUNDUP(SUM(D19)/8,0)</f>
        <v>0</v>
      </c>
      <c r="E25" s="268">
        <f t="shared" ref="E25:G25" si="4">ROUNDUP(SUM(E19)/8,0)</f>
        <v>0</v>
      </c>
      <c r="F25" s="268">
        <f t="shared" si="4"/>
        <v>0</v>
      </c>
      <c r="G25" s="268">
        <f t="shared" si="4"/>
        <v>0</v>
      </c>
      <c r="H25" s="1067"/>
    </row>
    <row r="26" spans="1:8" x14ac:dyDescent="0.25">
      <c r="A26" s="1067"/>
      <c r="B26" s="1067"/>
      <c r="C26" s="63" t="s">
        <v>903</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ТрЗ_ОВ!E156</f>
        <v>0</v>
      </c>
      <c r="C2" s="1036"/>
      <c r="D2" s="1036"/>
      <c r="E2" s="1036"/>
      <c r="F2" s="1036"/>
      <c r="G2" s="1036"/>
      <c r="H2" s="1036"/>
    </row>
    <row r="3" spans="1:8" x14ac:dyDescent="0.25">
      <c r="A3" s="1037" t="s">
        <v>876</v>
      </c>
      <c r="B3" s="1038">
        <f>ТрЗ_ОВ!H156</f>
        <v>0</v>
      </c>
      <c r="C3" s="1039"/>
      <c r="D3" s="1039"/>
      <c r="E3" s="1039"/>
      <c r="F3" s="1039"/>
      <c r="G3" s="1039"/>
      <c r="H3" s="1039"/>
    </row>
    <row r="4" spans="1:8" x14ac:dyDescent="0.25">
      <c r="A4" s="1037" t="s">
        <v>970</v>
      </c>
      <c r="B4" s="1038">
        <f>ТрЗ_ОВ!J156</f>
        <v>0</v>
      </c>
      <c r="C4" s="1039"/>
      <c r="D4" s="1039"/>
      <c r="E4" s="1039"/>
      <c r="F4" s="1039"/>
      <c r="G4" s="1039"/>
      <c r="H4" s="1039"/>
    </row>
    <row r="5" spans="1:8" x14ac:dyDescent="0.25">
      <c r="A5" s="1037" t="s">
        <v>879</v>
      </c>
      <c r="B5" s="1038">
        <v>1</v>
      </c>
      <c r="C5" s="1040">
        <v>4</v>
      </c>
      <c r="D5" s="1039">
        <v>4</v>
      </c>
      <c r="E5" s="1040"/>
      <c r="F5" s="1039">
        <f>D5/8</f>
        <v>0.5</v>
      </c>
      <c r="G5" s="1040"/>
      <c r="H5" s="1039"/>
    </row>
    <row r="6" spans="1:8" x14ac:dyDescent="0.25">
      <c r="A6" s="1037" t="s">
        <v>880</v>
      </c>
      <c r="B6" s="1041" t="s">
        <v>881</v>
      </c>
      <c r="C6" s="1040">
        <f>SUM(C7:C10)</f>
        <v>4</v>
      </c>
      <c r="D6" s="1039">
        <f>C6*$B$3</f>
        <v>0</v>
      </c>
      <c r="E6" s="1040">
        <f>0.5*$D$10</f>
        <v>0</v>
      </c>
      <c r="F6" s="1040">
        <f>0.5*$D$10</f>
        <v>0</v>
      </c>
      <c r="G6" s="1040"/>
      <c r="H6" s="1039"/>
    </row>
    <row r="7" spans="1:8" x14ac:dyDescent="0.25">
      <c r="A7" s="1042" t="s">
        <v>882</v>
      </c>
      <c r="B7" s="1043">
        <v>1</v>
      </c>
      <c r="C7" s="1040">
        <v>1</v>
      </c>
      <c r="D7" s="1039">
        <f t="shared" ref="D7:D10" si="0">C7*$B$3</f>
        <v>0</v>
      </c>
      <c r="E7" s="1040"/>
      <c r="F7" s="1039"/>
      <c r="G7" s="1040"/>
      <c r="H7" s="1039"/>
    </row>
    <row r="8" spans="1:8" x14ac:dyDescent="0.25">
      <c r="A8" s="1042" t="s">
        <v>883</v>
      </c>
      <c r="B8" s="1043">
        <v>1</v>
      </c>
      <c r="C8" s="1040">
        <v>1</v>
      </c>
      <c r="D8" s="1039">
        <f t="shared" si="0"/>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37" t="s">
        <v>886</v>
      </c>
      <c r="B11" s="1043"/>
      <c r="C11" s="1039"/>
      <c r="D11" s="1039"/>
      <c r="E11" s="1039"/>
      <c r="F11" s="1039"/>
      <c r="G11" s="1039"/>
      <c r="H11" s="1039"/>
    </row>
    <row r="12" spans="1:8" x14ac:dyDescent="0.25">
      <c r="A12" s="1037" t="s">
        <v>887</v>
      </c>
      <c r="B12" s="1043"/>
      <c r="C12" s="1039"/>
      <c r="D12" s="1039"/>
      <c r="E12" s="1039"/>
      <c r="F12" s="1039"/>
      <c r="G12" s="1039"/>
      <c r="H12" s="1039"/>
    </row>
    <row r="13" spans="1:8" x14ac:dyDescent="0.25">
      <c r="A13" s="1042" t="s">
        <v>888</v>
      </c>
      <c r="B13" s="1043">
        <v>1</v>
      </c>
      <c r="C13" s="1039">
        <v>1</v>
      </c>
      <c r="D13" s="1121">
        <f>C13*$B$3</f>
        <v>0</v>
      </c>
      <c r="E13" s="1121">
        <f>0.5*D13</f>
        <v>0</v>
      </c>
      <c r="F13" s="1121">
        <f>0.5*D13</f>
        <v>0</v>
      </c>
      <c r="G13" s="1039"/>
      <c r="H13" s="1039"/>
    </row>
    <row r="14" spans="1:8" x14ac:dyDescent="0.25">
      <c r="A14" s="1042" t="s">
        <v>889</v>
      </c>
      <c r="B14" s="1043">
        <v>1</v>
      </c>
      <c r="C14" s="1039">
        <v>2</v>
      </c>
      <c r="D14" s="1121">
        <f t="shared" ref="D14:D19" si="1">C14*$B$3</f>
        <v>0</v>
      </c>
      <c r="E14" s="1121">
        <f t="shared" ref="E14:E19" si="2">0.5*D14</f>
        <v>0</v>
      </c>
      <c r="F14" s="1121">
        <f t="shared" ref="F14:F19" si="3">0.5*D14</f>
        <v>0</v>
      </c>
      <c r="G14" s="1039"/>
      <c r="H14" s="1039"/>
    </row>
    <row r="15" spans="1:8" x14ac:dyDescent="0.25">
      <c r="A15" s="1042" t="s">
        <v>968</v>
      </c>
      <c r="B15" s="1043">
        <v>1</v>
      </c>
      <c r="C15" s="1039">
        <v>1</v>
      </c>
      <c r="D15" s="1121">
        <f t="shared" si="1"/>
        <v>0</v>
      </c>
      <c r="E15" s="1121">
        <f>D15</f>
        <v>0</v>
      </c>
      <c r="F15" s="1121"/>
      <c r="G15" s="1039"/>
      <c r="H15" s="1039"/>
    </row>
    <row r="16" spans="1:8" x14ac:dyDescent="0.25">
      <c r="A16" s="1042" t="s">
        <v>971</v>
      </c>
      <c r="B16" s="1124">
        <f>IF(B4&gt;0,1,0)</f>
        <v>0</v>
      </c>
      <c r="C16" s="1047">
        <v>0.25</v>
      </c>
      <c r="D16" s="1121">
        <f>IF(B16=1,C16*$B$4,0)</f>
        <v>0</v>
      </c>
      <c r="E16" s="1121">
        <f t="shared" si="2"/>
        <v>0</v>
      </c>
      <c r="F16" s="1121">
        <f t="shared" si="3"/>
        <v>0</v>
      </c>
      <c r="G16" s="1039"/>
      <c r="H16" s="1039"/>
    </row>
    <row r="17" spans="1:8" x14ac:dyDescent="0.25">
      <c r="A17" s="1042" t="s">
        <v>972</v>
      </c>
      <c r="B17" s="1043">
        <v>1</v>
      </c>
      <c r="C17" s="1047">
        <v>2</v>
      </c>
      <c r="D17" s="1121">
        <f>C17*$B$3</f>
        <v>0</v>
      </c>
      <c r="E17" s="1121">
        <f t="shared" si="2"/>
        <v>0</v>
      </c>
      <c r="F17" s="1121">
        <f t="shared" si="3"/>
        <v>0</v>
      </c>
      <c r="G17" s="1073"/>
      <c r="H17" s="1073"/>
    </row>
    <row r="18" spans="1:8" x14ac:dyDescent="0.25">
      <c r="A18" s="1042" t="s">
        <v>973</v>
      </c>
      <c r="B18" s="1043">
        <v>1</v>
      </c>
      <c r="C18" s="1047">
        <v>8</v>
      </c>
      <c r="D18" s="1121">
        <f t="shared" si="1"/>
        <v>0</v>
      </c>
      <c r="E18" s="1121">
        <f t="shared" si="2"/>
        <v>0</v>
      </c>
      <c r="F18" s="1121">
        <f t="shared" si="3"/>
        <v>0</v>
      </c>
      <c r="G18" s="1073"/>
      <c r="H18" s="1073"/>
    </row>
    <row r="19" spans="1:8" x14ac:dyDescent="0.25">
      <c r="A19" s="1042" t="s">
        <v>974</v>
      </c>
      <c r="B19" s="1043">
        <v>1</v>
      </c>
      <c r="C19" s="1047">
        <v>40</v>
      </c>
      <c r="D19" s="1121">
        <f t="shared" si="1"/>
        <v>0</v>
      </c>
      <c r="E19" s="1121">
        <f t="shared" si="2"/>
        <v>0</v>
      </c>
      <c r="F19" s="1121">
        <f t="shared" si="3"/>
        <v>0</v>
      </c>
      <c r="G19" s="1073"/>
      <c r="H19" s="1073"/>
    </row>
    <row r="20" spans="1:8" ht="25.5" x14ac:dyDescent="0.25">
      <c r="A20" s="1037" t="s">
        <v>895</v>
      </c>
      <c r="B20" s="1039" t="s">
        <v>896</v>
      </c>
      <c r="C20" s="1039"/>
      <c r="D20" s="1122">
        <f>SUM(D13:D19)*0.1</f>
        <v>0</v>
      </c>
      <c r="E20" s="1123"/>
      <c r="F20" s="1121">
        <f>0.5*D20</f>
        <v>0</v>
      </c>
      <c r="G20" s="1121">
        <f>0.5*D20</f>
        <v>0</v>
      </c>
      <c r="H20" s="1039"/>
    </row>
    <row r="21" spans="1:8" ht="26.25" thickBot="1" x14ac:dyDescent="0.3">
      <c r="A21" s="1070" t="s">
        <v>897</v>
      </c>
      <c r="B21" s="1053" t="s">
        <v>898</v>
      </c>
      <c r="C21" s="1053"/>
      <c r="D21" s="1122">
        <f>SUM(D13:D19)*0.1</f>
        <v>0</v>
      </c>
      <c r="E21" s="1123"/>
      <c r="F21" s="1121">
        <f>0.5*D21</f>
        <v>0</v>
      </c>
      <c r="G21" s="1121">
        <f>0.5*D21</f>
        <v>0</v>
      </c>
      <c r="H21" s="1053"/>
    </row>
    <row r="22" spans="1:8" x14ac:dyDescent="0.25">
      <c r="A22" s="1067" t="s">
        <v>563</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899</v>
      </c>
      <c r="D24" s="1069"/>
      <c r="E24" s="1069"/>
      <c r="F24" s="1069"/>
      <c r="G24" s="1069"/>
      <c r="H24" s="1067"/>
    </row>
    <row r="25" spans="1:8" x14ac:dyDescent="0.25">
      <c r="A25" s="1067"/>
      <c r="B25" s="1067"/>
      <c r="C25" s="268" t="s">
        <v>900</v>
      </c>
      <c r="D25" s="268">
        <f>SUM(D7:D10)/8</f>
        <v>0</v>
      </c>
      <c r="E25" s="268">
        <f>ROUNDUP(SUM(E7:E10)/8,0)</f>
        <v>0</v>
      </c>
      <c r="F25" s="268">
        <f>ROUNDUP(SUM(F7:F10)/8,0)</f>
        <v>0</v>
      </c>
      <c r="G25" s="268">
        <f>ROUNDUP(SUM(G5:G10)/8,0)</f>
        <v>0</v>
      </c>
      <c r="H25" s="1067"/>
    </row>
    <row r="26" spans="1:8" x14ac:dyDescent="0.25">
      <c r="A26" s="1067"/>
      <c r="B26" s="1067"/>
      <c r="C26" s="63" t="s">
        <v>901</v>
      </c>
      <c r="D26" s="63">
        <f>SUM(D16:D20)/8</f>
        <v>0</v>
      </c>
      <c r="E26" s="63">
        <f>ROUNDUP(SUM(E16:E20)/8,0)</f>
        <v>0</v>
      </c>
      <c r="F26" s="63">
        <f>ROUNDUP(SUM(F16:F20)/8,0)</f>
        <v>0</v>
      </c>
      <c r="G26" s="63">
        <f>ROUNDUP(SUM(G16:G20)/8,0)</f>
        <v>0</v>
      </c>
      <c r="H26" s="1067"/>
    </row>
    <row r="27" spans="1:8" x14ac:dyDescent="0.25">
      <c r="A27" s="1067"/>
      <c r="B27" s="1067"/>
      <c r="C27" s="268" t="s">
        <v>902</v>
      </c>
      <c r="D27" s="268">
        <f>ROUNDUP(SUM(D21)/8,0)</f>
        <v>0</v>
      </c>
      <c r="E27" s="268">
        <f t="shared" ref="E27:G27" si="4">ROUNDUP(SUM(E21)/8,0)</f>
        <v>0</v>
      </c>
      <c r="F27" s="268">
        <f t="shared" si="4"/>
        <v>0</v>
      </c>
      <c r="G27" s="268">
        <f t="shared" si="4"/>
        <v>0</v>
      </c>
      <c r="H27" s="1067"/>
    </row>
    <row r="28" spans="1:8" x14ac:dyDescent="0.25">
      <c r="A28" s="1067"/>
      <c r="B28" s="1067"/>
      <c r="C28" s="63" t="s">
        <v>903</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ТрЗ_ОВ!E157</f>
        <v>0</v>
      </c>
      <c r="C2" s="1036"/>
      <c r="D2" s="1036"/>
      <c r="E2" s="1036"/>
      <c r="F2" s="1036"/>
      <c r="G2" s="1036"/>
      <c r="H2" s="1036"/>
    </row>
    <row r="3" spans="1:8" x14ac:dyDescent="0.25">
      <c r="A3" s="1037" t="s">
        <v>876</v>
      </c>
      <c r="B3" s="1035">
        <v>1</v>
      </c>
      <c r="C3" s="1036"/>
      <c r="D3" s="1036"/>
      <c r="E3" s="1036"/>
      <c r="F3" s="1036"/>
      <c r="G3" s="1036"/>
      <c r="H3" s="1036"/>
    </row>
    <row r="4" spans="1:8" x14ac:dyDescent="0.25">
      <c r="A4" s="1034" t="s">
        <v>975</v>
      </c>
      <c r="B4" s="1035">
        <v>100</v>
      </c>
      <c r="C4" s="1036"/>
      <c r="D4" s="1036"/>
      <c r="E4" s="1036"/>
      <c r="F4" s="1036"/>
      <c r="G4" s="1036"/>
      <c r="H4" s="1036"/>
    </row>
    <row r="5" spans="1:8" x14ac:dyDescent="0.25">
      <c r="A5" s="1037" t="s">
        <v>879</v>
      </c>
      <c r="B5" s="1038">
        <v>1</v>
      </c>
      <c r="C5" s="1040">
        <v>4</v>
      </c>
      <c r="D5" s="1039">
        <v>4</v>
      </c>
      <c r="E5" s="1040"/>
      <c r="F5" s="1039">
        <f>D5/8</f>
        <v>0.5</v>
      </c>
      <c r="G5" s="1040"/>
      <c r="H5" s="1039"/>
    </row>
    <row r="6" spans="1:8" x14ac:dyDescent="0.25">
      <c r="A6" s="1037" t="s">
        <v>880</v>
      </c>
      <c r="B6" s="1041" t="s">
        <v>881</v>
      </c>
      <c r="C6" s="1040">
        <f>SUM(C7:C10)</f>
        <v>4</v>
      </c>
      <c r="D6" s="1039">
        <f>C6*$B$3</f>
        <v>4</v>
      </c>
      <c r="E6" s="1040">
        <f>0.5*$D$6</f>
        <v>2</v>
      </c>
      <c r="F6" s="1040">
        <f>0.5*$D$6</f>
        <v>2</v>
      </c>
      <c r="G6" s="1040"/>
      <c r="H6" s="1039"/>
    </row>
    <row r="7" spans="1:8" x14ac:dyDescent="0.25">
      <c r="A7" s="1042" t="s">
        <v>882</v>
      </c>
      <c r="B7" s="1043">
        <v>1</v>
      </c>
      <c r="C7" s="1040">
        <v>1</v>
      </c>
      <c r="D7" s="1039">
        <f t="shared" ref="D7:D10" si="0">C7*$B$3</f>
        <v>1</v>
      </c>
      <c r="E7" s="1040"/>
      <c r="F7" s="1039"/>
      <c r="G7" s="1040"/>
      <c r="H7" s="1039"/>
    </row>
    <row r="8" spans="1:8" x14ac:dyDescent="0.25">
      <c r="A8" s="1042" t="s">
        <v>883</v>
      </c>
      <c r="B8" s="1043">
        <v>1</v>
      </c>
      <c r="C8" s="1040">
        <v>1</v>
      </c>
      <c r="D8" s="1039">
        <f t="shared" si="0"/>
        <v>1</v>
      </c>
      <c r="E8" s="1040"/>
      <c r="F8" s="1039"/>
      <c r="G8" s="1040"/>
      <c r="H8" s="1039"/>
    </row>
    <row r="9" spans="1:8" x14ac:dyDescent="0.25">
      <c r="A9" s="1042" t="s">
        <v>884</v>
      </c>
      <c r="B9" s="1043">
        <v>1</v>
      </c>
      <c r="C9" s="1040">
        <v>1</v>
      </c>
      <c r="D9" s="1039">
        <f t="shared" si="0"/>
        <v>1</v>
      </c>
      <c r="E9" s="1040"/>
      <c r="F9" s="1039"/>
      <c r="G9" s="1040"/>
      <c r="H9" s="1039"/>
    </row>
    <row r="10" spans="1:8" x14ac:dyDescent="0.25">
      <c r="A10" s="1042" t="s">
        <v>885</v>
      </c>
      <c r="B10" s="1043">
        <v>1</v>
      </c>
      <c r="C10" s="1040">
        <v>1</v>
      </c>
      <c r="D10" s="1039">
        <f t="shared" si="0"/>
        <v>1</v>
      </c>
      <c r="E10" s="1040"/>
      <c r="F10" s="1039"/>
      <c r="G10" s="1040"/>
      <c r="H10" s="1039"/>
    </row>
    <row r="11" spans="1:8" x14ac:dyDescent="0.25">
      <c r="A11" s="1037" t="s">
        <v>886</v>
      </c>
      <c r="B11" s="1043"/>
      <c r="C11" s="1039"/>
      <c r="D11" s="1039"/>
      <c r="E11" s="1039"/>
      <c r="F11" s="1039"/>
      <c r="G11" s="1039"/>
      <c r="H11" s="1039"/>
    </row>
    <row r="12" spans="1:8" x14ac:dyDescent="0.25">
      <c r="A12" s="1037" t="s">
        <v>887</v>
      </c>
      <c r="B12" s="1043"/>
      <c r="C12" s="1039"/>
      <c r="D12" s="1039"/>
      <c r="E12" s="1039"/>
      <c r="F12" s="1039"/>
      <c r="G12" s="1039"/>
      <c r="H12" s="1039"/>
    </row>
    <row r="13" spans="1:8" x14ac:dyDescent="0.25">
      <c r="A13" s="1042" t="s">
        <v>888</v>
      </c>
      <c r="B13" s="1043">
        <v>1</v>
      </c>
      <c r="C13" s="1039">
        <v>1</v>
      </c>
      <c r="D13" s="1039">
        <f>C13*$B$3</f>
        <v>1</v>
      </c>
      <c r="E13" s="1039">
        <f>0.5*$D13</f>
        <v>0.5</v>
      </c>
      <c r="F13" s="1039">
        <f>0.5*$D13</f>
        <v>0.5</v>
      </c>
      <c r="G13" s="1039"/>
      <c r="H13" s="1039"/>
    </row>
    <row r="14" spans="1:8" x14ac:dyDescent="0.25">
      <c r="A14" s="1042" t="s">
        <v>968</v>
      </c>
      <c r="B14" s="1043">
        <v>1</v>
      </c>
      <c r="C14" s="1039">
        <v>0.25</v>
      </c>
      <c r="D14" s="1039">
        <f t="shared" ref="D14:D17" si="1">C14*$B$3</f>
        <v>0.25</v>
      </c>
      <c r="E14" s="1039">
        <f t="shared" ref="E14:G17" si="2">0.5*$D14</f>
        <v>0.125</v>
      </c>
      <c r="F14" s="1039">
        <f t="shared" si="2"/>
        <v>0.125</v>
      </c>
      <c r="G14" s="1039"/>
      <c r="H14" s="1039"/>
    </row>
    <row r="15" spans="1:8" x14ac:dyDescent="0.25">
      <c r="A15" s="1042" t="s">
        <v>976</v>
      </c>
      <c r="B15" s="1043">
        <v>1</v>
      </c>
      <c r="C15" s="1039">
        <v>8</v>
      </c>
      <c r="D15" s="1039">
        <f t="shared" si="1"/>
        <v>8</v>
      </c>
      <c r="F15" s="1039">
        <f t="shared" si="2"/>
        <v>4</v>
      </c>
      <c r="G15" s="1039">
        <f t="shared" si="2"/>
        <v>4</v>
      </c>
      <c r="H15" s="1039"/>
    </row>
    <row r="16" spans="1:8" x14ac:dyDescent="0.25">
      <c r="A16" s="1042" t="s">
        <v>977</v>
      </c>
      <c r="B16" s="1043">
        <v>1</v>
      </c>
      <c r="C16" s="1047">
        <v>1</v>
      </c>
      <c r="D16" s="1039">
        <f>C16*$B$4</f>
        <v>100</v>
      </c>
      <c r="E16" s="1039">
        <f t="shared" si="2"/>
        <v>50</v>
      </c>
      <c r="F16" s="1039">
        <f t="shared" si="2"/>
        <v>50</v>
      </c>
      <c r="G16" s="1073"/>
      <c r="H16" s="1073"/>
    </row>
    <row r="17" spans="1:8" x14ac:dyDescent="0.25">
      <c r="A17" s="268" t="s">
        <v>890</v>
      </c>
      <c r="B17" s="1043">
        <v>1</v>
      </c>
      <c r="C17" s="1047">
        <v>2</v>
      </c>
      <c r="D17" s="1039">
        <f t="shared" si="1"/>
        <v>2</v>
      </c>
      <c r="E17" s="1039">
        <f t="shared" si="2"/>
        <v>1</v>
      </c>
      <c r="F17" s="1039">
        <f t="shared" si="2"/>
        <v>1</v>
      </c>
      <c r="G17" s="1073"/>
      <c r="H17" s="1073"/>
    </row>
    <row r="18" spans="1:8" ht="25.5" x14ac:dyDescent="0.25">
      <c r="A18" s="1037" t="s">
        <v>895</v>
      </c>
      <c r="B18" s="1039" t="s">
        <v>896</v>
      </c>
      <c r="C18" s="1039"/>
      <c r="D18" s="1122">
        <f>SUM(D10:D17)*0.1</f>
        <v>11.225000000000001</v>
      </c>
      <c r="E18" s="1123"/>
      <c r="F18" s="1121">
        <f>0.5*D18</f>
        <v>5.6125000000000007</v>
      </c>
      <c r="G18" s="1121">
        <f>0.5*D18</f>
        <v>5.6125000000000007</v>
      </c>
      <c r="H18" s="1039"/>
    </row>
    <row r="19" spans="1:8" ht="26.25" thickBot="1" x14ac:dyDescent="0.3">
      <c r="A19" s="1070" t="s">
        <v>897</v>
      </c>
      <c r="B19" s="1053" t="s">
        <v>898</v>
      </c>
      <c r="C19" s="1053"/>
      <c r="D19" s="1122">
        <f>SUM(D10:D17)*0.1</f>
        <v>11.225000000000001</v>
      </c>
      <c r="E19" s="1123"/>
      <c r="F19" s="1121">
        <f>0.5*D19</f>
        <v>5.6125000000000007</v>
      </c>
      <c r="G19" s="1121">
        <f>0.5*D19</f>
        <v>5.6125000000000007</v>
      </c>
      <c r="H19" s="1053"/>
    </row>
    <row r="20" spans="1:8" x14ac:dyDescent="0.25">
      <c r="A20" s="1067" t="s">
        <v>563</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899</v>
      </c>
      <c r="D22" s="1069"/>
      <c r="E22" s="1069"/>
      <c r="F22" s="1069"/>
      <c r="G22" s="1069"/>
      <c r="H22" s="1067"/>
    </row>
    <row r="23" spans="1:8" x14ac:dyDescent="0.25">
      <c r="A23" s="1067"/>
      <c r="B23" s="1067"/>
      <c r="C23" s="268" t="s">
        <v>900</v>
      </c>
      <c r="D23" s="268">
        <f>SUM(D7:D10)/8</f>
        <v>0.5</v>
      </c>
      <c r="E23" s="268">
        <f>ROUNDUP(SUM(E7:E10)/8,0)</f>
        <v>0</v>
      </c>
      <c r="F23" s="268">
        <f>ROUNDUP(SUM(F7:F10)/8,0)</f>
        <v>0</v>
      </c>
      <c r="G23" s="268">
        <f>ROUNDUP(SUM(G5:G10)/8,0)</f>
        <v>0</v>
      </c>
      <c r="H23" s="1067"/>
    </row>
    <row r="24" spans="1:8" x14ac:dyDescent="0.25">
      <c r="A24" s="1067"/>
      <c r="B24" s="1067"/>
      <c r="C24" s="63" t="s">
        <v>901</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902</v>
      </c>
      <c r="D25" s="268">
        <f>ROUNDUP(SUM(D19)/8,0)</f>
        <v>2</v>
      </c>
      <c r="E25" s="268">
        <f t="shared" ref="E25:G25" si="4">ROUNDUP(SUM(E19)/8,0)</f>
        <v>0</v>
      </c>
      <c r="F25" s="268">
        <f t="shared" si="4"/>
        <v>1</v>
      </c>
      <c r="G25" s="268">
        <f t="shared" si="4"/>
        <v>1</v>
      </c>
      <c r="H25" s="1067"/>
    </row>
    <row r="26" spans="1:8" x14ac:dyDescent="0.25">
      <c r="A26" s="1067"/>
      <c r="B26" s="1067"/>
      <c r="C26" s="63" t="s">
        <v>903</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ТрЗ_ОВ!E158</f>
        <v>0</v>
      </c>
      <c r="C2" s="1036"/>
      <c r="D2" s="1125"/>
      <c r="E2" s="1125"/>
      <c r="F2" s="1125"/>
      <c r="G2" s="1125"/>
      <c r="H2" s="1036"/>
    </row>
    <row r="3" spans="1:8" x14ac:dyDescent="0.25">
      <c r="A3" s="1037" t="s">
        <v>876</v>
      </c>
      <c r="B3" s="1038">
        <f>ТрЗ_ОВ!H158</f>
        <v>0</v>
      </c>
      <c r="C3" s="1039"/>
      <c r="D3" s="1121"/>
      <c r="E3" s="1121"/>
      <c r="F3" s="1121"/>
      <c r="G3" s="1121"/>
      <c r="H3" s="1039"/>
    </row>
    <row r="4" spans="1:8" x14ac:dyDescent="0.25">
      <c r="A4" s="1037" t="s">
        <v>904</v>
      </c>
      <c r="B4" s="1038">
        <f>ТрЗ_ОВ!J158</f>
        <v>0</v>
      </c>
      <c r="C4" s="1039"/>
      <c r="D4" s="1121"/>
      <c r="E4" s="1121"/>
      <c r="F4" s="1121"/>
      <c r="G4" s="1121"/>
      <c r="H4" s="1039"/>
    </row>
    <row r="5" spans="1:8" x14ac:dyDescent="0.25">
      <c r="A5" s="1037" t="s">
        <v>879</v>
      </c>
      <c r="B5" s="1038">
        <v>1</v>
      </c>
      <c r="C5" s="1040">
        <v>4</v>
      </c>
      <c r="D5" s="1039">
        <v>4</v>
      </c>
      <c r="E5" s="1040"/>
      <c r="F5" s="1039">
        <f>D5/8</f>
        <v>0.5</v>
      </c>
      <c r="G5" s="1040"/>
      <c r="H5" s="1039"/>
    </row>
    <row r="6" spans="1:8" x14ac:dyDescent="0.25">
      <c r="A6" s="1037" t="s">
        <v>880</v>
      </c>
      <c r="B6" s="1041" t="s">
        <v>881</v>
      </c>
      <c r="C6" s="1040">
        <f>SUM(C7:C10)</f>
        <v>4</v>
      </c>
      <c r="D6" s="1039">
        <f>C6*$B$3</f>
        <v>0</v>
      </c>
      <c r="E6" s="1040">
        <f>0.5*$D$10</f>
        <v>0</v>
      </c>
      <c r="F6" s="1040">
        <f>0.5*$D$10</f>
        <v>0</v>
      </c>
      <c r="G6" s="1040"/>
      <c r="H6" s="1039"/>
    </row>
    <row r="7" spans="1:8" x14ac:dyDescent="0.25">
      <c r="A7" s="1042" t="s">
        <v>882</v>
      </c>
      <c r="B7" s="1043">
        <v>1</v>
      </c>
      <c r="C7" s="1040">
        <v>1</v>
      </c>
      <c r="D7" s="1039">
        <f t="shared" ref="D7:D10" si="0">C7*$B$3</f>
        <v>0</v>
      </c>
      <c r="E7" s="1040"/>
      <c r="F7" s="1039"/>
      <c r="G7" s="1040"/>
      <c r="H7" s="1039"/>
    </row>
    <row r="8" spans="1:8" x14ac:dyDescent="0.25">
      <c r="A8" s="1042" t="s">
        <v>883</v>
      </c>
      <c r="B8" s="1043">
        <v>1</v>
      </c>
      <c r="C8" s="1040">
        <v>1</v>
      </c>
      <c r="D8" s="1039">
        <f t="shared" si="0"/>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37" t="s">
        <v>886</v>
      </c>
      <c r="B11" s="1043"/>
      <c r="C11" s="1039"/>
      <c r="D11" s="1121"/>
      <c r="E11" s="1121"/>
      <c r="F11" s="1121"/>
      <c r="G11" s="1121"/>
      <c r="H11" s="1039"/>
    </row>
    <row r="12" spans="1:8" x14ac:dyDescent="0.25">
      <c r="A12" s="1037" t="s">
        <v>887</v>
      </c>
      <c r="B12" s="1043"/>
      <c r="C12" s="1039"/>
      <c r="D12" s="1121"/>
      <c r="E12" s="1121"/>
      <c r="F12" s="1121"/>
      <c r="G12" s="1121"/>
      <c r="H12" s="1039"/>
    </row>
    <row r="13" spans="1:8" x14ac:dyDescent="0.25">
      <c r="A13" s="1042" t="s">
        <v>888</v>
      </c>
      <c r="B13" s="1043">
        <v>1</v>
      </c>
      <c r="C13" s="1039">
        <v>1</v>
      </c>
      <c r="D13" s="1121">
        <f>C13*$B$3</f>
        <v>0</v>
      </c>
      <c r="E13" s="1121">
        <f>0.5*D13</f>
        <v>0</v>
      </c>
      <c r="F13" s="1121">
        <f>0.5*D13</f>
        <v>0</v>
      </c>
      <c r="G13" s="1121"/>
      <c r="H13" s="1039"/>
    </row>
    <row r="14" spans="1:8" x14ac:dyDescent="0.25">
      <c r="A14" s="1042" t="s">
        <v>889</v>
      </c>
      <c r="B14" s="1043">
        <v>1</v>
      </c>
      <c r="C14" s="1039">
        <v>2</v>
      </c>
      <c r="D14" s="1121">
        <f t="shared" ref="D14:D19" si="1">C14*$B$3</f>
        <v>0</v>
      </c>
      <c r="E14" s="1121">
        <f t="shared" ref="E14:E19" si="2">0.5*D14</f>
        <v>0</v>
      </c>
      <c r="F14" s="1121">
        <f t="shared" ref="F14:F19" si="3">0.5*D14</f>
        <v>0</v>
      </c>
      <c r="G14" s="1121"/>
      <c r="H14" s="1039"/>
    </row>
    <row r="15" spans="1:8" x14ac:dyDescent="0.25">
      <c r="A15" s="1042" t="s">
        <v>968</v>
      </c>
      <c r="B15" s="1043">
        <v>1</v>
      </c>
      <c r="C15" s="1039">
        <v>0.25</v>
      </c>
      <c r="D15" s="1121">
        <f t="shared" si="1"/>
        <v>0</v>
      </c>
      <c r="E15" s="1121">
        <f>D15</f>
        <v>0</v>
      </c>
      <c r="F15" s="1121"/>
      <c r="G15" s="1121"/>
      <c r="H15" s="1039"/>
    </row>
    <row r="16" spans="1:8" x14ac:dyDescent="0.25">
      <c r="A16" s="1042" t="s">
        <v>978</v>
      </c>
      <c r="B16" s="1124">
        <v>1</v>
      </c>
      <c r="C16" s="1047">
        <v>1</v>
      </c>
      <c r="D16" s="1121">
        <f t="shared" si="1"/>
        <v>0</v>
      </c>
      <c r="E16" s="1121">
        <f t="shared" si="2"/>
        <v>0</v>
      </c>
      <c r="F16" s="1121">
        <f t="shared" si="3"/>
        <v>0</v>
      </c>
      <c r="G16" s="1121"/>
      <c r="H16" s="1039"/>
    </row>
    <row r="17" spans="1:8" x14ac:dyDescent="0.25">
      <c r="A17" s="1042" t="s">
        <v>979</v>
      </c>
      <c r="B17" s="1124">
        <v>1</v>
      </c>
      <c r="C17" s="1047">
        <v>0.25</v>
      </c>
      <c r="D17" s="1121">
        <f>C17*$B$4</f>
        <v>0</v>
      </c>
      <c r="E17" s="1121">
        <f t="shared" si="2"/>
        <v>0</v>
      </c>
      <c r="F17" s="1121">
        <f t="shared" si="3"/>
        <v>0</v>
      </c>
      <c r="G17" s="1121"/>
      <c r="H17" s="1039"/>
    </row>
    <row r="18" spans="1:8" x14ac:dyDescent="0.25">
      <c r="A18" s="1042" t="s">
        <v>972</v>
      </c>
      <c r="B18" s="1043">
        <v>1</v>
      </c>
      <c r="C18" s="1047">
        <v>2</v>
      </c>
      <c r="D18" s="1121">
        <f t="shared" si="1"/>
        <v>0</v>
      </c>
      <c r="E18" s="1121">
        <f t="shared" si="2"/>
        <v>0</v>
      </c>
      <c r="F18" s="1121">
        <f t="shared" si="3"/>
        <v>0</v>
      </c>
      <c r="G18" s="1126"/>
      <c r="H18" s="1073"/>
    </row>
    <row r="19" spans="1:8" x14ac:dyDescent="0.25">
      <c r="A19" s="1042" t="s">
        <v>973</v>
      </c>
      <c r="B19" s="1043">
        <v>1</v>
      </c>
      <c r="C19" s="1047">
        <v>8</v>
      </c>
      <c r="D19" s="1121">
        <f t="shared" si="1"/>
        <v>0</v>
      </c>
      <c r="E19" s="1121">
        <f t="shared" si="2"/>
        <v>0</v>
      </c>
      <c r="F19" s="1121">
        <f t="shared" si="3"/>
        <v>0</v>
      </c>
      <c r="G19" s="1121"/>
      <c r="H19" s="1039"/>
    </row>
    <row r="20" spans="1:8" ht="25.5" x14ac:dyDescent="0.25">
      <c r="A20" s="1037" t="s">
        <v>895</v>
      </c>
      <c r="B20" s="1039" t="s">
        <v>896</v>
      </c>
      <c r="C20" s="1039"/>
      <c r="D20" s="1122">
        <f>SUM(D6:D19)*0.1</f>
        <v>0</v>
      </c>
      <c r="E20" s="1123"/>
      <c r="F20" s="1121">
        <f>0.5*D20</f>
        <v>0</v>
      </c>
      <c r="G20" s="1121">
        <f>0.5*D20</f>
        <v>0</v>
      </c>
      <c r="H20" s="1067"/>
    </row>
    <row r="21" spans="1:8" ht="26.25" thickBot="1" x14ac:dyDescent="0.3">
      <c r="A21" s="1070" t="s">
        <v>897</v>
      </c>
      <c r="B21" s="1053" t="s">
        <v>898</v>
      </c>
      <c r="C21" s="1053"/>
      <c r="D21" s="1122">
        <f>SUM(D6:D20)*0.1</f>
        <v>0</v>
      </c>
      <c r="E21" s="1123"/>
      <c r="F21" s="1121">
        <f>0.5*D21</f>
        <v>0</v>
      </c>
      <c r="G21" s="1121">
        <f>0.5*D21</f>
        <v>0</v>
      </c>
      <c r="H21" s="1067"/>
    </row>
    <row r="22" spans="1:8" x14ac:dyDescent="0.25">
      <c r="A22" s="1067" t="s">
        <v>563</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899</v>
      </c>
      <c r="D24" s="1069"/>
      <c r="E24" s="1069"/>
      <c r="F24" s="1069"/>
      <c r="G24" s="1069"/>
    </row>
    <row r="25" spans="1:8" x14ac:dyDescent="0.25">
      <c r="A25" s="1067"/>
      <c r="B25" s="1067"/>
      <c r="C25" s="268" t="s">
        <v>900</v>
      </c>
      <c r="D25" s="1127">
        <f>SUM(D6)/8</f>
        <v>0</v>
      </c>
      <c r="E25" s="1127">
        <f t="shared" ref="E25:G25" si="5">SUM(E6)/8</f>
        <v>0</v>
      </c>
      <c r="F25" s="1127">
        <f t="shared" si="5"/>
        <v>0</v>
      </c>
      <c r="G25" s="1127">
        <f t="shared" si="5"/>
        <v>0</v>
      </c>
    </row>
    <row r="26" spans="1:8" x14ac:dyDescent="0.25">
      <c r="A26" s="1067"/>
      <c r="B26" s="1067"/>
      <c r="C26" s="63" t="s">
        <v>901</v>
      </c>
      <c r="D26" s="1122">
        <f>SUM(D13:D20)/8</f>
        <v>0</v>
      </c>
      <c r="E26" s="1122">
        <f t="shared" ref="E26:G26" si="6">SUM(E13:E20)/8</f>
        <v>0</v>
      </c>
      <c r="F26" s="1122">
        <f t="shared" si="6"/>
        <v>0</v>
      </c>
      <c r="G26" s="1122">
        <f t="shared" si="6"/>
        <v>0</v>
      </c>
    </row>
    <row r="27" spans="1:8" x14ac:dyDescent="0.25">
      <c r="A27" s="1067"/>
      <c r="B27" s="1067"/>
      <c r="C27" s="268" t="s">
        <v>902</v>
      </c>
      <c r="D27" s="1127">
        <f>ROUNDUP(SUM(D21)/8,0)</f>
        <v>0</v>
      </c>
      <c r="E27" s="1127">
        <f t="shared" ref="E27:G28" si="7">ROUNDUP(SUM(E21)/8,0)</f>
        <v>0</v>
      </c>
      <c r="F27" s="1127">
        <f t="shared" si="7"/>
        <v>0</v>
      </c>
      <c r="G27" s="1127">
        <f t="shared" si="7"/>
        <v>0</v>
      </c>
    </row>
    <row r="28" spans="1:8" x14ac:dyDescent="0.25">
      <c r="A28" s="1067"/>
      <c r="B28" s="1067"/>
      <c r="C28" s="63" t="s">
        <v>903</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ТрЗ_ОВ!E153</f>
        <v>0</v>
      </c>
      <c r="C2" s="1036"/>
      <c r="D2" s="1036"/>
      <c r="E2" s="1036"/>
      <c r="F2" s="1036"/>
      <c r="G2" s="1036"/>
      <c r="H2" s="1036"/>
    </row>
    <row r="3" spans="1:8" x14ac:dyDescent="0.25">
      <c r="A3" s="1037" t="s">
        <v>980</v>
      </c>
      <c r="B3" s="1038">
        <f>ТрЗ_ОВ!H153</f>
        <v>0</v>
      </c>
      <c r="C3" s="1039"/>
      <c r="D3" s="1039"/>
      <c r="E3" s="1039"/>
      <c r="F3" s="1039"/>
      <c r="G3" s="1039"/>
      <c r="H3" s="1039"/>
    </row>
    <row r="4" spans="1:8" x14ac:dyDescent="0.25">
      <c r="A4" s="1037" t="s">
        <v>981</v>
      </c>
      <c r="B4" s="1038">
        <f>ТрЗ_ОВ!J153</f>
        <v>0</v>
      </c>
      <c r="C4" s="1039"/>
      <c r="D4" s="1039"/>
      <c r="E4" s="1039"/>
      <c r="F4" s="1039"/>
      <c r="G4" s="1039"/>
      <c r="H4" s="1039"/>
    </row>
    <row r="5" spans="1:8" x14ac:dyDescent="0.25">
      <c r="A5" s="1037" t="s">
        <v>982</v>
      </c>
      <c r="B5" s="1038">
        <f>ТрЗ_ОВ!M153</f>
        <v>0</v>
      </c>
      <c r="C5" s="1039"/>
      <c r="D5" s="1039"/>
      <c r="E5" s="1039"/>
      <c r="F5" s="1039"/>
      <c r="G5" s="1039"/>
      <c r="H5" s="1039"/>
    </row>
    <row r="6" spans="1:8" x14ac:dyDescent="0.25">
      <c r="A6" s="1037" t="s">
        <v>983</v>
      </c>
      <c r="B6" s="1038">
        <f>ТрЗ_ОВ!O153</f>
        <v>0</v>
      </c>
      <c r="C6" s="1039"/>
      <c r="D6" s="1039"/>
      <c r="E6" s="1039"/>
      <c r="F6" s="1039"/>
      <c r="G6" s="1039"/>
      <c r="H6" s="1039"/>
    </row>
    <row r="7" spans="1:8" x14ac:dyDescent="0.25">
      <c r="A7" s="1037" t="s">
        <v>879</v>
      </c>
      <c r="B7" s="1038">
        <v>1</v>
      </c>
      <c r="C7" s="1040">
        <v>4</v>
      </c>
      <c r="D7" s="1039">
        <v>4</v>
      </c>
      <c r="E7" s="1040"/>
      <c r="F7" s="1039">
        <f>D7/8</f>
        <v>0.5</v>
      </c>
      <c r="G7" s="1040"/>
      <c r="H7" s="1039"/>
    </row>
    <row r="8" spans="1:8" x14ac:dyDescent="0.25">
      <c r="A8" s="1037" t="s">
        <v>880</v>
      </c>
      <c r="B8" s="1041" t="s">
        <v>881</v>
      </c>
      <c r="C8" s="1040">
        <f>SUM(C9:C12)</f>
        <v>4</v>
      </c>
      <c r="D8" s="1039">
        <f>C8*$B$3</f>
        <v>0</v>
      </c>
      <c r="E8" s="1040">
        <f>0.5*$D$10</f>
        <v>0</v>
      </c>
      <c r="F8" s="1040">
        <f>0.5*$D$10</f>
        <v>0</v>
      </c>
      <c r="G8" s="1040"/>
      <c r="H8" s="1039"/>
    </row>
    <row r="9" spans="1:8" x14ac:dyDescent="0.25">
      <c r="A9" s="1042" t="s">
        <v>882</v>
      </c>
      <c r="B9" s="1043">
        <v>1</v>
      </c>
      <c r="C9" s="1040">
        <v>1</v>
      </c>
      <c r="D9" s="1039">
        <f t="shared" ref="D9:D12" si="0">C9*$B$3</f>
        <v>0</v>
      </c>
      <c r="E9" s="1040"/>
      <c r="F9" s="1039"/>
      <c r="G9" s="1040"/>
      <c r="H9" s="1039"/>
    </row>
    <row r="10" spans="1:8" x14ac:dyDescent="0.25">
      <c r="A10" s="1042" t="s">
        <v>883</v>
      </c>
      <c r="B10" s="1043">
        <v>1</v>
      </c>
      <c r="C10" s="1040">
        <v>1</v>
      </c>
      <c r="D10" s="1039">
        <f t="shared" si="0"/>
        <v>0</v>
      </c>
      <c r="E10" s="1040"/>
      <c r="F10" s="1039"/>
      <c r="G10" s="1040"/>
      <c r="H10" s="1039"/>
    </row>
    <row r="11" spans="1:8" x14ac:dyDescent="0.25">
      <c r="A11" s="1042" t="s">
        <v>884</v>
      </c>
      <c r="B11" s="1043">
        <v>1</v>
      </c>
      <c r="C11" s="1040">
        <v>1</v>
      </c>
      <c r="D11" s="1039">
        <f t="shared" si="0"/>
        <v>0</v>
      </c>
      <c r="E11" s="1040"/>
      <c r="F11" s="1039"/>
      <c r="G11" s="1040"/>
      <c r="H11" s="1039"/>
    </row>
    <row r="12" spans="1:8" x14ac:dyDescent="0.25">
      <c r="A12" s="1042" t="s">
        <v>885</v>
      </c>
      <c r="B12" s="1043">
        <v>1</v>
      </c>
      <c r="C12" s="1040">
        <v>1</v>
      </c>
      <c r="D12" s="1039">
        <f t="shared" si="0"/>
        <v>0</v>
      </c>
      <c r="E12" s="1040"/>
      <c r="F12" s="1039"/>
      <c r="G12" s="1040"/>
      <c r="H12" s="1039"/>
    </row>
    <row r="13" spans="1:8" x14ac:dyDescent="0.25">
      <c r="A13" s="1037" t="s">
        <v>886</v>
      </c>
      <c r="B13" s="1043"/>
      <c r="C13" s="1039"/>
      <c r="D13" s="1039"/>
      <c r="E13" s="1039"/>
      <c r="F13" s="1039"/>
      <c r="G13" s="1039"/>
      <c r="H13" s="1039"/>
    </row>
    <row r="14" spans="1:8" x14ac:dyDescent="0.25">
      <c r="A14" s="1037" t="s">
        <v>887</v>
      </c>
      <c r="B14" s="1043"/>
      <c r="C14" s="1039"/>
      <c r="D14" s="1039"/>
      <c r="E14" s="1039"/>
      <c r="F14" s="1039"/>
      <c r="G14" s="1039"/>
      <c r="H14" s="1039"/>
    </row>
    <row r="15" spans="1:8" x14ac:dyDescent="0.25">
      <c r="A15" s="1042" t="s">
        <v>888</v>
      </c>
      <c r="B15" s="1043">
        <v>1</v>
      </c>
      <c r="C15" s="1039">
        <v>1</v>
      </c>
      <c r="D15" s="1039">
        <f>C15*$B$3</f>
        <v>0</v>
      </c>
      <c r="E15" s="1039">
        <f>$D15*0.5</f>
        <v>0</v>
      </c>
      <c r="F15" s="1039">
        <f>$D15*0.5</f>
        <v>0</v>
      </c>
      <c r="G15" s="1039"/>
      <c r="H15" s="1039"/>
    </row>
    <row r="16" spans="1:8" x14ac:dyDescent="0.25">
      <c r="A16" s="1042" t="s">
        <v>984</v>
      </c>
      <c r="B16" s="1043">
        <v>1</v>
      </c>
      <c r="C16" s="1039">
        <v>1</v>
      </c>
      <c r="D16" s="1039">
        <f t="shared" ref="D16:D18" si="1">C16*$B$3</f>
        <v>0</v>
      </c>
      <c r="E16" s="1039">
        <f t="shared" ref="E16:G26" si="2">$D16*0.5</f>
        <v>0</v>
      </c>
      <c r="F16" s="1039">
        <f t="shared" si="2"/>
        <v>0</v>
      </c>
      <c r="G16" s="1039"/>
      <c r="H16" s="1039"/>
    </row>
    <row r="17" spans="1:8" x14ac:dyDescent="0.25">
      <c r="A17" s="1042" t="s">
        <v>985</v>
      </c>
      <c r="B17" s="1043">
        <v>1</v>
      </c>
      <c r="C17" s="1039">
        <v>0.5</v>
      </c>
      <c r="D17" s="1039">
        <f t="shared" si="1"/>
        <v>0</v>
      </c>
      <c r="E17" s="1039">
        <f t="shared" si="2"/>
        <v>0</v>
      </c>
      <c r="F17" s="1039">
        <f t="shared" si="2"/>
        <v>0</v>
      </c>
      <c r="G17" s="1039"/>
      <c r="H17" s="1039"/>
    </row>
    <row r="18" spans="1:8" x14ac:dyDescent="0.25">
      <c r="A18" s="1042" t="s">
        <v>986</v>
      </c>
      <c r="B18" s="1043">
        <v>1</v>
      </c>
      <c r="C18" s="1039">
        <v>0.25</v>
      </c>
      <c r="D18" s="1039">
        <f t="shared" si="1"/>
        <v>0</v>
      </c>
      <c r="E18" s="1039">
        <f t="shared" si="2"/>
        <v>0</v>
      </c>
      <c r="F18" s="1039">
        <f t="shared" si="2"/>
        <v>0</v>
      </c>
      <c r="G18" s="1039"/>
      <c r="H18" s="1039"/>
    </row>
    <row r="19" spans="1:8" x14ac:dyDescent="0.25">
      <c r="A19" s="1042" t="s">
        <v>894</v>
      </c>
      <c r="B19" s="1043">
        <v>1</v>
      </c>
      <c r="C19" s="1039">
        <v>0.25</v>
      </c>
      <c r="D19" s="1039">
        <f>C19</f>
        <v>0.25</v>
      </c>
      <c r="E19" s="1039">
        <f t="shared" si="2"/>
        <v>0.125</v>
      </c>
      <c r="F19" s="1039">
        <f t="shared" si="2"/>
        <v>0.125</v>
      </c>
      <c r="G19" s="1039"/>
      <c r="H19" s="1039"/>
    </row>
    <row r="20" spans="1:8" x14ac:dyDescent="0.25">
      <c r="A20" s="1042" t="s">
        <v>987</v>
      </c>
      <c r="B20" s="1043">
        <v>1</v>
      </c>
      <c r="C20" s="1039">
        <v>0.5</v>
      </c>
      <c r="D20" s="1039">
        <f>C20*B4</f>
        <v>0</v>
      </c>
      <c r="E20" s="1039">
        <f t="shared" si="2"/>
        <v>0</v>
      </c>
      <c r="F20" s="1039">
        <f t="shared" si="2"/>
        <v>0</v>
      </c>
      <c r="G20" s="1039"/>
      <c r="H20" s="1039"/>
    </row>
    <row r="21" spans="1:8" x14ac:dyDescent="0.25">
      <c r="A21" s="1042" t="s">
        <v>988</v>
      </c>
      <c r="B21" s="1043">
        <v>1</v>
      </c>
      <c r="C21" s="1039">
        <v>0.5</v>
      </c>
      <c r="D21" s="1039">
        <f>C21</f>
        <v>0.5</v>
      </c>
      <c r="E21" s="1039">
        <f t="shared" si="2"/>
        <v>0.25</v>
      </c>
      <c r="F21" s="1039">
        <f t="shared" si="2"/>
        <v>0.25</v>
      </c>
      <c r="G21" s="1039"/>
      <c r="H21" s="1039"/>
    </row>
    <row r="22" spans="1:8" x14ac:dyDescent="0.25">
      <c r="A22" s="1042" t="s">
        <v>989</v>
      </c>
      <c r="B22" s="1043">
        <v>1</v>
      </c>
      <c r="C22" s="1039">
        <v>0.5</v>
      </c>
      <c r="D22" s="1039">
        <f>C22*B5</f>
        <v>0</v>
      </c>
      <c r="E22" s="1039">
        <f t="shared" si="2"/>
        <v>0</v>
      </c>
      <c r="F22" s="1039">
        <f t="shared" si="2"/>
        <v>0</v>
      </c>
      <c r="G22" s="1039"/>
      <c r="H22" s="1039"/>
    </row>
    <row r="23" spans="1:8" x14ac:dyDescent="0.25">
      <c r="A23" s="1042" t="s">
        <v>990</v>
      </c>
      <c r="B23" s="1043">
        <v>1</v>
      </c>
      <c r="C23" s="1047">
        <v>3</v>
      </c>
      <c r="D23" s="1039">
        <f>C23*B6</f>
        <v>0</v>
      </c>
      <c r="E23" s="1039">
        <f t="shared" si="2"/>
        <v>0</v>
      </c>
      <c r="F23" s="1039">
        <f t="shared" si="2"/>
        <v>0</v>
      </c>
      <c r="G23" s="1039"/>
      <c r="H23" s="1039"/>
    </row>
    <row r="24" spans="1:8" x14ac:dyDescent="0.25">
      <c r="A24" s="1042" t="s">
        <v>991</v>
      </c>
      <c r="B24" s="1043">
        <v>1</v>
      </c>
      <c r="C24" s="1047">
        <v>1</v>
      </c>
      <c r="D24" s="1039">
        <f>C24*B5</f>
        <v>0</v>
      </c>
      <c r="E24" s="1039">
        <f t="shared" si="2"/>
        <v>0</v>
      </c>
      <c r="F24" s="1039">
        <f t="shared" si="2"/>
        <v>0</v>
      </c>
      <c r="G24" s="1073"/>
      <c r="H24" s="1073"/>
    </row>
    <row r="25" spans="1:8" ht="25.5" x14ac:dyDescent="0.25">
      <c r="A25" s="1037" t="s">
        <v>895</v>
      </c>
      <c r="B25" s="1039" t="s">
        <v>896</v>
      </c>
      <c r="C25" s="1039"/>
      <c r="D25" s="1039">
        <f>ROUNDUP(SUM(D8:D24)*0.1,1)</f>
        <v>0.1</v>
      </c>
      <c r="E25" s="1039"/>
      <c r="F25" s="1039">
        <f t="shared" si="2"/>
        <v>0.05</v>
      </c>
      <c r="G25" s="1039">
        <f t="shared" si="2"/>
        <v>0.05</v>
      </c>
      <c r="H25" s="1039"/>
    </row>
    <row r="26" spans="1:8" ht="26.25" thickBot="1" x14ac:dyDescent="0.3">
      <c r="A26" s="1070" t="s">
        <v>897</v>
      </c>
      <c r="B26" s="1053" t="s">
        <v>898</v>
      </c>
      <c r="C26" s="1053"/>
      <c r="D26" s="1039">
        <f>ROUNDUP(SUM(D8:D24)*0.1,1)</f>
        <v>0.1</v>
      </c>
      <c r="E26" s="1053"/>
      <c r="F26" s="1039">
        <f t="shared" si="2"/>
        <v>0.05</v>
      </c>
      <c r="G26" s="1039">
        <f t="shared" si="2"/>
        <v>0.05</v>
      </c>
      <c r="H26" s="1053"/>
    </row>
    <row r="27" spans="1:8" x14ac:dyDescent="0.25">
      <c r="A27" s="1067" t="s">
        <v>563</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899</v>
      </c>
      <c r="D29" s="1069"/>
      <c r="E29" s="1069"/>
      <c r="F29" s="1069"/>
      <c r="G29" s="1069"/>
      <c r="H29" s="1067"/>
    </row>
    <row r="30" spans="1:8" x14ac:dyDescent="0.25">
      <c r="A30" s="1067"/>
      <c r="B30" s="1067"/>
      <c r="C30" s="268" t="s">
        <v>900</v>
      </c>
      <c r="D30" s="268">
        <f>SUM(D8)/8</f>
        <v>0</v>
      </c>
      <c r="E30" s="268">
        <f t="shared" ref="E30:G30" si="3">SUM(E8)/8</f>
        <v>0</v>
      </c>
      <c r="F30" s="268">
        <f t="shared" si="3"/>
        <v>0</v>
      </c>
      <c r="G30" s="268">
        <f t="shared" si="3"/>
        <v>0</v>
      </c>
      <c r="H30" s="1067"/>
    </row>
    <row r="31" spans="1:8" x14ac:dyDescent="0.25">
      <c r="A31" s="1067"/>
      <c r="B31" s="1067"/>
      <c r="C31" s="63" t="s">
        <v>901</v>
      </c>
      <c r="D31" s="63">
        <f>ROUNDUP(SUM(D23:D25)/8,1)</f>
        <v>0.1</v>
      </c>
      <c r="E31" s="63">
        <f>ROUNDUP(SUM(E23:E25)/8,1)</f>
        <v>0</v>
      </c>
      <c r="F31" s="63">
        <f>ROUNDUP(SUM(F23:F25)/8,1)</f>
        <v>0.1</v>
      </c>
      <c r="G31" s="63">
        <f>ROUNDUP(SUM(G23:G25)/8,1)</f>
        <v>0.1</v>
      </c>
      <c r="H31" s="1067"/>
    </row>
    <row r="32" spans="1:8" x14ac:dyDescent="0.25">
      <c r="A32" s="1067"/>
      <c r="B32" s="1067"/>
      <c r="C32" s="268" t="s">
        <v>902</v>
      </c>
      <c r="D32" s="268">
        <f>ROUNDUP(SUM(D26)/8,0)</f>
        <v>1</v>
      </c>
      <c r="E32" s="268">
        <f>ROUNDUP(SUM(E26)/8,1)</f>
        <v>0</v>
      </c>
      <c r="F32" s="268">
        <f>ROUNDUP(SUM(F26)/8,1)</f>
        <v>0.1</v>
      </c>
      <c r="G32" s="268">
        <f>ROUNDUP(SUM(G26)/8,1)</f>
        <v>0.1</v>
      </c>
      <c r="H32" s="1067"/>
    </row>
    <row r="33" spans="1:8" x14ac:dyDescent="0.25">
      <c r="A33" s="1067"/>
      <c r="B33" s="1067"/>
      <c r="C33" s="63" t="s">
        <v>903</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ТрЗ_ОВ!E155</f>
        <v>0</v>
      </c>
      <c r="C2" s="1036"/>
      <c r="D2" s="1036"/>
      <c r="E2" s="1036"/>
      <c r="F2" s="1036"/>
      <c r="G2" s="1036"/>
      <c r="H2" s="1036"/>
    </row>
    <row r="3" spans="1:8" x14ac:dyDescent="0.25">
      <c r="A3" s="1037" t="s">
        <v>876</v>
      </c>
      <c r="B3" s="1038">
        <f>ТрЗ_ОВ!H155</f>
        <v>0</v>
      </c>
      <c r="C3" s="1039"/>
      <c r="D3" s="1039"/>
      <c r="E3" s="1039"/>
      <c r="F3" s="1039"/>
      <c r="G3" s="1039"/>
      <c r="H3" s="1039"/>
    </row>
    <row r="4" spans="1:8" x14ac:dyDescent="0.25">
      <c r="A4" s="1037" t="s">
        <v>992</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879</v>
      </c>
      <c r="B6" s="1041"/>
      <c r="C6" s="1039"/>
      <c r="D6" s="1039"/>
      <c r="E6" s="1039"/>
      <c r="F6" s="1039"/>
      <c r="G6" s="1039"/>
      <c r="H6" s="1039"/>
    </row>
    <row r="7" spans="1:8" x14ac:dyDescent="0.25">
      <c r="A7" s="1037" t="s">
        <v>879</v>
      </c>
      <c r="B7" s="1038">
        <v>1</v>
      </c>
      <c r="C7" s="1040">
        <v>4</v>
      </c>
      <c r="D7" s="1039">
        <v>4</v>
      </c>
      <c r="E7" s="1040"/>
      <c r="F7" s="1039">
        <f>D7/8</f>
        <v>0.5</v>
      </c>
      <c r="G7" s="1040"/>
      <c r="H7" s="1039"/>
    </row>
    <row r="8" spans="1:8" x14ac:dyDescent="0.25">
      <c r="A8" s="1037" t="s">
        <v>880</v>
      </c>
      <c r="B8" s="1041" t="s">
        <v>881</v>
      </c>
      <c r="C8" s="1040">
        <f>SUM(C9:C12)</f>
        <v>4</v>
      </c>
      <c r="D8" s="1039">
        <f>C8*$B$3</f>
        <v>0</v>
      </c>
      <c r="E8" s="1040">
        <f>0.5*$D$10</f>
        <v>0</v>
      </c>
      <c r="F8" s="1040">
        <f>0.5*$D$10</f>
        <v>0</v>
      </c>
      <c r="G8" s="1040"/>
      <c r="H8" s="1039"/>
    </row>
    <row r="9" spans="1:8" x14ac:dyDescent="0.25">
      <c r="A9" s="1042" t="s">
        <v>882</v>
      </c>
      <c r="B9" s="1043">
        <v>1</v>
      </c>
      <c r="C9" s="1040">
        <v>1</v>
      </c>
      <c r="D9" s="1039">
        <f t="shared" ref="D9:D12" si="0">C9*$B$3</f>
        <v>0</v>
      </c>
      <c r="E9" s="1040"/>
      <c r="F9" s="1039"/>
      <c r="G9" s="1040"/>
      <c r="H9" s="1039"/>
    </row>
    <row r="10" spans="1:8" x14ac:dyDescent="0.25">
      <c r="A10" s="1042" t="s">
        <v>883</v>
      </c>
      <c r="B10" s="1043">
        <v>1</v>
      </c>
      <c r="C10" s="1040">
        <v>1</v>
      </c>
      <c r="D10" s="1039">
        <f t="shared" si="0"/>
        <v>0</v>
      </c>
      <c r="E10" s="1040"/>
      <c r="F10" s="1039"/>
      <c r="G10" s="1040"/>
      <c r="H10" s="1039"/>
    </row>
    <row r="11" spans="1:8" x14ac:dyDescent="0.25">
      <c r="A11" s="1042" t="s">
        <v>884</v>
      </c>
      <c r="B11" s="1043">
        <v>1</v>
      </c>
      <c r="C11" s="1040">
        <v>1</v>
      </c>
      <c r="D11" s="1039">
        <f t="shared" si="0"/>
        <v>0</v>
      </c>
      <c r="E11" s="1040"/>
      <c r="F11" s="1039"/>
      <c r="G11" s="1040"/>
      <c r="H11" s="1039"/>
    </row>
    <row r="12" spans="1:8" x14ac:dyDescent="0.25">
      <c r="A12" s="1042" t="s">
        <v>885</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42" t="s">
        <v>888</v>
      </c>
      <c r="B14" s="1043">
        <v>1</v>
      </c>
      <c r="C14" s="1039">
        <v>1</v>
      </c>
      <c r="D14" s="1039">
        <f>C14*$B$3</f>
        <v>0</v>
      </c>
      <c r="E14" s="1039">
        <f>0.5*D14</f>
        <v>0</v>
      </c>
      <c r="F14" s="1039">
        <f>0.5*D14</f>
        <v>0</v>
      </c>
      <c r="G14" s="1039"/>
      <c r="H14" s="1039"/>
    </row>
    <row r="15" spans="1:8" x14ac:dyDescent="0.25">
      <c r="A15" s="1042" t="s">
        <v>968</v>
      </c>
      <c r="B15" s="1043">
        <v>1</v>
      </c>
      <c r="C15" s="1039">
        <v>0.25</v>
      </c>
      <c r="D15" s="1039">
        <f t="shared" ref="D15:D18" si="1">C15*$B$3</f>
        <v>0</v>
      </c>
      <c r="E15" s="1039">
        <f t="shared" ref="E15:E19" si="2">0.5*D15</f>
        <v>0</v>
      </c>
      <c r="F15" s="1039">
        <f t="shared" ref="F15:F19" si="3">0.5*D15</f>
        <v>0</v>
      </c>
      <c r="G15" s="1039"/>
      <c r="H15" s="1039"/>
    </row>
    <row r="16" spans="1:8" x14ac:dyDescent="0.25">
      <c r="A16" s="1042" t="s">
        <v>993</v>
      </c>
      <c r="B16" s="1043">
        <v>1</v>
      </c>
      <c r="C16" s="1047">
        <v>40</v>
      </c>
      <c r="D16" s="1039">
        <f t="shared" si="1"/>
        <v>0</v>
      </c>
      <c r="E16" s="1039">
        <f t="shared" si="2"/>
        <v>0</v>
      </c>
      <c r="F16" s="1039">
        <f t="shared" si="3"/>
        <v>0</v>
      </c>
      <c r="G16" s="1073"/>
      <c r="H16" s="1073"/>
    </row>
    <row r="17" spans="1:8" x14ac:dyDescent="0.25">
      <c r="A17" s="1042" t="s">
        <v>890</v>
      </c>
      <c r="B17" s="1043">
        <v>1</v>
      </c>
      <c r="C17" s="1047">
        <v>2</v>
      </c>
      <c r="D17" s="1039">
        <f t="shared" si="1"/>
        <v>0</v>
      </c>
      <c r="E17" s="1039">
        <f t="shared" si="2"/>
        <v>0</v>
      </c>
      <c r="F17" s="1039">
        <f t="shared" si="3"/>
        <v>0</v>
      </c>
      <c r="G17" s="1073"/>
      <c r="H17" s="1073"/>
    </row>
    <row r="18" spans="1:8" x14ac:dyDescent="0.25">
      <c r="A18" s="1042" t="s">
        <v>994</v>
      </c>
      <c r="B18" s="1043">
        <v>1</v>
      </c>
      <c r="C18" s="1039">
        <v>0.5</v>
      </c>
      <c r="D18" s="1039">
        <f t="shared" si="1"/>
        <v>0</v>
      </c>
      <c r="E18" s="1039">
        <f t="shared" si="2"/>
        <v>0</v>
      </c>
      <c r="F18" s="1039">
        <f t="shared" si="3"/>
        <v>0</v>
      </c>
      <c r="G18" s="1039"/>
      <c r="H18" s="1039"/>
    </row>
    <row r="19" spans="1:8" x14ac:dyDescent="0.25">
      <c r="A19" s="1042" t="s">
        <v>969</v>
      </c>
      <c r="B19" s="1043">
        <v>1</v>
      </c>
      <c r="C19" s="1039">
        <v>0.25</v>
      </c>
      <c r="D19" s="1039">
        <f>C19*$B$4</f>
        <v>0</v>
      </c>
      <c r="E19" s="1039">
        <f t="shared" si="2"/>
        <v>0</v>
      </c>
      <c r="F19" s="1039">
        <f t="shared" si="3"/>
        <v>0</v>
      </c>
      <c r="G19" s="1039"/>
      <c r="H19" s="1039"/>
    </row>
    <row r="20" spans="1:8" ht="25.5" x14ac:dyDescent="0.25">
      <c r="A20" s="1037" t="s">
        <v>895</v>
      </c>
      <c r="B20" s="1039" t="s">
        <v>896</v>
      </c>
      <c r="C20" s="1039">
        <f>ROUNDUP(SUM(C7:C19)*0.1,1)</f>
        <v>5.6</v>
      </c>
      <c r="D20" s="1039">
        <f>C20</f>
        <v>5.6</v>
      </c>
      <c r="E20" s="817"/>
      <c r="F20" s="1039">
        <f>0.5*C20</f>
        <v>2.8</v>
      </c>
      <c r="G20" s="1039">
        <f>0.5*C20</f>
        <v>2.8</v>
      </c>
      <c r="H20" s="1039"/>
    </row>
    <row r="21" spans="1:8" ht="26.25" thickBot="1" x14ac:dyDescent="0.3">
      <c r="A21" s="1070" t="s">
        <v>897</v>
      </c>
      <c r="B21" s="1053" t="s">
        <v>898</v>
      </c>
      <c r="C21" s="1039">
        <f>ROUNDUP(SUM(C8:C20)*0.1,1)</f>
        <v>5.8</v>
      </c>
      <c r="D21" s="1053">
        <f>C21</f>
        <v>5.8</v>
      </c>
      <c r="E21" s="324"/>
      <c r="F21" s="1039">
        <f>0.5*C21</f>
        <v>2.9</v>
      </c>
      <c r="G21" s="1039">
        <f>0.5*C21</f>
        <v>2.9</v>
      </c>
      <c r="H21" s="1053"/>
    </row>
    <row r="22" spans="1:8" x14ac:dyDescent="0.25">
      <c r="A22" s="1067" t="s">
        <v>563</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899</v>
      </c>
      <c r="D24" s="1069"/>
      <c r="E24" s="1069"/>
      <c r="F24" s="1069"/>
      <c r="G24" s="1069"/>
      <c r="H24" s="1067"/>
    </row>
    <row r="25" spans="1:8" x14ac:dyDescent="0.25">
      <c r="A25" s="1067"/>
      <c r="B25" s="1067"/>
      <c r="C25" s="268" t="s">
        <v>900</v>
      </c>
      <c r="D25" s="268">
        <f>SUM(D7)/8</f>
        <v>0.5</v>
      </c>
      <c r="E25" s="268">
        <f t="shared" ref="E25:G25" si="4">SUM(E7)/8</f>
        <v>0</v>
      </c>
      <c r="F25" s="268">
        <f t="shared" si="4"/>
        <v>6.25E-2</v>
      </c>
      <c r="G25" s="268">
        <f t="shared" si="4"/>
        <v>0</v>
      </c>
      <c r="H25" s="1067"/>
    </row>
    <row r="26" spans="1:8" x14ac:dyDescent="0.25">
      <c r="A26" s="1067"/>
      <c r="B26" s="1067"/>
      <c r="C26" s="63" t="s">
        <v>901</v>
      </c>
      <c r="D26" s="63">
        <f>ROUNDUP(SUM(D14:D20)/8,1)</f>
        <v>0.7</v>
      </c>
      <c r="E26" s="63">
        <f t="shared" ref="E26:G26" si="5">ROUNDUP(SUM(E14:E20)/8,1)</f>
        <v>0</v>
      </c>
      <c r="F26" s="63">
        <f t="shared" si="5"/>
        <v>0.4</v>
      </c>
      <c r="G26" s="63">
        <f t="shared" si="5"/>
        <v>0.4</v>
      </c>
      <c r="H26" s="1067"/>
    </row>
    <row r="27" spans="1:8" x14ac:dyDescent="0.25">
      <c r="A27" s="1067"/>
      <c r="B27" s="1067"/>
      <c r="C27" s="268" t="s">
        <v>902</v>
      </c>
      <c r="D27" s="268">
        <f>ROUNDUP(SUM(D21)/8,1)</f>
        <v>0.79999999999999993</v>
      </c>
      <c r="E27" s="268">
        <f t="shared" ref="E27:G27" si="6">ROUNDUP(SUM(E21)/8,1)</f>
        <v>0</v>
      </c>
      <c r="F27" s="268">
        <f t="shared" si="6"/>
        <v>0.4</v>
      </c>
      <c r="G27" s="268">
        <f t="shared" si="6"/>
        <v>0.4</v>
      </c>
      <c r="H27" s="1067"/>
    </row>
    <row r="28" spans="1:8" x14ac:dyDescent="0.25">
      <c r="A28" s="1067"/>
      <c r="B28" s="1067"/>
      <c r="C28" s="63" t="s">
        <v>903</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ТрЗ_ОВ!E154</f>
        <v>0</v>
      </c>
      <c r="C2" s="1036"/>
      <c r="D2" s="1036"/>
      <c r="E2" s="1036"/>
      <c r="F2" s="1036"/>
      <c r="G2" s="1036"/>
      <c r="H2" s="1036"/>
    </row>
    <row r="3" spans="1:8" x14ac:dyDescent="0.25">
      <c r="A3" s="1037" t="s">
        <v>876</v>
      </c>
      <c r="B3" s="1038">
        <f>ТрЗ_ОВ!H154</f>
        <v>0</v>
      </c>
      <c r="C3" s="1039"/>
      <c r="D3" s="1039"/>
      <c r="E3" s="1039"/>
      <c r="F3" s="1039"/>
      <c r="G3" s="1039"/>
      <c r="H3" s="1039"/>
    </row>
    <row r="4" spans="1:8" x14ac:dyDescent="0.25">
      <c r="A4" s="1037" t="s">
        <v>879</v>
      </c>
      <c r="B4" s="1038">
        <v>1</v>
      </c>
      <c r="C4" s="1040">
        <v>4</v>
      </c>
      <c r="D4" s="1039">
        <v>4</v>
      </c>
      <c r="E4" s="1040"/>
      <c r="F4" s="1039">
        <f>D4/8</f>
        <v>0.5</v>
      </c>
      <c r="G4" s="1040"/>
      <c r="H4" s="1039"/>
    </row>
    <row r="5" spans="1:8" x14ac:dyDescent="0.25">
      <c r="A5" s="1037" t="s">
        <v>880</v>
      </c>
      <c r="B5" s="1041" t="s">
        <v>881</v>
      </c>
      <c r="C5" s="1040">
        <f>SUM(C6:C9)</f>
        <v>4</v>
      </c>
      <c r="D5" s="1039">
        <f>C5*$B$3</f>
        <v>0</v>
      </c>
      <c r="E5" s="1040">
        <f>0.5*$D$10</f>
        <v>0</v>
      </c>
      <c r="F5" s="1040">
        <f>0.5*$D$10</f>
        <v>0</v>
      </c>
      <c r="G5" s="1040"/>
      <c r="H5" s="1039"/>
    </row>
    <row r="6" spans="1:8" x14ac:dyDescent="0.25">
      <c r="A6" s="1042" t="s">
        <v>882</v>
      </c>
      <c r="B6" s="1043">
        <v>1</v>
      </c>
      <c r="C6" s="1040">
        <v>1</v>
      </c>
      <c r="D6" s="1039">
        <f t="shared" ref="D6:D9" si="0">C6*$B$6</f>
        <v>1</v>
      </c>
      <c r="E6" s="1040"/>
      <c r="F6" s="1039"/>
      <c r="G6" s="1040"/>
      <c r="H6" s="1039"/>
    </row>
    <row r="7" spans="1:8" x14ac:dyDescent="0.25">
      <c r="A7" s="1042" t="s">
        <v>883</v>
      </c>
      <c r="B7" s="1043">
        <v>1</v>
      </c>
      <c r="C7" s="1040">
        <v>1</v>
      </c>
      <c r="D7" s="1039">
        <f t="shared" si="0"/>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37" t="s">
        <v>886</v>
      </c>
      <c r="B10" s="1043"/>
      <c r="C10" s="1039"/>
      <c r="D10" s="1039"/>
      <c r="E10" s="1039"/>
      <c r="F10" s="1039"/>
      <c r="G10" s="1039"/>
      <c r="H10" s="1039"/>
    </row>
    <row r="11" spans="1:8" x14ac:dyDescent="0.25">
      <c r="A11" s="1037" t="s">
        <v>887</v>
      </c>
      <c r="B11" s="1043"/>
      <c r="C11" s="1039"/>
      <c r="D11" s="1039"/>
      <c r="E11" s="1039"/>
      <c r="F11" s="1039"/>
      <c r="G11" s="1039"/>
      <c r="H11" s="1039"/>
    </row>
    <row r="12" spans="1:8" x14ac:dyDescent="0.25">
      <c r="A12" s="1042" t="s">
        <v>888</v>
      </c>
      <c r="B12" s="1043">
        <v>1</v>
      </c>
      <c r="C12" s="1039">
        <v>1</v>
      </c>
      <c r="D12" s="1121">
        <f>C12*$B$3</f>
        <v>0</v>
      </c>
      <c r="E12" s="1121">
        <f>0.5*D12</f>
        <v>0</v>
      </c>
      <c r="F12" s="1121">
        <f>0.5*D12</f>
        <v>0</v>
      </c>
      <c r="G12" s="1121"/>
      <c r="H12" s="1039"/>
    </row>
    <row r="13" spans="1:8" x14ac:dyDescent="0.25">
      <c r="A13" s="1042" t="s">
        <v>889</v>
      </c>
      <c r="B13" s="1043">
        <v>1</v>
      </c>
      <c r="C13" s="1039">
        <v>2</v>
      </c>
      <c r="D13" s="1121">
        <f t="shared" ref="D13:D17" si="1">C13*$B$3</f>
        <v>0</v>
      </c>
      <c r="E13" s="1121">
        <f t="shared" ref="E13:E17" si="2">0.5*D13</f>
        <v>0</v>
      </c>
      <c r="F13" s="1121">
        <f t="shared" ref="F13:F17" si="3">0.5*D13</f>
        <v>0</v>
      </c>
      <c r="G13" s="1121"/>
      <c r="H13" s="1039"/>
    </row>
    <row r="14" spans="1:8" x14ac:dyDescent="0.25">
      <c r="A14" s="1042" t="s">
        <v>968</v>
      </c>
      <c r="B14" s="1043">
        <v>1</v>
      </c>
      <c r="C14" s="1039">
        <v>0.25</v>
      </c>
      <c r="D14" s="1121">
        <f t="shared" si="1"/>
        <v>0</v>
      </c>
      <c r="E14" s="1121">
        <f>D14</f>
        <v>0</v>
      </c>
      <c r="F14" s="1121"/>
      <c r="G14" s="1121"/>
      <c r="H14" s="1039"/>
    </row>
    <row r="15" spans="1:8" x14ac:dyDescent="0.25">
      <c r="A15" s="1042" t="s">
        <v>978</v>
      </c>
      <c r="B15" s="1124">
        <v>1</v>
      </c>
      <c r="C15" s="1047">
        <v>1</v>
      </c>
      <c r="D15" s="1121">
        <f t="shared" si="1"/>
        <v>0</v>
      </c>
      <c r="E15" s="1121">
        <f t="shared" si="2"/>
        <v>0</v>
      </c>
      <c r="F15" s="1121">
        <f t="shared" si="3"/>
        <v>0</v>
      </c>
      <c r="G15" s="1121"/>
      <c r="H15" s="1039"/>
    </row>
    <row r="16" spans="1:8" x14ac:dyDescent="0.25">
      <c r="A16" s="1042" t="s">
        <v>972</v>
      </c>
      <c r="B16" s="1043">
        <v>1</v>
      </c>
      <c r="C16" s="1047">
        <v>2</v>
      </c>
      <c r="D16" s="1121">
        <f t="shared" si="1"/>
        <v>0</v>
      </c>
      <c r="E16" s="1121">
        <f t="shared" si="2"/>
        <v>0</v>
      </c>
      <c r="F16" s="1121">
        <f t="shared" si="3"/>
        <v>0</v>
      </c>
      <c r="G16" s="1126"/>
      <c r="H16" s="1073"/>
    </row>
    <row r="17" spans="1:8" x14ac:dyDescent="0.25">
      <c r="A17" s="1042" t="s">
        <v>973</v>
      </c>
      <c r="B17" s="1043">
        <v>1</v>
      </c>
      <c r="C17" s="1047">
        <v>8</v>
      </c>
      <c r="D17" s="1121">
        <f t="shared" si="1"/>
        <v>0</v>
      </c>
      <c r="E17" s="1121">
        <f t="shared" si="2"/>
        <v>0</v>
      </c>
      <c r="F17" s="1121">
        <f t="shared" si="3"/>
        <v>0</v>
      </c>
      <c r="G17" s="1121"/>
      <c r="H17" s="1039"/>
    </row>
    <row r="18" spans="1:8" ht="25.5" x14ac:dyDescent="0.25">
      <c r="A18" s="1037" t="s">
        <v>895</v>
      </c>
      <c r="B18" s="1039" t="s">
        <v>896</v>
      </c>
      <c r="C18" s="1121">
        <f>SUM(D12:D17)</f>
        <v>0</v>
      </c>
      <c r="D18" s="1121">
        <f>SUM(D12:D17)</f>
        <v>0</v>
      </c>
      <c r="E18" s="1039"/>
      <c r="F18" s="1121">
        <f>0.5*D18</f>
        <v>0</v>
      </c>
      <c r="G18" s="1121">
        <f>0.5*D18</f>
        <v>0</v>
      </c>
      <c r="H18" s="1039"/>
    </row>
    <row r="19" spans="1:8" ht="26.25" thickBot="1" x14ac:dyDescent="0.3">
      <c r="A19" s="1070" t="s">
        <v>897</v>
      </c>
      <c r="B19" s="1053" t="s">
        <v>898</v>
      </c>
      <c r="C19" s="1053">
        <f>SUM(C12:C17)</f>
        <v>14.25</v>
      </c>
      <c r="D19" s="1128">
        <f>SUM(D12:D17)</f>
        <v>0</v>
      </c>
      <c r="E19" s="1053"/>
      <c r="F19" s="1121">
        <f>0.5*D19</f>
        <v>0</v>
      </c>
      <c r="G19" s="1121">
        <f>0.5*D19</f>
        <v>0</v>
      </c>
      <c r="H19" s="1053"/>
    </row>
    <row r="20" spans="1:8" x14ac:dyDescent="0.25">
      <c r="A20" s="1067" t="s">
        <v>563</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899</v>
      </c>
      <c r="D22" s="1069"/>
      <c r="E22" s="1069"/>
      <c r="F22" s="1069"/>
      <c r="G22" s="1069"/>
      <c r="H22" s="1067"/>
    </row>
    <row r="23" spans="1:8" x14ac:dyDescent="0.25">
      <c r="A23" s="1067"/>
      <c r="B23" s="1067"/>
      <c r="C23" s="268" t="s">
        <v>900</v>
      </c>
      <c r="D23" s="268">
        <f>SUM(D5)/8</f>
        <v>0</v>
      </c>
      <c r="E23" s="268">
        <f>ROUNDUP(SUM(E5)/8,0)</f>
        <v>0</v>
      </c>
      <c r="F23" s="268">
        <f>ROUNDUP(SUM(F5)/8,0)</f>
        <v>0</v>
      </c>
      <c r="G23" s="268">
        <f>ROUNDUP(SUM(G5)/8,0)</f>
        <v>0</v>
      </c>
      <c r="H23" s="1067"/>
    </row>
    <row r="24" spans="1:8" x14ac:dyDescent="0.25">
      <c r="A24" s="1067"/>
      <c r="B24" s="1067"/>
      <c r="C24" s="63" t="s">
        <v>901</v>
      </c>
      <c r="D24" s="63">
        <f>ROUNDUP(SUM(D11:D18)/8,1)</f>
        <v>0</v>
      </c>
      <c r="E24" s="63">
        <f t="shared" ref="E24:G24" si="4">ROUNDUP(SUM(E11:E18)/8,1)</f>
        <v>0</v>
      </c>
      <c r="F24" s="63">
        <f t="shared" si="4"/>
        <v>0</v>
      </c>
      <c r="G24" s="63">
        <f t="shared" si="4"/>
        <v>0</v>
      </c>
      <c r="H24" s="1067"/>
    </row>
    <row r="25" spans="1:8" x14ac:dyDescent="0.25">
      <c r="A25" s="1067"/>
      <c r="B25" s="1067"/>
      <c r="C25" s="268" t="s">
        <v>902</v>
      </c>
      <c r="D25" s="268">
        <f>ROUNDUP(SUM(D19)/8,0)</f>
        <v>0</v>
      </c>
      <c r="E25" s="268">
        <f t="shared" ref="E25:G25" si="5">ROUNDUP(SUM(E19)/8,0)</f>
        <v>0</v>
      </c>
      <c r="F25" s="268">
        <f t="shared" si="5"/>
        <v>0</v>
      </c>
      <c r="G25" s="268">
        <f t="shared" si="5"/>
        <v>0</v>
      </c>
      <c r="H25" s="1067"/>
    </row>
    <row r="26" spans="1:8" x14ac:dyDescent="0.25">
      <c r="A26" s="1067"/>
      <c r="B26" s="1067"/>
      <c r="C26" s="63" t="s">
        <v>903</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ТрЗ_ОВ!E139</f>
        <v>0</v>
      </c>
      <c r="C2" s="1036"/>
      <c r="D2" s="1036"/>
      <c r="E2" s="1036"/>
      <c r="F2" s="1036"/>
      <c r="G2" s="1036"/>
      <c r="H2" s="1036"/>
    </row>
    <row r="3" spans="1:8" x14ac:dyDescent="0.25">
      <c r="A3" s="1034" t="s">
        <v>995</v>
      </c>
      <c r="B3" s="1035">
        <f>ТрЗ_ОВ!H139</f>
        <v>0</v>
      </c>
      <c r="C3" s="1036"/>
      <c r="D3" s="1036"/>
      <c r="E3" s="1036"/>
      <c r="F3" s="1036"/>
      <c r="G3" s="1036"/>
      <c r="H3" s="1036"/>
    </row>
    <row r="4" spans="1:8" x14ac:dyDescent="0.25">
      <c r="A4" s="1037" t="s">
        <v>876</v>
      </c>
      <c r="B4" s="1038">
        <f>ТрЗ_ОВ!J139</f>
        <v>0</v>
      </c>
      <c r="C4" s="1039"/>
      <c r="D4" s="1039"/>
      <c r="E4" s="1039"/>
      <c r="F4" s="1039"/>
      <c r="G4" s="1039"/>
      <c r="H4" s="1039"/>
    </row>
    <row r="5" spans="1:8" x14ac:dyDescent="0.25">
      <c r="A5" s="1037" t="s">
        <v>879</v>
      </c>
      <c r="B5" s="1038">
        <v>1</v>
      </c>
      <c r="C5" s="1040">
        <v>4</v>
      </c>
      <c r="D5" s="1039">
        <v>4</v>
      </c>
      <c r="E5" s="1040"/>
      <c r="F5" s="1039">
        <f>D5/8</f>
        <v>0.5</v>
      </c>
      <c r="G5" s="1040"/>
      <c r="H5" s="1039"/>
    </row>
    <row r="6" spans="1:8" x14ac:dyDescent="0.25">
      <c r="A6" s="1037" t="s">
        <v>880</v>
      </c>
      <c r="B6" s="1041" t="s">
        <v>881</v>
      </c>
      <c r="C6" s="1040">
        <f>SUM(C7:C10)</f>
        <v>4</v>
      </c>
      <c r="D6" s="1039">
        <f>C6*$B$4</f>
        <v>0</v>
      </c>
      <c r="E6" s="1040">
        <f>0.5*$D$10</f>
        <v>0</v>
      </c>
      <c r="F6" s="1040">
        <f>0.5*$D$10</f>
        <v>0</v>
      </c>
      <c r="G6" s="1040"/>
      <c r="H6" s="1039"/>
    </row>
    <row r="7" spans="1:8" x14ac:dyDescent="0.25">
      <c r="A7" s="1042" t="s">
        <v>882</v>
      </c>
      <c r="B7" s="1043">
        <v>1</v>
      </c>
      <c r="C7" s="1040">
        <v>1</v>
      </c>
      <c r="D7" s="1039">
        <f t="shared" ref="D7:D10" si="0">C7*$B$4</f>
        <v>0</v>
      </c>
      <c r="E7" s="1040"/>
      <c r="F7" s="1039"/>
      <c r="G7" s="1040"/>
      <c r="H7" s="1039"/>
    </row>
    <row r="8" spans="1:8" x14ac:dyDescent="0.25">
      <c r="A8" s="1042" t="s">
        <v>883</v>
      </c>
      <c r="B8" s="1043">
        <v>1</v>
      </c>
      <c r="C8" s="1040">
        <v>1</v>
      </c>
      <c r="D8" s="1039">
        <f t="shared" si="0"/>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37" t="s">
        <v>886</v>
      </c>
      <c r="B11" s="1043"/>
      <c r="C11" s="1039"/>
      <c r="D11" s="1039"/>
      <c r="E11" s="1039"/>
      <c r="F11" s="1039"/>
      <c r="G11" s="1039"/>
      <c r="H11" s="1039"/>
    </row>
    <row r="12" spans="1:8" x14ac:dyDescent="0.25">
      <c r="A12" s="1037" t="s">
        <v>887</v>
      </c>
      <c r="B12" s="1043"/>
      <c r="C12" s="1039"/>
      <c r="D12" s="1039"/>
      <c r="E12" s="1039"/>
      <c r="F12" s="1039"/>
      <c r="G12" s="1039"/>
      <c r="H12" s="1039"/>
    </row>
    <row r="13" spans="1:8" x14ac:dyDescent="0.25">
      <c r="A13" s="1042" t="s">
        <v>888</v>
      </c>
      <c r="B13" s="1043">
        <v>1</v>
      </c>
      <c r="C13" s="1039">
        <v>1</v>
      </c>
      <c r="D13" s="1039">
        <f>C13*$B$4</f>
        <v>0</v>
      </c>
      <c r="E13" s="1039">
        <f>0.5*D13</f>
        <v>0</v>
      </c>
      <c r="F13" s="1039">
        <f>0.5*D13</f>
        <v>0</v>
      </c>
      <c r="G13" s="1039"/>
      <c r="H13" s="1039"/>
    </row>
    <row r="14" spans="1:8" x14ac:dyDescent="0.25">
      <c r="A14" s="1042" t="s">
        <v>889</v>
      </c>
      <c r="B14" s="1043">
        <v>1</v>
      </c>
      <c r="C14" s="1039">
        <v>2</v>
      </c>
      <c r="D14" s="1039">
        <f t="shared" ref="D14:D19" si="1">C14*$B$4</f>
        <v>0</v>
      </c>
      <c r="E14" s="1039">
        <f t="shared" ref="E14:E19" si="2">0.5*D14</f>
        <v>0</v>
      </c>
      <c r="F14" s="1039">
        <f t="shared" ref="F14:F19" si="3">0.5*D14</f>
        <v>0</v>
      </c>
      <c r="G14" s="1039"/>
      <c r="H14" s="1039"/>
    </row>
    <row r="15" spans="1:8" x14ac:dyDescent="0.25">
      <c r="A15" s="1042" t="s">
        <v>968</v>
      </c>
      <c r="B15" s="1043">
        <v>1</v>
      </c>
      <c r="C15" s="1039">
        <v>0.25</v>
      </c>
      <c r="D15" s="1039">
        <f t="shared" si="1"/>
        <v>0</v>
      </c>
      <c r="E15" s="1039">
        <f t="shared" si="2"/>
        <v>0</v>
      </c>
      <c r="F15" s="1039">
        <f t="shared" si="3"/>
        <v>0</v>
      </c>
      <c r="G15" s="1073"/>
      <c r="H15" s="1039"/>
    </row>
    <row r="16" spans="1:8" x14ac:dyDescent="0.25">
      <c r="A16" s="1042" t="s">
        <v>996</v>
      </c>
      <c r="B16" s="1124">
        <v>1</v>
      </c>
      <c r="C16" s="1047">
        <v>0.25</v>
      </c>
      <c r="D16" s="1039">
        <f>C16*$B$3</f>
        <v>0</v>
      </c>
      <c r="E16" s="1039">
        <f t="shared" si="2"/>
        <v>0</v>
      </c>
      <c r="F16" s="1039">
        <f t="shared" si="3"/>
        <v>0</v>
      </c>
      <c r="G16" s="1073"/>
      <c r="H16" s="1039"/>
    </row>
    <row r="17" spans="1:8" x14ac:dyDescent="0.25">
      <c r="A17" s="1042" t="s">
        <v>997</v>
      </c>
      <c r="B17" s="1129">
        <v>0</v>
      </c>
      <c r="C17" s="1047">
        <v>1</v>
      </c>
      <c r="D17" s="1039">
        <f>IF(B17=0,0,C17*$B$4)</f>
        <v>0</v>
      </c>
      <c r="E17" s="1039">
        <f t="shared" si="2"/>
        <v>0</v>
      </c>
      <c r="F17" s="1039">
        <f t="shared" si="3"/>
        <v>0</v>
      </c>
      <c r="G17" s="1039"/>
      <c r="H17" s="1039"/>
    </row>
    <row r="18" spans="1:8" x14ac:dyDescent="0.25">
      <c r="A18" s="1042" t="s">
        <v>972</v>
      </c>
      <c r="B18" s="1043">
        <v>1</v>
      </c>
      <c r="C18" s="1047">
        <v>0.5</v>
      </c>
      <c r="D18" s="1039">
        <f t="shared" si="1"/>
        <v>0</v>
      </c>
      <c r="E18" s="1039">
        <f t="shared" si="2"/>
        <v>0</v>
      </c>
      <c r="F18" s="1039">
        <f t="shared" si="3"/>
        <v>0</v>
      </c>
      <c r="G18" s="1039"/>
      <c r="H18" s="1073"/>
    </row>
    <row r="19" spans="1:8" x14ac:dyDescent="0.25">
      <c r="A19" s="1042" t="s">
        <v>973</v>
      </c>
      <c r="B19" s="1043">
        <v>1</v>
      </c>
      <c r="C19" s="1047">
        <v>1</v>
      </c>
      <c r="D19" s="1039">
        <f t="shared" si="1"/>
        <v>0</v>
      </c>
      <c r="E19" s="1039">
        <f t="shared" si="2"/>
        <v>0</v>
      </c>
      <c r="F19" s="1039">
        <f t="shared" si="3"/>
        <v>0</v>
      </c>
      <c r="G19" s="1039"/>
      <c r="H19" s="1039"/>
    </row>
    <row r="20" spans="1:8" ht="25.5" x14ac:dyDescent="0.25">
      <c r="A20" s="1037" t="s">
        <v>895</v>
      </c>
      <c r="B20" s="1039" t="s">
        <v>896</v>
      </c>
      <c r="C20" s="1121">
        <f>SUM(D13:D19)</f>
        <v>0</v>
      </c>
      <c r="D20" s="1121">
        <f>SUM(D13:D19)</f>
        <v>0</v>
      </c>
      <c r="E20" s="1039"/>
      <c r="F20" s="1121">
        <f>0.5*D20</f>
        <v>0</v>
      </c>
      <c r="G20" s="1121">
        <f>0.5*D20</f>
        <v>0</v>
      </c>
      <c r="H20" s="1039"/>
    </row>
    <row r="21" spans="1:8" ht="26.25" thickBot="1" x14ac:dyDescent="0.3">
      <c r="A21" s="1070" t="s">
        <v>897</v>
      </c>
      <c r="B21" s="1053" t="s">
        <v>898</v>
      </c>
      <c r="C21" s="1053"/>
      <c r="D21" s="1128">
        <f>SUM(D13:D19)</f>
        <v>0</v>
      </c>
      <c r="E21" s="1053"/>
      <c r="F21" s="1121">
        <f>0.5*D21</f>
        <v>0</v>
      </c>
      <c r="G21" s="1121">
        <f>0.5*D21</f>
        <v>0</v>
      </c>
      <c r="H21" s="1053"/>
    </row>
    <row r="22" spans="1:8" x14ac:dyDescent="0.25">
      <c r="A22" s="1067" t="s">
        <v>563</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899</v>
      </c>
      <c r="D24" s="1069"/>
      <c r="E24" s="1069"/>
      <c r="F24" s="1069"/>
      <c r="G24" s="1069"/>
      <c r="H24" s="1067"/>
    </row>
    <row r="25" spans="1:8" x14ac:dyDescent="0.25">
      <c r="A25" s="1067"/>
      <c r="B25" s="1067"/>
      <c r="C25" s="268" t="s">
        <v>900</v>
      </c>
      <c r="D25" s="268">
        <f>SUM(D7:D10)/8</f>
        <v>0</v>
      </c>
      <c r="E25" s="268">
        <f>ROUNDUP(SUM(E7:E10)/8,0)</f>
        <v>0</v>
      </c>
      <c r="F25" s="268">
        <f>ROUNDUP(SUM(F7:F10)/8,0)</f>
        <v>0</v>
      </c>
      <c r="G25" s="268">
        <f>ROUNDUP(SUM(G5:G10)/8,0)</f>
        <v>0</v>
      </c>
      <c r="H25" s="1067"/>
    </row>
    <row r="26" spans="1:8" x14ac:dyDescent="0.25">
      <c r="A26" s="1067"/>
      <c r="B26" s="1067"/>
      <c r="C26" s="63" t="s">
        <v>901</v>
      </c>
      <c r="D26" s="63">
        <f>ROUNDUP(SUM(D13:D20)/8,1)</f>
        <v>0</v>
      </c>
      <c r="E26" s="63">
        <f>ROUNDUP(SUM(E13:E20)/8,1)</f>
        <v>0</v>
      </c>
      <c r="F26" s="63">
        <f t="shared" ref="F26:G26" si="4">ROUNDUP(SUM(F13:F20)/8,1)</f>
        <v>0</v>
      </c>
      <c r="G26" s="63">
        <f t="shared" si="4"/>
        <v>0</v>
      </c>
      <c r="H26" s="1067"/>
    </row>
    <row r="27" spans="1:8" x14ac:dyDescent="0.25">
      <c r="A27" s="1067"/>
      <c r="B27" s="1067"/>
      <c r="C27" s="268" t="s">
        <v>902</v>
      </c>
      <c r="D27" s="268">
        <f>ROUNDUP(SUM(D21)/8,0)</f>
        <v>0</v>
      </c>
      <c r="E27" s="268">
        <f t="shared" ref="E27:G27" si="5">ROUNDUP(SUM(E21)/8,0)</f>
        <v>0</v>
      </c>
      <c r="F27" s="268">
        <f t="shared" si="5"/>
        <v>0</v>
      </c>
      <c r="G27" s="268">
        <f t="shared" si="5"/>
        <v>0</v>
      </c>
      <c r="H27" s="1067"/>
    </row>
    <row r="28" spans="1:8" x14ac:dyDescent="0.25">
      <c r="A28" s="1067"/>
      <c r="B28" s="1067"/>
      <c r="C28" s="63" t="s">
        <v>903</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ТрЗ_ОВ!E152</f>
        <v>0</v>
      </c>
      <c r="C2" s="1036"/>
      <c r="D2" s="1036"/>
      <c r="E2" s="1036"/>
      <c r="F2" s="1036"/>
      <c r="G2" s="1036"/>
      <c r="H2" s="1036"/>
    </row>
    <row r="3" spans="1:8" x14ac:dyDescent="0.25">
      <c r="A3" s="1037" t="s">
        <v>876</v>
      </c>
      <c r="B3" s="1038">
        <f>ТрЗ_ОВ!H152</f>
        <v>0</v>
      </c>
      <c r="C3" s="1039"/>
      <c r="D3" s="1039"/>
      <c r="E3" s="1039"/>
      <c r="F3" s="1039"/>
      <c r="G3" s="1039"/>
      <c r="H3" s="1039"/>
    </row>
    <row r="4" spans="1:8" x14ac:dyDescent="0.25">
      <c r="A4" s="1037" t="s">
        <v>982</v>
      </c>
      <c r="B4" s="1038">
        <f>ТрЗ_ОВ!J152</f>
        <v>0</v>
      </c>
      <c r="C4" s="1039"/>
      <c r="D4" s="1039"/>
      <c r="E4" s="1039"/>
      <c r="F4" s="1039"/>
      <c r="G4" s="1039"/>
      <c r="H4" s="1039"/>
    </row>
    <row r="5" spans="1:8" x14ac:dyDescent="0.25">
      <c r="A5" s="1037" t="s">
        <v>879</v>
      </c>
      <c r="B5" s="1038">
        <v>1</v>
      </c>
      <c r="C5" s="1040">
        <v>4</v>
      </c>
      <c r="D5" s="1039">
        <v>4</v>
      </c>
      <c r="E5" s="1040"/>
      <c r="F5" s="1039">
        <f>D5/8</f>
        <v>0.5</v>
      </c>
      <c r="G5" s="1040"/>
      <c r="H5" s="1039"/>
    </row>
    <row r="6" spans="1:8" x14ac:dyDescent="0.25">
      <c r="A6" s="1037" t="s">
        <v>880</v>
      </c>
      <c r="B6" s="1041" t="s">
        <v>881</v>
      </c>
      <c r="C6" s="1040">
        <f>SUM(C7:C10)</f>
        <v>4</v>
      </c>
      <c r="D6" s="1039">
        <f>C6*$B$3</f>
        <v>0</v>
      </c>
      <c r="E6" s="1040">
        <f>0.5*$D$10</f>
        <v>0</v>
      </c>
      <c r="F6" s="1040">
        <f>0.5*$D$10</f>
        <v>0</v>
      </c>
      <c r="G6" s="1040"/>
      <c r="H6" s="1039"/>
    </row>
    <row r="7" spans="1:8" x14ac:dyDescent="0.25">
      <c r="A7" s="1042" t="s">
        <v>882</v>
      </c>
      <c r="B7" s="1043">
        <v>1</v>
      </c>
      <c r="C7" s="1040">
        <v>1</v>
      </c>
      <c r="D7" s="1039">
        <f t="shared" ref="D7:D10" si="0">C7*$B$3</f>
        <v>0</v>
      </c>
      <c r="E7" s="1040"/>
      <c r="F7" s="1039"/>
      <c r="G7" s="1040"/>
      <c r="H7" s="1039"/>
    </row>
    <row r="8" spans="1:8" x14ac:dyDescent="0.25">
      <c r="A8" s="1042" t="s">
        <v>883</v>
      </c>
      <c r="B8" s="1043">
        <v>1</v>
      </c>
      <c r="C8" s="1040">
        <v>1</v>
      </c>
      <c r="D8" s="1039">
        <f t="shared" si="0"/>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37" t="s">
        <v>886</v>
      </c>
      <c r="B11" s="1043"/>
      <c r="C11" s="1039"/>
      <c r="D11" s="1039"/>
      <c r="E11" s="1039"/>
      <c r="F11" s="1039"/>
      <c r="G11" s="1039"/>
      <c r="H11" s="1039"/>
    </row>
    <row r="12" spans="1:8" x14ac:dyDescent="0.25">
      <c r="A12" s="1037" t="s">
        <v>887</v>
      </c>
      <c r="B12" s="1043"/>
      <c r="C12" s="1039"/>
      <c r="D12" s="1039"/>
      <c r="E12" s="1039"/>
      <c r="F12" s="1039"/>
      <c r="G12" s="1039"/>
      <c r="H12" s="1039"/>
    </row>
    <row r="13" spans="1:8" x14ac:dyDescent="0.25">
      <c r="A13" s="1042" t="s">
        <v>888</v>
      </c>
      <c r="B13" s="1043">
        <v>1</v>
      </c>
      <c r="C13" s="1047">
        <v>1</v>
      </c>
      <c r="D13" s="1039">
        <f>C13*$B$3</f>
        <v>0</v>
      </c>
      <c r="E13" s="1039">
        <f>0.7*D13</f>
        <v>0</v>
      </c>
      <c r="F13" s="1039">
        <f>0.3*D13</f>
        <v>0</v>
      </c>
      <c r="G13" s="1039"/>
      <c r="H13" s="1039"/>
    </row>
    <row r="14" spans="1:8" x14ac:dyDescent="0.25">
      <c r="A14" s="1042" t="s">
        <v>889</v>
      </c>
      <c r="B14" s="1043">
        <v>1</v>
      </c>
      <c r="C14" s="1039">
        <v>2</v>
      </c>
      <c r="D14" s="1039">
        <f>C14*$B$3</f>
        <v>0</v>
      </c>
      <c r="E14" s="1039">
        <f>0.7*D14</f>
        <v>0</v>
      </c>
      <c r="F14" s="1039">
        <f>0.3*D14</f>
        <v>0</v>
      </c>
      <c r="G14" s="1039"/>
      <c r="H14" s="1039"/>
    </row>
    <row r="15" spans="1:8" x14ac:dyDescent="0.25">
      <c r="A15" s="1042" t="s">
        <v>890</v>
      </c>
      <c r="B15" s="1043">
        <v>1</v>
      </c>
      <c r="C15" s="1039">
        <v>2</v>
      </c>
      <c r="D15" s="1039">
        <f>C15*$B$3</f>
        <v>0</v>
      </c>
      <c r="E15" s="1039">
        <f t="shared" ref="E15:E17" si="1">0.7*D15</f>
        <v>0</v>
      </c>
      <c r="F15" s="1039">
        <f t="shared" ref="F15:F17" si="2">0.3*D15</f>
        <v>0</v>
      </c>
      <c r="G15" s="1039"/>
      <c r="H15" s="1039"/>
    </row>
    <row r="16" spans="1:8" x14ac:dyDescent="0.25">
      <c r="A16" s="1042" t="s">
        <v>998</v>
      </c>
      <c r="B16" s="1043">
        <v>1</v>
      </c>
      <c r="C16" s="1039">
        <v>3</v>
      </c>
      <c r="D16" s="1039">
        <f>C16*B4</f>
        <v>0</v>
      </c>
      <c r="E16" s="1039">
        <f t="shared" si="1"/>
        <v>0</v>
      </c>
      <c r="F16" s="1039">
        <f t="shared" si="2"/>
        <v>0</v>
      </c>
      <c r="G16" s="1039"/>
      <c r="H16" s="1039"/>
    </row>
    <row r="17" spans="1:8" x14ac:dyDescent="0.25">
      <c r="A17" s="268" t="s">
        <v>894</v>
      </c>
      <c r="B17" s="1043">
        <v>1</v>
      </c>
      <c r="C17" s="1047">
        <v>0.5</v>
      </c>
      <c r="D17" s="1039">
        <f>C17*$B$3</f>
        <v>0</v>
      </c>
      <c r="E17" s="1039">
        <f t="shared" si="1"/>
        <v>0</v>
      </c>
      <c r="F17" s="1039">
        <f t="shared" si="2"/>
        <v>0</v>
      </c>
      <c r="G17" s="1073"/>
      <c r="H17" s="1073"/>
    </row>
    <row r="18" spans="1:8" ht="25.5" x14ac:dyDescent="0.25">
      <c r="A18" s="1037" t="s">
        <v>895</v>
      </c>
      <c r="B18" s="1039" t="s">
        <v>896</v>
      </c>
      <c r="C18" s="1130">
        <f>ROUNDUP(IF(0.1*(SUM($D$13:$D$17))&gt;8,0.1*(SUM($D$13:$D$17)),8),0)</f>
        <v>8</v>
      </c>
      <c r="D18" s="1040">
        <f>C18</f>
        <v>8</v>
      </c>
      <c r="E18" s="1040">
        <f>0.5*$D18</f>
        <v>4</v>
      </c>
      <c r="F18" s="1040">
        <f>0.5*$D18</f>
        <v>4</v>
      </c>
      <c r="G18" s="1039"/>
      <c r="H18" s="1039"/>
    </row>
    <row r="19" spans="1:8" ht="26.25" thickBot="1" x14ac:dyDescent="0.3">
      <c r="A19" s="1070" t="s">
        <v>897</v>
      </c>
      <c r="B19" s="1053" t="s">
        <v>898</v>
      </c>
      <c r="C19" s="1131">
        <f>ROUNDUP(IF(0.05*(SUM($D$13:$D$17))&gt;8,0.05*(SUM($D$13:$D$17)),8),0)</f>
        <v>8</v>
      </c>
      <c r="D19" s="1132">
        <f>C19</f>
        <v>8</v>
      </c>
      <c r="E19" s="1132">
        <f>0.5*$D19</f>
        <v>4</v>
      </c>
      <c r="F19" s="1132">
        <f>0.5*$D19</f>
        <v>4</v>
      </c>
      <c r="G19" s="1053"/>
      <c r="H19" s="1053"/>
    </row>
    <row r="20" spans="1:8" x14ac:dyDescent="0.25">
      <c r="A20" s="1067" t="s">
        <v>563</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899</v>
      </c>
      <c r="D22" s="1069">
        <f>D5</f>
        <v>4</v>
      </c>
      <c r="E22" s="1069">
        <f t="shared" ref="E22:G22" si="3">E5</f>
        <v>0</v>
      </c>
      <c r="F22" s="1069">
        <f t="shared" si="3"/>
        <v>0.5</v>
      </c>
      <c r="G22" s="1069">
        <f t="shared" si="3"/>
        <v>0</v>
      </c>
      <c r="H22" s="1067"/>
    </row>
    <row r="23" spans="1:8" x14ac:dyDescent="0.25">
      <c r="A23" s="1067"/>
      <c r="B23" s="1067"/>
      <c r="C23" s="268" t="s">
        <v>900</v>
      </c>
      <c r="D23" s="268">
        <f>SUM(D6)/8</f>
        <v>0</v>
      </c>
      <c r="E23" s="268">
        <f t="shared" ref="E23:G23" si="4">SUM(E6)/8</f>
        <v>0</v>
      </c>
      <c r="F23" s="268">
        <f t="shared" si="4"/>
        <v>0</v>
      </c>
      <c r="G23" s="268">
        <f t="shared" si="4"/>
        <v>0</v>
      </c>
      <c r="H23" s="1067"/>
    </row>
    <row r="24" spans="1:8" x14ac:dyDescent="0.25">
      <c r="A24" s="1067"/>
      <c r="B24" s="1067"/>
      <c r="C24" s="63" t="s">
        <v>901</v>
      </c>
      <c r="D24" s="63">
        <f>SUM(D13:D17)/8</f>
        <v>0</v>
      </c>
      <c r="E24" s="63">
        <f>ROUNDUP(SUM(E13:E18)/8,0)</f>
        <v>1</v>
      </c>
      <c r="F24" s="63">
        <f>ROUNDUP(SUM(F13:F18)/8,0)</f>
        <v>1</v>
      </c>
      <c r="G24" s="63">
        <f>ROUNDUP(SUM(G13:G18)/8,0)</f>
        <v>0</v>
      </c>
      <c r="H24" s="1067"/>
    </row>
    <row r="25" spans="1:8" x14ac:dyDescent="0.25">
      <c r="A25" s="1067"/>
      <c r="B25" s="1067"/>
      <c r="C25" s="268" t="s">
        <v>902</v>
      </c>
      <c r="D25" s="268">
        <f>ROUNDUP(SUM(D19)/8,0)</f>
        <v>1</v>
      </c>
      <c r="E25" s="268">
        <f t="shared" ref="E25:G25" si="5">ROUNDUP(SUM(E19)/8,0)</f>
        <v>1</v>
      </c>
      <c r="F25" s="268">
        <f t="shared" si="5"/>
        <v>1</v>
      </c>
      <c r="G25" s="268">
        <f t="shared" si="5"/>
        <v>0</v>
      </c>
      <c r="H25" s="1067"/>
    </row>
    <row r="26" spans="1:8" x14ac:dyDescent="0.25">
      <c r="A26" s="1067"/>
      <c r="B26" s="1067"/>
      <c r="C26" s="63" t="s">
        <v>903</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1002</v>
      </c>
      <c r="B2" s="1035">
        <f>ТрЗ_ОВ!E113</f>
        <v>0</v>
      </c>
      <c r="C2" s="1036"/>
      <c r="D2" s="1036"/>
      <c r="E2" s="1036"/>
      <c r="F2" s="1036"/>
      <c r="G2" s="1036"/>
      <c r="H2" s="1036"/>
    </row>
    <row r="3" spans="1:8" x14ac:dyDescent="0.25">
      <c r="A3" s="1037" t="s">
        <v>1003</v>
      </c>
      <c r="B3" s="1038">
        <f>ТрЗ_ОВ!H113</f>
        <v>0</v>
      </c>
      <c r="C3" s="1039"/>
      <c r="D3" s="1039"/>
      <c r="E3" s="1039"/>
      <c r="F3" s="1039"/>
      <c r="G3" s="1039"/>
      <c r="H3" s="1039"/>
    </row>
    <row r="4" spans="1:8" x14ac:dyDescent="0.25">
      <c r="A4" s="1037" t="s">
        <v>1004</v>
      </c>
      <c r="B4" s="1038">
        <f>ТрЗ_ОВ!J113</f>
        <v>0</v>
      </c>
      <c r="C4" s="1039"/>
      <c r="D4" s="1039"/>
      <c r="E4" s="1039"/>
      <c r="F4" s="1039"/>
      <c r="G4" s="1039"/>
      <c r="H4" s="1039"/>
    </row>
    <row r="5" spans="1:8" x14ac:dyDescent="0.25">
      <c r="A5" s="1037" t="s">
        <v>1005</v>
      </c>
      <c r="B5" s="1038">
        <f>ТрЗ_ОВ!M113</f>
        <v>0</v>
      </c>
      <c r="C5" s="1039"/>
      <c r="D5" s="1039"/>
      <c r="E5" s="1039"/>
      <c r="F5" s="1039"/>
      <c r="G5" s="1039"/>
      <c r="H5" s="1039"/>
    </row>
    <row r="6" spans="1:8" x14ac:dyDescent="0.25">
      <c r="A6" s="1037" t="s">
        <v>1006</v>
      </c>
      <c r="B6" s="1038">
        <f>ТрЗ_ОВ!O113</f>
        <v>0</v>
      </c>
      <c r="C6" s="1039"/>
      <c r="D6" s="1039"/>
      <c r="E6" s="1039"/>
      <c r="F6" s="1039"/>
      <c r="G6" s="1039"/>
      <c r="H6" s="1039"/>
    </row>
    <row r="7" spans="1:8" x14ac:dyDescent="0.25">
      <c r="A7" s="1037" t="s">
        <v>879</v>
      </c>
      <c r="B7" s="1038">
        <v>1</v>
      </c>
      <c r="C7" s="1040">
        <v>4</v>
      </c>
      <c r="D7" s="1039">
        <v>4</v>
      </c>
      <c r="E7" s="1040"/>
      <c r="F7" s="1039">
        <f>D7/8</f>
        <v>0.5</v>
      </c>
      <c r="G7" s="1040"/>
      <c r="H7" s="1039"/>
    </row>
    <row r="8" spans="1:8" x14ac:dyDescent="0.25">
      <c r="A8" s="1037" t="s">
        <v>880</v>
      </c>
      <c r="B8" s="1041" t="s">
        <v>881</v>
      </c>
      <c r="C8" s="1040">
        <f>SUM(C9:C12)</f>
        <v>4</v>
      </c>
      <c r="D8" s="1039">
        <f>C8*SUM($B$3:$B$5)</f>
        <v>0</v>
      </c>
      <c r="E8" s="1040">
        <f>0.5*$D8</f>
        <v>0</v>
      </c>
      <c r="F8" s="1040">
        <f>0.5*$D8</f>
        <v>0</v>
      </c>
      <c r="G8" s="1040"/>
      <c r="H8" s="1039"/>
    </row>
    <row r="9" spans="1:8" x14ac:dyDescent="0.25">
      <c r="A9" s="1042" t="s">
        <v>882</v>
      </c>
      <c r="B9" s="1043">
        <v>1</v>
      </c>
      <c r="C9" s="1040">
        <v>1</v>
      </c>
      <c r="D9" s="1039">
        <f t="shared" ref="D9:D12" si="0">C9*SUM($B$3:$B$5)</f>
        <v>0</v>
      </c>
      <c r="E9" s="1040">
        <f t="shared" ref="E9:F12" si="1">0.5*$D9</f>
        <v>0</v>
      </c>
      <c r="F9" s="1040">
        <f t="shared" si="1"/>
        <v>0</v>
      </c>
      <c r="G9" s="1040"/>
      <c r="H9" s="1039"/>
    </row>
    <row r="10" spans="1:8" x14ac:dyDescent="0.25">
      <c r="A10" s="1042" t="s">
        <v>883</v>
      </c>
      <c r="B10" s="1043">
        <v>1</v>
      </c>
      <c r="C10" s="1040">
        <v>1</v>
      </c>
      <c r="D10" s="1039">
        <f t="shared" si="0"/>
        <v>0</v>
      </c>
      <c r="E10" s="1040">
        <f t="shared" si="1"/>
        <v>0</v>
      </c>
      <c r="F10" s="1040">
        <f t="shared" si="1"/>
        <v>0</v>
      </c>
      <c r="G10" s="1040"/>
      <c r="H10" s="1039"/>
    </row>
    <row r="11" spans="1:8" x14ac:dyDescent="0.25">
      <c r="A11" s="1042" t="s">
        <v>884</v>
      </c>
      <c r="B11" s="1043">
        <v>1</v>
      </c>
      <c r="C11" s="1040">
        <v>1</v>
      </c>
      <c r="D11" s="1039">
        <f t="shared" si="0"/>
        <v>0</v>
      </c>
      <c r="E11" s="1040">
        <f t="shared" si="1"/>
        <v>0</v>
      </c>
      <c r="F11" s="1040">
        <f t="shared" si="1"/>
        <v>0</v>
      </c>
      <c r="G11" s="1040"/>
      <c r="H11" s="1039"/>
    </row>
    <row r="12" spans="1:8" x14ac:dyDescent="0.25">
      <c r="A12" s="1042" t="s">
        <v>885</v>
      </c>
      <c r="B12" s="1043">
        <v>1</v>
      </c>
      <c r="C12" s="1040">
        <v>1</v>
      </c>
      <c r="D12" s="1039">
        <f t="shared" si="0"/>
        <v>0</v>
      </c>
      <c r="E12" s="1040">
        <f t="shared" si="1"/>
        <v>0</v>
      </c>
      <c r="F12" s="1040">
        <f t="shared" si="1"/>
        <v>0</v>
      </c>
      <c r="G12" s="1040"/>
      <c r="H12" s="1039"/>
    </row>
    <row r="13" spans="1:8" x14ac:dyDescent="0.25">
      <c r="A13" s="1037" t="s">
        <v>886</v>
      </c>
      <c r="B13" s="1043"/>
      <c r="C13" s="1039"/>
      <c r="D13" s="1039"/>
      <c r="E13" s="1039"/>
      <c r="F13" s="1039"/>
      <c r="G13" s="1039"/>
      <c r="H13" s="1039"/>
    </row>
    <row r="14" spans="1:8" x14ac:dyDescent="0.25">
      <c r="A14" s="1037" t="s">
        <v>887</v>
      </c>
      <c r="B14" s="1043"/>
      <c r="C14" s="1039"/>
      <c r="D14" s="1039"/>
      <c r="E14" s="1039"/>
      <c r="F14" s="1039"/>
      <c r="G14" s="1039"/>
      <c r="H14" s="1039"/>
    </row>
    <row r="15" spans="1:8" x14ac:dyDescent="0.25">
      <c r="A15" s="1042" t="s">
        <v>888</v>
      </c>
      <c r="B15" s="1043">
        <v>1</v>
      </c>
      <c r="C15" s="1039">
        <v>2</v>
      </c>
      <c r="D15" s="1039">
        <f>IF(B15=1,C15*$B$3,0)</f>
        <v>0</v>
      </c>
      <c r="E15" s="1039">
        <f>0.7*D15</f>
        <v>0</v>
      </c>
      <c r="F15" s="1048">
        <f>0.3*D15</f>
        <v>0</v>
      </c>
      <c r="G15" s="1130"/>
      <c r="H15" s="1040"/>
    </row>
    <row r="16" spans="1:8" x14ac:dyDescent="0.25">
      <c r="A16" s="1134" t="s">
        <v>1007</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1008</v>
      </c>
      <c r="B17" s="1135">
        <f>IF(B2&gt;0,0,1)</f>
        <v>1</v>
      </c>
      <c r="C17" s="1039">
        <v>2</v>
      </c>
      <c r="D17" s="1039">
        <f t="shared" si="2"/>
        <v>0</v>
      </c>
      <c r="E17" s="1039">
        <f t="shared" si="3"/>
        <v>0</v>
      </c>
      <c r="F17" s="1048">
        <f t="shared" si="4"/>
        <v>0</v>
      </c>
      <c r="G17" s="1130"/>
      <c r="H17" s="1040"/>
    </row>
    <row r="18" spans="1:8" x14ac:dyDescent="0.25">
      <c r="A18" s="1134" t="s">
        <v>1009</v>
      </c>
      <c r="B18" s="1135">
        <f>IF(B2&gt;0,0,1)</f>
        <v>1</v>
      </c>
      <c r="C18" s="1039">
        <v>2</v>
      </c>
      <c r="D18" s="1039">
        <f t="shared" si="2"/>
        <v>0</v>
      </c>
      <c r="E18" s="1039">
        <f t="shared" si="3"/>
        <v>0</v>
      </c>
      <c r="F18" s="1048">
        <f t="shared" si="4"/>
        <v>0</v>
      </c>
      <c r="G18" s="1130"/>
      <c r="H18" s="1040"/>
    </row>
    <row r="19" spans="1:8" x14ac:dyDescent="0.25">
      <c r="A19" s="1134" t="s">
        <v>1010</v>
      </c>
      <c r="B19" s="1135">
        <f>IF(B2&gt;0,1,0)</f>
        <v>0</v>
      </c>
      <c r="C19" s="1039">
        <v>2</v>
      </c>
      <c r="D19" s="1039">
        <f>IF(B19&lt;&gt;0,C19*$B$2,0)</f>
        <v>0</v>
      </c>
      <c r="E19" s="1039">
        <f t="shared" si="3"/>
        <v>0</v>
      </c>
      <c r="F19" s="1048">
        <f t="shared" si="4"/>
        <v>0</v>
      </c>
      <c r="G19" s="1130"/>
      <c r="H19" s="1040"/>
    </row>
    <row r="20" spans="1:8" x14ac:dyDescent="0.25">
      <c r="A20" s="1134" t="s">
        <v>1011</v>
      </c>
      <c r="B20" s="1135">
        <v>1</v>
      </c>
      <c r="C20" s="1039">
        <v>40</v>
      </c>
      <c r="D20" s="1039">
        <f>IF(B20=1,C20*$B$6,0)</f>
        <v>0</v>
      </c>
      <c r="F20" s="1048">
        <f>0.7*D20</f>
        <v>0</v>
      </c>
      <c r="G20" s="1130">
        <f>0.3*D20</f>
        <v>0</v>
      </c>
      <c r="H20" s="1040"/>
    </row>
    <row r="21" spans="1:8" x14ac:dyDescent="0.25">
      <c r="A21" s="268" t="s">
        <v>894</v>
      </c>
      <c r="B21" s="1043">
        <v>1</v>
      </c>
      <c r="C21" s="1039">
        <v>1</v>
      </c>
      <c r="D21" s="1039">
        <f>IF(B21=1,C21*$B$3,0)</f>
        <v>0</v>
      </c>
      <c r="E21" s="1039">
        <f t="shared" si="3"/>
        <v>0</v>
      </c>
      <c r="F21" s="1048">
        <f t="shared" si="4"/>
        <v>0</v>
      </c>
      <c r="G21" s="129"/>
      <c r="H21" s="1040"/>
    </row>
    <row r="22" spans="1:8" x14ac:dyDescent="0.25">
      <c r="A22" t="s">
        <v>1012</v>
      </c>
      <c r="B22" s="1043">
        <v>1</v>
      </c>
      <c r="C22" s="1039">
        <v>2</v>
      </c>
      <c r="D22" s="1039">
        <f>IF(B22=1,C22*$B$6,0)</f>
        <v>0</v>
      </c>
      <c r="E22" s="1039">
        <f t="shared" si="3"/>
        <v>0</v>
      </c>
      <c r="F22" s="1048">
        <f t="shared" si="4"/>
        <v>0</v>
      </c>
      <c r="G22" s="129"/>
      <c r="H22" s="1040"/>
    </row>
    <row r="23" spans="1:8" ht="25.5" x14ac:dyDescent="0.25">
      <c r="A23" s="1037" t="s">
        <v>895</v>
      </c>
      <c r="B23" s="1039" t="s">
        <v>896</v>
      </c>
      <c r="C23" s="1039"/>
      <c r="D23" s="1039">
        <f>ROUNDUP(SUM(D15:D22)*0.1,1)</f>
        <v>0</v>
      </c>
      <c r="E23" s="1039"/>
      <c r="F23" s="1039">
        <f>0.5*D23</f>
        <v>0</v>
      </c>
      <c r="G23" s="1039">
        <f>0.5*D23</f>
        <v>0</v>
      </c>
      <c r="H23" s="1039"/>
    </row>
    <row r="24" spans="1:8" ht="26.25" thickBot="1" x14ac:dyDescent="0.3">
      <c r="A24" s="1070" t="s">
        <v>897</v>
      </c>
      <c r="B24" s="1053" t="s">
        <v>898</v>
      </c>
      <c r="C24" s="1053"/>
      <c r="D24" s="1039">
        <f>ROUNDUP(SUM(D14:D22)*0.1,1)</f>
        <v>0</v>
      </c>
      <c r="E24" s="1053"/>
      <c r="F24" s="1039">
        <f>0.5*D24</f>
        <v>0</v>
      </c>
      <c r="G24" s="1039">
        <f>0.5*D24</f>
        <v>0</v>
      </c>
      <c r="H24" s="1053"/>
    </row>
    <row r="25" spans="1:8" x14ac:dyDescent="0.25">
      <c r="A25" s="1067" t="s">
        <v>563</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899</v>
      </c>
      <c r="D27" s="1069"/>
      <c r="E27" s="1069"/>
      <c r="F27" s="1069"/>
      <c r="G27" s="1069"/>
      <c r="H27" s="1067"/>
    </row>
    <row r="28" spans="1:8" x14ac:dyDescent="0.25">
      <c r="A28" s="1067"/>
      <c r="B28" s="1067"/>
      <c r="C28" s="268" t="s">
        <v>900</v>
      </c>
      <c r="D28" s="268">
        <f>SUM(D9:D12)/8</f>
        <v>0</v>
      </c>
      <c r="E28" s="268">
        <f>ROUNDUP(SUM(E9:E12)/8,0)</f>
        <v>0</v>
      </c>
      <c r="F28" s="268">
        <f>ROUNDUP(SUM(F9:F12)/8,0)</f>
        <v>0</v>
      </c>
      <c r="G28" s="268">
        <f>ROUNDUP(SUM(G7:G12)/8,0)</f>
        <v>0</v>
      </c>
      <c r="H28" s="1067"/>
    </row>
    <row r="29" spans="1:8" x14ac:dyDescent="0.25">
      <c r="A29" s="1067"/>
      <c r="B29" s="1067"/>
      <c r="C29" s="63" t="s">
        <v>901</v>
      </c>
      <c r="D29" s="63">
        <f>ROUNDUP(SUM(D15:D23)/8,1)</f>
        <v>0</v>
      </c>
      <c r="E29" s="63">
        <f t="shared" ref="E29:G29" si="5">ROUNDUP(SUM(E15:E23)/8,1)</f>
        <v>0</v>
      </c>
      <c r="F29" s="63">
        <f t="shared" si="5"/>
        <v>0</v>
      </c>
      <c r="G29" s="63">
        <f t="shared" si="5"/>
        <v>0</v>
      </c>
      <c r="H29" s="1067"/>
    </row>
    <row r="30" spans="1:8" x14ac:dyDescent="0.25">
      <c r="A30" s="1067"/>
      <c r="B30" s="1067"/>
      <c r="C30" s="268" t="s">
        <v>902</v>
      </c>
      <c r="D30" s="268">
        <f>ROUNDUP(SUM(D24)/8,1)</f>
        <v>0</v>
      </c>
      <c r="E30" s="268">
        <f t="shared" ref="E30:G30" si="6">ROUNDUP(SUM(E24)/8,1)</f>
        <v>0</v>
      </c>
      <c r="F30" s="268">
        <f t="shared" si="6"/>
        <v>0</v>
      </c>
      <c r="G30" s="268">
        <f t="shared" si="6"/>
        <v>0</v>
      </c>
      <c r="H30" s="1067"/>
    </row>
    <row r="31" spans="1:8" x14ac:dyDescent="0.25">
      <c r="A31" s="1067"/>
      <c r="B31" s="1067"/>
      <c r="C31" s="63" t="s">
        <v>903</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ТрЗ_ОВ!E126</f>
        <v>0</v>
      </c>
      <c r="C2" s="1036"/>
      <c r="D2" s="1036"/>
      <c r="E2" s="1036"/>
      <c r="F2" s="1036"/>
      <c r="G2" s="1036"/>
      <c r="H2" s="1036"/>
    </row>
    <row r="3" spans="1:8" x14ac:dyDescent="0.25">
      <c r="A3" s="1037" t="s">
        <v>876</v>
      </c>
      <c r="B3" s="1038">
        <f>ТрЗ_ОВ!H126</f>
        <v>0</v>
      </c>
      <c r="C3" s="1039"/>
      <c r="D3" s="1039"/>
      <c r="E3" s="1039"/>
      <c r="F3" s="1039"/>
      <c r="G3" s="1039"/>
      <c r="H3" s="1039"/>
    </row>
    <row r="4" spans="1:8" x14ac:dyDescent="0.25">
      <c r="A4" s="1037" t="s">
        <v>879</v>
      </c>
      <c r="B4" s="1041"/>
      <c r="C4" s="1039"/>
      <c r="D4" s="1039"/>
      <c r="E4" s="1039"/>
      <c r="F4" s="1039"/>
      <c r="G4" s="1039"/>
      <c r="H4" s="1039"/>
    </row>
    <row r="5" spans="1:8" x14ac:dyDescent="0.25">
      <c r="A5" s="1037" t="s">
        <v>879</v>
      </c>
      <c r="B5" s="1038">
        <v>1</v>
      </c>
      <c r="C5" s="1040">
        <v>4</v>
      </c>
      <c r="D5" s="1039">
        <v>4</v>
      </c>
      <c r="E5" s="1040"/>
      <c r="F5" s="1039">
        <f>D5/8</f>
        <v>0.5</v>
      </c>
      <c r="G5" s="1040"/>
      <c r="H5" s="1039"/>
    </row>
    <row r="6" spans="1:8" x14ac:dyDescent="0.25">
      <c r="A6" s="1037" t="s">
        <v>880</v>
      </c>
      <c r="B6" s="1041" t="s">
        <v>881</v>
      </c>
      <c r="C6" s="1040">
        <f>SUM(C7:C10)</f>
        <v>4</v>
      </c>
      <c r="D6" s="1039">
        <f>C6*$B$3</f>
        <v>0</v>
      </c>
      <c r="E6" s="1040">
        <f>0.5*$D$10</f>
        <v>0</v>
      </c>
      <c r="F6" s="1040">
        <f>0.5*$D$10</f>
        <v>0</v>
      </c>
      <c r="G6" s="1040"/>
      <c r="H6" s="1039"/>
    </row>
    <row r="7" spans="1:8" x14ac:dyDescent="0.25">
      <c r="A7" s="1042" t="s">
        <v>882</v>
      </c>
      <c r="B7" s="1043">
        <v>1</v>
      </c>
      <c r="C7" s="1040">
        <v>1</v>
      </c>
      <c r="D7" s="1039">
        <f t="shared" ref="D7:D10" si="0">C7*$B$3</f>
        <v>0</v>
      </c>
      <c r="E7" s="1040"/>
      <c r="F7" s="1039"/>
      <c r="G7" s="1040"/>
      <c r="H7" s="1039"/>
    </row>
    <row r="8" spans="1:8" x14ac:dyDescent="0.25">
      <c r="A8" s="1042" t="s">
        <v>883</v>
      </c>
      <c r="B8" s="1043">
        <v>1</v>
      </c>
      <c r="C8" s="1040">
        <v>1</v>
      </c>
      <c r="D8" s="1039">
        <f t="shared" si="0"/>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42" t="s">
        <v>888</v>
      </c>
      <c r="B12" s="1043">
        <v>1</v>
      </c>
      <c r="C12" s="1039">
        <v>1</v>
      </c>
      <c r="D12" s="1039">
        <f>C12*$B$3</f>
        <v>0</v>
      </c>
      <c r="E12" s="1039">
        <f>0.5*D12</f>
        <v>0</v>
      </c>
      <c r="F12" s="1039">
        <f>0.5*D12</f>
        <v>0</v>
      </c>
      <c r="G12" s="1039"/>
      <c r="H12" s="1039"/>
    </row>
    <row r="13" spans="1:8" x14ac:dyDescent="0.25">
      <c r="A13" s="268" t="s">
        <v>894</v>
      </c>
      <c r="B13" s="1043">
        <v>1</v>
      </c>
      <c r="C13" s="1039">
        <v>1</v>
      </c>
      <c r="D13" s="1039">
        <f t="shared" ref="D13:D14" si="1">C13*$B$3</f>
        <v>0</v>
      </c>
      <c r="E13" s="1039">
        <f t="shared" ref="E13:E15" si="2">0.5*D13</f>
        <v>0</v>
      </c>
      <c r="F13" s="1039">
        <f t="shared" ref="F13:F15" si="3">0.5*D13</f>
        <v>0</v>
      </c>
      <c r="G13" s="1039"/>
      <c r="H13" s="1039"/>
    </row>
    <row r="14" spans="1:8" x14ac:dyDescent="0.25">
      <c r="A14" s="1072" t="s">
        <v>889</v>
      </c>
      <c r="B14" s="1043">
        <v>1</v>
      </c>
      <c r="C14" s="1039">
        <v>3</v>
      </c>
      <c r="D14" s="1039">
        <f t="shared" si="1"/>
        <v>0</v>
      </c>
      <c r="E14" s="1039">
        <f t="shared" si="2"/>
        <v>0</v>
      </c>
      <c r="F14" s="1039">
        <f t="shared" si="3"/>
        <v>0</v>
      </c>
      <c r="G14" s="1039"/>
      <c r="H14" s="1039"/>
    </row>
    <row r="15" spans="1:8" x14ac:dyDescent="0.25">
      <c r="A15" s="1037" t="s">
        <v>890</v>
      </c>
      <c r="B15" s="1043">
        <v>1</v>
      </c>
      <c r="C15" s="1039">
        <v>20</v>
      </c>
      <c r="D15" s="1039">
        <f>C15*$B$3</f>
        <v>0</v>
      </c>
      <c r="E15" s="1039">
        <f t="shared" si="2"/>
        <v>0</v>
      </c>
      <c r="F15" s="1039">
        <f t="shared" si="3"/>
        <v>0</v>
      </c>
      <c r="G15" s="1039"/>
      <c r="H15" s="1039"/>
    </row>
    <row r="16" spans="1:8" ht="25.5" x14ac:dyDescent="0.25">
      <c r="A16" s="1037" t="s">
        <v>895</v>
      </c>
      <c r="B16" s="1039" t="s">
        <v>896</v>
      </c>
      <c r="C16" s="1039"/>
      <c r="D16" s="1039">
        <f>0.1*SUM(D12:D15)</f>
        <v>0</v>
      </c>
      <c r="E16" s="817"/>
      <c r="F16" s="1039">
        <f>0.5*D16</f>
        <v>0</v>
      </c>
      <c r="G16" s="1039">
        <f>0.5*D16</f>
        <v>0</v>
      </c>
      <c r="H16" s="1039"/>
    </row>
    <row r="17" spans="1:8" ht="26.25" thickBot="1" x14ac:dyDescent="0.3">
      <c r="A17" s="1070" t="s">
        <v>897</v>
      </c>
      <c r="B17" s="1053" t="s">
        <v>898</v>
      </c>
      <c r="C17" s="1053"/>
      <c r="D17" s="1053">
        <f>0.1*SUM(D12:D15)</f>
        <v>0</v>
      </c>
      <c r="E17" s="324"/>
      <c r="F17" s="1039">
        <f>0.5*D17</f>
        <v>0</v>
      </c>
      <c r="G17" s="1039">
        <f>0.5*D17</f>
        <v>0</v>
      </c>
      <c r="H17" s="1053"/>
    </row>
    <row r="18" spans="1:8" x14ac:dyDescent="0.25">
      <c r="A18" s="1067" t="s">
        <v>563</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899</v>
      </c>
      <c r="D20" s="1069"/>
      <c r="E20" s="1069"/>
      <c r="F20" s="1069"/>
      <c r="G20" s="1069"/>
      <c r="H20" s="1067"/>
    </row>
    <row r="21" spans="1:8" x14ac:dyDescent="0.25">
      <c r="A21" s="1067"/>
      <c r="B21" s="1067"/>
      <c r="C21" s="268" t="s">
        <v>900</v>
      </c>
      <c r="D21" s="268">
        <f>SUM(D6:D9)/8</f>
        <v>0</v>
      </c>
      <c r="E21" s="268">
        <f>ROUNDUP(SUM(E6:E9)/8,0)</f>
        <v>0</v>
      </c>
      <c r="F21" s="268">
        <f>ROUNDUP(SUM(F6:F9)/8,0)</f>
        <v>0</v>
      </c>
      <c r="G21" s="268">
        <f>ROUNDUP(SUM(G4:G9)/8,0)</f>
        <v>0</v>
      </c>
      <c r="H21" s="1067"/>
    </row>
    <row r="22" spans="1:8" x14ac:dyDescent="0.25">
      <c r="A22" s="1067"/>
      <c r="B22" s="1067"/>
      <c r="C22" s="63" t="s">
        <v>901</v>
      </c>
      <c r="D22" s="63">
        <f>ROUNDUP(SUM(D12:D16)/8,1)</f>
        <v>0</v>
      </c>
      <c r="E22" s="63">
        <f t="shared" ref="E22:G22" si="4">ROUNDUP(SUM(E12:E16)/8,1)</f>
        <v>0</v>
      </c>
      <c r="F22" s="63">
        <f t="shared" si="4"/>
        <v>0</v>
      </c>
      <c r="G22" s="63">
        <f t="shared" si="4"/>
        <v>0</v>
      </c>
      <c r="H22" s="1067"/>
    </row>
    <row r="23" spans="1:8" x14ac:dyDescent="0.25">
      <c r="A23" s="1067"/>
      <c r="B23" s="1067"/>
      <c r="C23" s="268" t="s">
        <v>902</v>
      </c>
      <c r="D23" s="268">
        <f>ROUNDUP(SUM(D17)/8,0)</f>
        <v>0</v>
      </c>
      <c r="E23" s="268">
        <f t="shared" ref="E23:G23" si="5">ROUNDUP(SUM(E17)/8,0)</f>
        <v>0</v>
      </c>
      <c r="F23" s="268">
        <f t="shared" si="5"/>
        <v>0</v>
      </c>
      <c r="G23" s="268">
        <f t="shared" si="5"/>
        <v>0</v>
      </c>
      <c r="H23" s="1067"/>
    </row>
    <row r="24" spans="1:8" x14ac:dyDescent="0.25">
      <c r="A24" s="1067"/>
      <c r="B24" s="1067"/>
      <c r="C24" s="63" t="s">
        <v>903</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ТрЗ_ОВ!E161</f>
        <v>0</v>
      </c>
      <c r="C2" s="1036"/>
      <c r="D2" s="1036"/>
      <c r="E2" s="1036"/>
      <c r="F2" s="1036"/>
      <c r="G2" s="1036"/>
      <c r="H2" s="1036"/>
    </row>
    <row r="3" spans="1:8" x14ac:dyDescent="0.25">
      <c r="A3" s="1037" t="s">
        <v>1013</v>
      </c>
      <c r="B3" s="1038">
        <f>ТрЗ_ОВ!H161</f>
        <v>0</v>
      </c>
      <c r="C3" s="1039"/>
      <c r="D3" s="1039"/>
      <c r="E3" s="1039"/>
      <c r="F3" s="1039"/>
      <c r="G3" s="1039"/>
      <c r="H3" s="1039"/>
    </row>
    <row r="4" spans="1:8" x14ac:dyDescent="0.25">
      <c r="A4" s="1037" t="s">
        <v>1014</v>
      </c>
      <c r="B4" s="1038">
        <f>ТрЗ_ОВ!J161</f>
        <v>0</v>
      </c>
      <c r="C4" s="1039"/>
      <c r="D4" s="1039"/>
      <c r="E4" s="1039"/>
      <c r="F4" s="1039"/>
      <c r="G4" s="1039"/>
      <c r="H4" s="1039"/>
    </row>
    <row r="5" spans="1:8" x14ac:dyDescent="0.25">
      <c r="A5" s="1037" t="s">
        <v>1015</v>
      </c>
      <c r="B5" s="1038">
        <f>ТрЗ_ОВ!M161</f>
        <v>0</v>
      </c>
      <c r="C5" s="1039"/>
      <c r="D5" s="1039"/>
      <c r="E5" s="1039"/>
      <c r="F5" s="1039"/>
      <c r="G5" s="1039"/>
      <c r="H5" s="1039"/>
    </row>
    <row r="6" spans="1:8" x14ac:dyDescent="0.25">
      <c r="A6" s="1037" t="s">
        <v>879</v>
      </c>
      <c r="B6" s="1038">
        <v>1</v>
      </c>
      <c r="C6" s="1040">
        <v>4</v>
      </c>
      <c r="D6" s="1039">
        <v>4</v>
      </c>
      <c r="E6" s="1040"/>
      <c r="F6" s="1039">
        <f>D6/8</f>
        <v>0.5</v>
      </c>
      <c r="G6" s="1040"/>
      <c r="H6" s="1039"/>
    </row>
    <row r="7" spans="1:8" x14ac:dyDescent="0.25">
      <c r="A7" s="1037" t="s">
        <v>880</v>
      </c>
      <c r="B7" s="1041" t="s">
        <v>881</v>
      </c>
      <c r="C7" s="1040">
        <f>SUM(C8:C11)</f>
        <v>4</v>
      </c>
      <c r="D7" s="1039">
        <f>C7*SUM($B$3:$B$4)</f>
        <v>0</v>
      </c>
      <c r="E7" s="1040">
        <f>0.5*$D$10</f>
        <v>0</v>
      </c>
      <c r="F7" s="1040">
        <f>0.5*$D$10</f>
        <v>0</v>
      </c>
      <c r="G7" s="1040"/>
      <c r="H7" s="1039"/>
    </row>
    <row r="8" spans="1:8" x14ac:dyDescent="0.25">
      <c r="A8" s="1042" t="s">
        <v>882</v>
      </c>
      <c r="B8" s="1043">
        <v>1</v>
      </c>
      <c r="C8" s="1040">
        <v>1</v>
      </c>
      <c r="D8" s="1039">
        <f t="shared" ref="D8:D11" si="0">C8*SUM($B$3:$B$4)</f>
        <v>0</v>
      </c>
      <c r="E8" s="1040"/>
      <c r="F8" s="1039"/>
      <c r="G8" s="1040"/>
      <c r="H8" s="1039"/>
    </row>
    <row r="9" spans="1:8" x14ac:dyDescent="0.25">
      <c r="A9" s="1042" t="s">
        <v>883</v>
      </c>
      <c r="B9" s="1043">
        <v>1</v>
      </c>
      <c r="C9" s="1040">
        <v>1</v>
      </c>
      <c r="D9" s="1039">
        <f t="shared" si="0"/>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37" t="s">
        <v>886</v>
      </c>
      <c r="B12" s="1043"/>
      <c r="C12" s="1039"/>
      <c r="D12" s="1039"/>
      <c r="E12" s="1039"/>
      <c r="F12" s="1039"/>
      <c r="G12" s="1039"/>
      <c r="H12" s="1039"/>
    </row>
    <row r="13" spans="1:8" x14ac:dyDescent="0.25">
      <c r="A13" s="1037" t="s">
        <v>887</v>
      </c>
      <c r="B13" s="1043"/>
      <c r="C13" s="1039"/>
      <c r="D13" s="1039"/>
      <c r="E13" s="1039"/>
      <c r="F13" s="1039"/>
      <c r="G13" s="1039"/>
      <c r="H13" s="1039"/>
    </row>
    <row r="14" spans="1:8" x14ac:dyDescent="0.25">
      <c r="A14" s="1042" t="s">
        <v>888</v>
      </c>
      <c r="B14" s="1043">
        <v>1</v>
      </c>
      <c r="C14" s="1039">
        <v>1</v>
      </c>
      <c r="D14" s="1039">
        <f>C14*SUM(B3:B4)</f>
        <v>0</v>
      </c>
      <c r="E14" s="1039">
        <f>0.5*D14</f>
        <v>0</v>
      </c>
      <c r="F14" s="1039">
        <f>0.5*D14</f>
        <v>0</v>
      </c>
      <c r="G14" s="1039"/>
      <c r="H14" s="1039"/>
    </row>
    <row r="15" spans="1:8" x14ac:dyDescent="0.25">
      <c r="A15" s="1042" t="s">
        <v>1016</v>
      </c>
      <c r="B15" s="1043">
        <v>1</v>
      </c>
      <c r="C15" s="1039">
        <v>2</v>
      </c>
      <c r="D15" s="1039">
        <f>C15*SUM(B3:B4)</f>
        <v>0</v>
      </c>
      <c r="E15" s="1039">
        <f t="shared" ref="E15:E18" si="1">0.5*D15</f>
        <v>0</v>
      </c>
      <c r="F15" s="1039">
        <f t="shared" ref="F15:F18" si="2">0.5*D15</f>
        <v>0</v>
      </c>
      <c r="G15" s="1039"/>
      <c r="H15" s="1039"/>
    </row>
    <row r="16" spans="1:8" x14ac:dyDescent="0.25">
      <c r="A16" s="1042" t="s">
        <v>889</v>
      </c>
      <c r="B16" s="1043">
        <v>1</v>
      </c>
      <c r="C16" s="1039">
        <v>1</v>
      </c>
      <c r="D16" s="1039">
        <f>C16*SUM(B3:B4)</f>
        <v>0</v>
      </c>
      <c r="E16" s="1039">
        <f t="shared" si="1"/>
        <v>0</v>
      </c>
      <c r="F16" s="1039">
        <f t="shared" si="2"/>
        <v>0</v>
      </c>
      <c r="G16" s="1039"/>
      <c r="H16" s="1039"/>
    </row>
    <row r="17" spans="1:8" x14ac:dyDescent="0.25">
      <c r="A17" s="1042" t="s">
        <v>1017</v>
      </c>
      <c r="B17" s="1043">
        <v>1</v>
      </c>
      <c r="C17" s="1039">
        <v>4</v>
      </c>
      <c r="D17" s="1039">
        <f>C17*B5</f>
        <v>0</v>
      </c>
      <c r="E17" s="1039">
        <f t="shared" si="1"/>
        <v>0</v>
      </c>
      <c r="F17" s="1039">
        <f t="shared" si="2"/>
        <v>0</v>
      </c>
      <c r="G17" s="1039"/>
      <c r="H17" s="1039"/>
    </row>
    <row r="18" spans="1:8" x14ac:dyDescent="0.25">
      <c r="A18" s="1042" t="s">
        <v>890</v>
      </c>
      <c r="B18" s="1043">
        <v>1</v>
      </c>
      <c r="C18" s="1039">
        <v>1</v>
      </c>
      <c r="D18" s="1039">
        <f>C18</f>
        <v>1</v>
      </c>
      <c r="E18" s="1039">
        <f t="shared" si="1"/>
        <v>0.5</v>
      </c>
      <c r="F18" s="1039">
        <f t="shared" si="2"/>
        <v>0.5</v>
      </c>
      <c r="G18" s="1039"/>
      <c r="H18" s="1039"/>
    </row>
    <row r="19" spans="1:8" ht="25.5" x14ac:dyDescent="0.25">
      <c r="A19" s="1037" t="s">
        <v>895</v>
      </c>
      <c r="B19" s="1039" t="s">
        <v>896</v>
      </c>
      <c r="C19" s="1039"/>
      <c r="D19" s="1039">
        <f>0.1*SUM(D14:D18)</f>
        <v>0.1</v>
      </c>
      <c r="F19" s="1039">
        <f>0.5*D19</f>
        <v>0.05</v>
      </c>
      <c r="G19" s="1039">
        <f>0.5*D19</f>
        <v>0.05</v>
      </c>
      <c r="H19" s="1039"/>
    </row>
    <row r="20" spans="1:8" ht="26.25" thickBot="1" x14ac:dyDescent="0.3">
      <c r="A20" s="1070" t="s">
        <v>897</v>
      </c>
      <c r="B20" s="1053" t="s">
        <v>898</v>
      </c>
      <c r="C20" s="1053"/>
      <c r="D20" s="1053">
        <f>0.1*SUM(D14:D18)</f>
        <v>0.1</v>
      </c>
      <c r="E20" s="1053"/>
      <c r="F20" s="1039">
        <f>0.5*D20</f>
        <v>0.05</v>
      </c>
      <c r="G20" s="1039">
        <f>0.5*D20</f>
        <v>0.05</v>
      </c>
      <c r="H20" s="1053"/>
    </row>
    <row r="21" spans="1:8" x14ac:dyDescent="0.25">
      <c r="A21" s="1067" t="s">
        <v>563</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899</v>
      </c>
      <c r="D23" s="1069"/>
      <c r="E23" s="1069"/>
      <c r="F23" s="1069"/>
      <c r="G23" s="1069"/>
      <c r="H23" s="1067"/>
    </row>
    <row r="24" spans="1:8" x14ac:dyDescent="0.25">
      <c r="A24" s="1067"/>
      <c r="B24" s="1067"/>
      <c r="C24" s="268" t="s">
        <v>900</v>
      </c>
      <c r="D24" s="268">
        <f>SUM(D8:D11)/8</f>
        <v>0</v>
      </c>
      <c r="E24" s="268">
        <f>ROUNDUP(SUM(E8:E11)/8,0)</f>
        <v>0</v>
      </c>
      <c r="F24" s="268">
        <f>ROUNDUP(SUM(F8:F11)/8,0)</f>
        <v>0</v>
      </c>
      <c r="G24" s="268">
        <f>ROUNDUP(SUM(G6:G11)/8,0)</f>
        <v>0</v>
      </c>
      <c r="H24" s="1067"/>
    </row>
    <row r="25" spans="1:8" x14ac:dyDescent="0.25">
      <c r="A25" s="1067"/>
      <c r="B25" s="1067"/>
      <c r="C25" s="63" t="s">
        <v>901</v>
      </c>
      <c r="D25" s="63">
        <f>ROUNDUP(SUM(D14:D19)/8,1)</f>
        <v>0.2</v>
      </c>
      <c r="E25" s="63">
        <f t="shared" ref="E25:G25" si="3">ROUNDUP(SUM(E14:E19)/8,1)</f>
        <v>0.1</v>
      </c>
      <c r="F25" s="63">
        <f t="shared" si="3"/>
        <v>0.1</v>
      </c>
      <c r="G25" s="63">
        <f t="shared" si="3"/>
        <v>0.1</v>
      </c>
      <c r="H25" s="1067"/>
    </row>
    <row r="26" spans="1:8" x14ac:dyDescent="0.25">
      <c r="A26" s="1067"/>
      <c r="B26" s="1067"/>
      <c r="C26" s="268" t="s">
        <v>902</v>
      </c>
      <c r="D26" s="268">
        <f>ROUNDUP(SUM(D20)/8,1)</f>
        <v>0.1</v>
      </c>
      <c r="E26" s="268">
        <f t="shared" ref="E26:G26" si="4">ROUNDUP(SUM(E20)/8,1)</f>
        <v>0</v>
      </c>
      <c r="F26" s="268">
        <f t="shared" si="4"/>
        <v>0.1</v>
      </c>
      <c r="G26" s="268">
        <f t="shared" si="4"/>
        <v>0.1</v>
      </c>
      <c r="H26" s="1067"/>
    </row>
    <row r="27" spans="1:8" x14ac:dyDescent="0.25">
      <c r="A27" s="1067"/>
      <c r="B27" s="1067"/>
      <c r="C27" s="63" t="s">
        <v>903</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871</v>
      </c>
      <c r="B1" s="1033" t="s">
        <v>872</v>
      </c>
      <c r="C1" s="1033" t="s">
        <v>873</v>
      </c>
      <c r="D1" s="1033" t="s">
        <v>52</v>
      </c>
      <c r="E1" s="1033" t="s">
        <v>714</v>
      </c>
      <c r="F1" s="1033" t="s">
        <v>713</v>
      </c>
      <c r="G1" s="1033" t="s">
        <v>712</v>
      </c>
      <c r="H1" s="1033" t="s">
        <v>874</v>
      </c>
    </row>
    <row r="2" spans="1:8" x14ac:dyDescent="0.25">
      <c r="A2" s="1034" t="s">
        <v>875</v>
      </c>
      <c r="B2" s="1035">
        <f>ТрЗ_ОВ!E138</f>
        <v>0</v>
      </c>
      <c r="C2" s="1036"/>
      <c r="D2" s="1036"/>
      <c r="E2" s="1036"/>
      <c r="F2" s="1036"/>
      <c r="G2" s="1036"/>
      <c r="H2" s="1036"/>
    </row>
    <row r="3" spans="1:8" x14ac:dyDescent="0.25">
      <c r="A3" s="1037" t="s">
        <v>876</v>
      </c>
      <c r="B3" s="1038">
        <f>ТрЗ_ОВ!H138</f>
        <v>0</v>
      </c>
      <c r="C3" s="1039"/>
      <c r="D3" s="1039"/>
      <c r="E3" s="1039"/>
      <c r="F3" s="1039"/>
      <c r="G3" s="1039"/>
      <c r="H3" s="1039"/>
    </row>
    <row r="4" spans="1:8" x14ac:dyDescent="0.25">
      <c r="A4" s="1037" t="s">
        <v>879</v>
      </c>
      <c r="B4" s="1038">
        <v>1</v>
      </c>
      <c r="C4" s="1040">
        <v>4</v>
      </c>
      <c r="D4" s="1039">
        <v>4</v>
      </c>
      <c r="E4" s="1040"/>
      <c r="F4" s="1039">
        <f>D4/8</f>
        <v>0.5</v>
      </c>
      <c r="G4" s="1040"/>
      <c r="H4" s="1039"/>
    </row>
    <row r="5" spans="1:8" x14ac:dyDescent="0.25">
      <c r="A5" s="1037" t="s">
        <v>880</v>
      </c>
      <c r="B5" s="1041" t="s">
        <v>881</v>
      </c>
      <c r="C5" s="1040">
        <f>SUM(C6:C9)</f>
        <v>4</v>
      </c>
      <c r="D5" s="1039">
        <f>C5*$B$3</f>
        <v>0</v>
      </c>
      <c r="E5" s="1040">
        <f>0.5*$D$5</f>
        <v>0</v>
      </c>
      <c r="F5" s="1040">
        <f>0.5*$D$5</f>
        <v>0</v>
      </c>
      <c r="G5" s="1040"/>
      <c r="H5" s="1039"/>
    </row>
    <row r="6" spans="1:8" x14ac:dyDescent="0.25">
      <c r="A6" s="1042" t="s">
        <v>882</v>
      </c>
      <c r="B6" s="1043">
        <v>1</v>
      </c>
      <c r="C6" s="1040">
        <v>1</v>
      </c>
      <c r="D6" s="1039">
        <f t="shared" ref="D6:D9" si="0">C6*$B$3</f>
        <v>0</v>
      </c>
      <c r="E6" s="1040"/>
      <c r="F6" s="1039"/>
      <c r="G6" s="1040"/>
      <c r="H6" s="1039"/>
    </row>
    <row r="7" spans="1:8" x14ac:dyDescent="0.25">
      <c r="A7" s="1042" t="s">
        <v>883</v>
      </c>
      <c r="B7" s="1043">
        <v>1</v>
      </c>
      <c r="C7" s="1040">
        <v>1</v>
      </c>
      <c r="D7" s="1039">
        <f t="shared" si="0"/>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37" t="s">
        <v>886</v>
      </c>
      <c r="B10" s="1043"/>
      <c r="C10" s="1039"/>
      <c r="D10" s="1039"/>
      <c r="E10" s="1039"/>
      <c r="F10" s="1039"/>
      <c r="G10" s="1039"/>
      <c r="H10" s="1039"/>
    </row>
    <row r="11" spans="1:8" x14ac:dyDescent="0.25">
      <c r="A11" s="1037" t="s">
        <v>887</v>
      </c>
      <c r="B11" s="1043"/>
      <c r="C11" s="1039"/>
      <c r="D11" s="1039"/>
      <c r="E11" s="1039"/>
      <c r="F11" s="1039"/>
      <c r="G11" s="1039"/>
      <c r="H11" s="1039"/>
    </row>
    <row r="12" spans="1:8" x14ac:dyDescent="0.25">
      <c r="A12" s="1042" t="s">
        <v>888</v>
      </c>
      <c r="B12" s="1043">
        <v>1</v>
      </c>
      <c r="C12" s="1039">
        <v>1</v>
      </c>
      <c r="D12" s="1039">
        <f>C12*$B$3</f>
        <v>0</v>
      </c>
      <c r="E12" s="1039">
        <f>0.5*D12</f>
        <v>0</v>
      </c>
      <c r="F12" s="1039">
        <f>0.5*D12</f>
        <v>0</v>
      </c>
      <c r="G12" s="1039"/>
      <c r="H12" s="1039"/>
    </row>
    <row r="13" spans="1:8" x14ac:dyDescent="0.25">
      <c r="A13" s="268" t="s">
        <v>894</v>
      </c>
      <c r="B13" s="1043">
        <v>1</v>
      </c>
      <c r="C13" s="1039">
        <v>1</v>
      </c>
      <c r="D13" s="1039">
        <f t="shared" ref="D13:D16" si="1">C13*$B$3</f>
        <v>0</v>
      </c>
      <c r="E13" s="1039">
        <f t="shared" ref="E13:E16" si="2">0.5*D13</f>
        <v>0</v>
      </c>
      <c r="F13" s="1039">
        <f t="shared" ref="F13:F16" si="3">0.5*D13</f>
        <v>0</v>
      </c>
      <c r="G13" s="1039"/>
      <c r="H13" s="1039"/>
    </row>
    <row r="14" spans="1:8" x14ac:dyDescent="0.25">
      <c r="A14" s="1072" t="s">
        <v>889</v>
      </c>
      <c r="B14" s="1043">
        <v>1</v>
      </c>
      <c r="C14" s="1039">
        <v>2</v>
      </c>
      <c r="D14" s="1039">
        <f t="shared" si="1"/>
        <v>0</v>
      </c>
      <c r="E14" s="1039">
        <f t="shared" si="2"/>
        <v>0</v>
      </c>
      <c r="F14" s="1039">
        <f t="shared" si="3"/>
        <v>0</v>
      </c>
      <c r="G14" s="1039"/>
      <c r="H14" s="1039"/>
    </row>
    <row r="15" spans="1:8" x14ac:dyDescent="0.25">
      <c r="A15" s="1037" t="s">
        <v>890</v>
      </c>
      <c r="B15" s="1043">
        <v>1</v>
      </c>
      <c r="C15" s="1039">
        <v>2</v>
      </c>
      <c r="D15" s="1039">
        <f>C15*$B$3</f>
        <v>0</v>
      </c>
      <c r="E15" s="1039">
        <f t="shared" si="2"/>
        <v>0</v>
      </c>
      <c r="F15" s="1039">
        <f t="shared" si="3"/>
        <v>0</v>
      </c>
      <c r="G15" s="1039"/>
      <c r="H15" s="1039"/>
    </row>
    <row r="16" spans="1:8" x14ac:dyDescent="0.25">
      <c r="A16" s="1037" t="s">
        <v>1018</v>
      </c>
      <c r="B16" s="1043">
        <v>1</v>
      </c>
      <c r="C16" s="1039">
        <v>16</v>
      </c>
      <c r="D16" s="1039">
        <f t="shared" si="1"/>
        <v>0</v>
      </c>
      <c r="E16" s="1039">
        <f t="shared" si="2"/>
        <v>0</v>
      </c>
      <c r="F16" s="1039">
        <f t="shared" si="3"/>
        <v>0</v>
      </c>
      <c r="G16" s="1039"/>
      <c r="H16" s="1039"/>
    </row>
    <row r="17" spans="1:8" ht="25.5" x14ac:dyDescent="0.25">
      <c r="A17" s="1037" t="s">
        <v>895</v>
      </c>
      <c r="B17" s="1039" t="s">
        <v>896</v>
      </c>
      <c r="C17" s="1039"/>
      <c r="D17" s="1039">
        <f>SUM(D12:D16)*0.1</f>
        <v>0</v>
      </c>
      <c r="F17" s="1039">
        <f>0.5*D17</f>
        <v>0</v>
      </c>
      <c r="G17" s="1039">
        <f>0.5*D17</f>
        <v>0</v>
      </c>
      <c r="H17" s="1039"/>
    </row>
    <row r="18" spans="1:8" ht="26.25" thickBot="1" x14ac:dyDescent="0.3">
      <c r="A18" s="1070" t="s">
        <v>897</v>
      </c>
      <c r="B18" s="1053" t="s">
        <v>898</v>
      </c>
      <c r="C18" s="1053"/>
      <c r="D18" s="1039">
        <f>SUM(D12:D16)*0.1</f>
        <v>0</v>
      </c>
      <c r="E18" s="1053"/>
      <c r="F18" s="1039">
        <f>0.5*D18</f>
        <v>0</v>
      </c>
      <c r="G18" s="1039">
        <f>0.5*D18</f>
        <v>0</v>
      </c>
      <c r="H18" s="1053"/>
    </row>
    <row r="19" spans="1:8" x14ac:dyDescent="0.25">
      <c r="A19" s="1067" t="s">
        <v>563</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899</v>
      </c>
      <c r="D21" s="1069"/>
      <c r="E21" s="1069"/>
      <c r="F21" s="1069"/>
      <c r="G21" s="1069"/>
      <c r="H21" s="1067"/>
    </row>
    <row r="22" spans="1:8" x14ac:dyDescent="0.25">
      <c r="A22" s="1067"/>
      <c r="B22" s="1067"/>
      <c r="C22" s="268" t="s">
        <v>900</v>
      </c>
      <c r="D22" s="268">
        <f>SUM(D6:D9)/8</f>
        <v>0</v>
      </c>
      <c r="E22" s="268">
        <f>ROUNDUP(SUM(E6:E9)/8,0)</f>
        <v>0</v>
      </c>
      <c r="F22" s="268">
        <f>ROUNDUP(SUM(F6:F9)/8,0)</f>
        <v>0</v>
      </c>
      <c r="G22" s="268">
        <f>ROUNDUP(SUM(G4:G9)/8,0)</f>
        <v>0</v>
      </c>
      <c r="H22" s="1067"/>
    </row>
    <row r="23" spans="1:8" x14ac:dyDescent="0.25">
      <c r="A23" s="1067"/>
      <c r="B23" s="1067"/>
      <c r="C23" s="63" t="s">
        <v>901</v>
      </c>
      <c r="D23" s="63">
        <f>SUM(D12:D17)/8</f>
        <v>0</v>
      </c>
      <c r="E23" s="63">
        <f t="shared" ref="E23:G23" si="4">SUM(E12:E17)/8</f>
        <v>0</v>
      </c>
      <c r="F23" s="63">
        <f t="shared" si="4"/>
        <v>0</v>
      </c>
      <c r="G23" s="63">
        <f t="shared" si="4"/>
        <v>0</v>
      </c>
      <c r="H23" s="1067"/>
    </row>
    <row r="24" spans="1:8" x14ac:dyDescent="0.25">
      <c r="A24" s="1067"/>
      <c r="B24" s="1067"/>
      <c r="C24" s="268" t="s">
        <v>902</v>
      </c>
      <c r="D24" s="268">
        <f>ROUNDUP(SUM(D18)/8,0)</f>
        <v>0</v>
      </c>
      <c r="E24" s="268">
        <f t="shared" ref="E24:G24" si="5">ROUNDUP(SUM(E18)/8,0)</f>
        <v>0</v>
      </c>
      <c r="F24" s="268">
        <f t="shared" si="5"/>
        <v>0</v>
      </c>
      <c r="G24" s="268">
        <f t="shared" si="5"/>
        <v>0</v>
      </c>
      <c r="H24" s="1067"/>
    </row>
    <row r="25" spans="1:8" x14ac:dyDescent="0.25">
      <c r="A25" s="1067"/>
      <c r="B25" s="1067"/>
      <c r="C25" s="63" t="s">
        <v>903</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871</v>
      </c>
      <c r="B4" s="1141" t="s">
        <v>872</v>
      </c>
      <c r="C4" s="1142" t="s">
        <v>873</v>
      </c>
      <c r="D4" s="1141" t="s">
        <v>52</v>
      </c>
      <c r="E4" s="1142" t="s">
        <v>714</v>
      </c>
      <c r="F4" s="1142" t="s">
        <v>713</v>
      </c>
      <c r="G4" s="1142" t="s">
        <v>712</v>
      </c>
      <c r="H4" s="1141" t="s">
        <v>874</v>
      </c>
    </row>
    <row r="5" spans="1:8" ht="89.25" x14ac:dyDescent="0.25">
      <c r="A5" s="1037" t="s">
        <v>875</v>
      </c>
      <c r="B5" s="1038">
        <f>ТрЗ_ОВ!E73</f>
        <v>0</v>
      </c>
      <c r="C5" s="1040"/>
      <c r="D5" s="1039"/>
      <c r="E5" s="1040"/>
      <c r="F5" s="1039"/>
      <c r="G5" s="1040"/>
      <c r="H5" s="1039" t="s">
        <v>1019</v>
      </c>
    </row>
    <row r="6" spans="1:8" x14ac:dyDescent="0.25">
      <c r="A6" s="1037" t="s">
        <v>1020</v>
      </c>
      <c r="B6" s="1038">
        <f>ТрЗ_ОВ!H73</f>
        <v>0</v>
      </c>
      <c r="C6" s="1040"/>
      <c r="D6" s="1039"/>
      <c r="E6" s="1040"/>
      <c r="F6" s="1039"/>
      <c r="G6" s="1040"/>
      <c r="H6" s="1039"/>
    </row>
    <row r="7" spans="1:8" x14ac:dyDescent="0.25">
      <c r="A7" s="1037" t="s">
        <v>1021</v>
      </c>
      <c r="B7" s="1038">
        <f>ТрЗ_ОВ!J73</f>
        <v>0</v>
      </c>
      <c r="C7" s="1040"/>
      <c r="D7" s="1039"/>
      <c r="E7" s="1040"/>
      <c r="F7" s="1039"/>
      <c r="G7" s="1040"/>
      <c r="H7" s="1039"/>
    </row>
    <row r="8" spans="1:8" ht="18" customHeight="1" x14ac:dyDescent="0.25">
      <c r="A8" s="1037" t="s">
        <v>1022</v>
      </c>
      <c r="B8" s="1038">
        <f>ТрЗ_ОВ!M73</f>
        <v>0</v>
      </c>
      <c r="C8" s="1040"/>
      <c r="D8" s="1039"/>
      <c r="E8" s="1040"/>
      <c r="F8" s="1039"/>
      <c r="G8" s="1040"/>
      <c r="H8" s="1039"/>
    </row>
    <row r="9" spans="1:8" x14ac:dyDescent="0.25">
      <c r="A9" s="1037" t="s">
        <v>879</v>
      </c>
      <c r="B9" s="1038">
        <v>1</v>
      </c>
      <c r="C9" s="1040">
        <v>4</v>
      </c>
      <c r="D9" s="1039">
        <v>4</v>
      </c>
      <c r="E9" s="1040"/>
      <c r="F9" s="1039">
        <f>D9/8</f>
        <v>0.5</v>
      </c>
      <c r="G9" s="1040"/>
      <c r="H9" s="1039"/>
    </row>
    <row r="10" spans="1:8" x14ac:dyDescent="0.25">
      <c r="A10" s="1037" t="s">
        <v>880</v>
      </c>
      <c r="B10" s="1041" t="s">
        <v>881</v>
      </c>
      <c r="C10" s="1040">
        <f>SUM(C11:C14)</f>
        <v>4</v>
      </c>
      <c r="D10" s="1039">
        <f>C10*$B$6</f>
        <v>0</v>
      </c>
      <c r="E10" s="1040">
        <f>0.5*$D$10</f>
        <v>0</v>
      </c>
      <c r="F10" s="1040">
        <f>0.5*$D$10</f>
        <v>0</v>
      </c>
      <c r="G10" s="1040"/>
      <c r="H10" s="1039"/>
    </row>
    <row r="11" spans="1:8" x14ac:dyDescent="0.25">
      <c r="A11" s="1042" t="s">
        <v>882</v>
      </c>
      <c r="B11" s="1043">
        <v>1</v>
      </c>
      <c r="C11" s="1040">
        <v>1</v>
      </c>
      <c r="D11" s="1039">
        <f t="shared" ref="D11:D22" si="0">C11*$B$6</f>
        <v>0</v>
      </c>
      <c r="E11" s="1040"/>
      <c r="F11" s="1039"/>
      <c r="G11" s="1040"/>
      <c r="H11" s="1039"/>
    </row>
    <row r="12" spans="1:8" x14ac:dyDescent="0.25">
      <c r="A12" s="1042" t="s">
        <v>883</v>
      </c>
      <c r="B12" s="1043">
        <v>1</v>
      </c>
      <c r="C12" s="1040">
        <v>1</v>
      </c>
      <c r="D12" s="1039">
        <f t="shared" si="0"/>
        <v>0</v>
      </c>
      <c r="E12" s="1040"/>
      <c r="F12" s="1039"/>
      <c r="G12" s="1040"/>
      <c r="H12" s="1039"/>
    </row>
    <row r="13" spans="1:8" x14ac:dyDescent="0.25">
      <c r="A13" s="1042" t="s">
        <v>884</v>
      </c>
      <c r="B13" s="1043">
        <v>1</v>
      </c>
      <c r="C13" s="1040">
        <v>1</v>
      </c>
      <c r="D13" s="1039">
        <f t="shared" si="0"/>
        <v>0</v>
      </c>
      <c r="E13" s="1040"/>
      <c r="F13" s="1039"/>
      <c r="G13" s="1040"/>
      <c r="H13" s="1039"/>
    </row>
    <row r="14" spans="1:8" x14ac:dyDescent="0.25">
      <c r="A14" s="1042" t="s">
        <v>885</v>
      </c>
      <c r="B14" s="1043">
        <v>1</v>
      </c>
      <c r="C14" s="1040">
        <v>1</v>
      </c>
      <c r="D14" s="1039">
        <f t="shared" si="0"/>
        <v>0</v>
      </c>
      <c r="E14" s="1040"/>
      <c r="F14" s="1039"/>
      <c r="G14" s="1040"/>
      <c r="H14" s="1039"/>
    </row>
    <row r="15" spans="1:8" x14ac:dyDescent="0.25">
      <c r="A15" s="1037" t="s">
        <v>886</v>
      </c>
      <c r="B15" s="1041"/>
      <c r="C15" s="1040"/>
      <c r="D15" s="1039"/>
      <c r="E15" s="1040"/>
      <c r="F15" s="1039"/>
      <c r="G15" s="1040"/>
      <c r="H15" s="1039"/>
    </row>
    <row r="16" spans="1:8" x14ac:dyDescent="0.25">
      <c r="A16" s="1037" t="s">
        <v>887</v>
      </c>
      <c r="B16" s="1041"/>
      <c r="C16" s="1040"/>
      <c r="D16" s="1039"/>
      <c r="E16" s="1040"/>
      <c r="F16" s="1039"/>
      <c r="G16" s="1040"/>
      <c r="H16" s="1039"/>
    </row>
    <row r="17" spans="1:8" x14ac:dyDescent="0.25">
      <c r="A17" s="1042" t="s">
        <v>1023</v>
      </c>
      <c r="B17" s="1049">
        <v>1</v>
      </c>
      <c r="C17" s="1099">
        <v>1</v>
      </c>
      <c r="D17" s="1040">
        <f t="shared" si="0"/>
        <v>0</v>
      </c>
      <c r="E17" s="1040">
        <f>0.5*$D17</f>
        <v>0</v>
      </c>
      <c r="F17" s="1040">
        <f>0.5*$D17</f>
        <v>0</v>
      </c>
      <c r="G17" s="1040"/>
      <c r="H17" s="1039"/>
    </row>
    <row r="18" spans="1:8" x14ac:dyDescent="0.25">
      <c r="A18" s="1042" t="s">
        <v>1016</v>
      </c>
      <c r="B18" s="1049">
        <v>1</v>
      </c>
      <c r="C18" s="1099">
        <v>1</v>
      </c>
      <c r="D18" s="1040">
        <f t="shared" si="0"/>
        <v>0</v>
      </c>
      <c r="E18" s="1040">
        <f t="shared" ref="E18:F32" si="1">0.5*$D18</f>
        <v>0</v>
      </c>
      <c r="F18" s="1040">
        <f t="shared" si="1"/>
        <v>0</v>
      </c>
      <c r="G18" s="1040"/>
      <c r="H18" s="1039"/>
    </row>
    <row r="19" spans="1:8" x14ac:dyDescent="0.25">
      <c r="A19" s="1042" t="s">
        <v>1024</v>
      </c>
      <c r="B19" s="1049">
        <v>1</v>
      </c>
      <c r="C19" s="1099">
        <v>0.5</v>
      </c>
      <c r="D19" s="1040">
        <f t="shared" si="0"/>
        <v>0</v>
      </c>
      <c r="E19" s="1040">
        <f t="shared" si="1"/>
        <v>0</v>
      </c>
      <c r="F19" s="1040">
        <f t="shared" si="1"/>
        <v>0</v>
      </c>
      <c r="G19" s="1040"/>
      <c r="H19" s="1039"/>
    </row>
    <row r="20" spans="1:8" x14ac:dyDescent="0.25">
      <c r="A20" s="1067" t="s">
        <v>894</v>
      </c>
      <c r="B20" s="1049">
        <v>1</v>
      </c>
      <c r="C20" s="1099">
        <v>2</v>
      </c>
      <c r="D20" s="1040">
        <f t="shared" si="0"/>
        <v>0</v>
      </c>
      <c r="E20" s="1040">
        <f t="shared" si="1"/>
        <v>0</v>
      </c>
      <c r="F20" s="1040">
        <f t="shared" si="1"/>
        <v>0</v>
      </c>
      <c r="G20" s="1040"/>
      <c r="H20" s="1039"/>
    </row>
    <row r="21" spans="1:8" x14ac:dyDescent="0.25">
      <c r="A21" s="1042" t="s">
        <v>1025</v>
      </c>
      <c r="B21" s="1143">
        <v>1</v>
      </c>
      <c r="C21" s="1099">
        <v>2</v>
      </c>
      <c r="D21" s="1040">
        <f t="shared" si="0"/>
        <v>0</v>
      </c>
      <c r="E21" s="1040">
        <f t="shared" si="1"/>
        <v>0</v>
      </c>
      <c r="F21" s="1040">
        <f t="shared" si="1"/>
        <v>0</v>
      </c>
      <c r="G21" s="1040"/>
      <c r="H21" s="1039"/>
    </row>
    <row r="22" spans="1:8" x14ac:dyDescent="0.25">
      <c r="A22" s="1042" t="s">
        <v>1026</v>
      </c>
      <c r="B22" s="1143">
        <v>1</v>
      </c>
      <c r="C22" s="1099">
        <v>2</v>
      </c>
      <c r="D22" s="1040">
        <f t="shared" si="0"/>
        <v>0</v>
      </c>
      <c r="E22" s="1040">
        <f t="shared" si="1"/>
        <v>0</v>
      </c>
      <c r="F22" s="1040">
        <f t="shared" si="1"/>
        <v>0</v>
      </c>
      <c r="G22" s="1040"/>
      <c r="H22" s="1039"/>
    </row>
    <row r="23" spans="1:8" x14ac:dyDescent="0.25">
      <c r="A23" s="1037" t="s">
        <v>1027</v>
      </c>
      <c r="B23" s="1049"/>
      <c r="C23" s="1130"/>
      <c r="D23" s="1040"/>
      <c r="E23" s="1040"/>
      <c r="F23" s="1039"/>
      <c r="G23" s="1040"/>
      <c r="H23" s="1039"/>
    </row>
    <row r="24" spans="1:8" x14ac:dyDescent="0.25">
      <c r="A24" s="1042" t="s">
        <v>1028</v>
      </c>
      <c r="B24" s="1144">
        <v>1</v>
      </c>
      <c r="C24" s="1099">
        <v>1</v>
      </c>
      <c r="D24" s="1145">
        <f>C24*$B$6</f>
        <v>0</v>
      </c>
      <c r="E24" s="1040">
        <f t="shared" si="1"/>
        <v>0</v>
      </c>
      <c r="F24" s="1040">
        <f>0.4*$D24</f>
        <v>0</v>
      </c>
      <c r="G24" s="1040">
        <f>0.1*$D24</f>
        <v>0</v>
      </c>
      <c r="H24" s="1039"/>
    </row>
    <row r="25" spans="1:8" x14ac:dyDescent="0.25">
      <c r="A25" s="1042" t="s">
        <v>1029</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1030</v>
      </c>
      <c r="B26" s="1144">
        <v>1</v>
      </c>
      <c r="C26" s="1099">
        <v>1</v>
      </c>
      <c r="D26" s="1145">
        <f t="shared" si="2"/>
        <v>0</v>
      </c>
      <c r="E26" s="1040">
        <f t="shared" si="1"/>
        <v>0</v>
      </c>
      <c r="F26" s="1040">
        <f t="shared" si="3"/>
        <v>0</v>
      </c>
      <c r="G26" s="1040">
        <f t="shared" si="4"/>
        <v>0</v>
      </c>
      <c r="H26" s="1039"/>
    </row>
    <row r="27" spans="1:8" x14ac:dyDescent="0.25">
      <c r="A27" s="1042" t="s">
        <v>1031</v>
      </c>
      <c r="B27" s="1144">
        <v>1</v>
      </c>
      <c r="C27" s="1099">
        <v>16</v>
      </c>
      <c r="D27" s="1145">
        <f t="shared" si="2"/>
        <v>0</v>
      </c>
      <c r="E27" s="1040">
        <f t="shared" si="1"/>
        <v>0</v>
      </c>
      <c r="F27" s="1040">
        <f t="shared" si="3"/>
        <v>0</v>
      </c>
      <c r="G27" s="1040">
        <f t="shared" si="4"/>
        <v>0</v>
      </c>
      <c r="H27" s="1039"/>
    </row>
    <row r="28" spans="1:8" x14ac:dyDescent="0.25">
      <c r="A28" s="1042" t="s">
        <v>1032</v>
      </c>
      <c r="B28" s="1144">
        <v>1</v>
      </c>
      <c r="C28" s="1099">
        <v>1</v>
      </c>
      <c r="D28" s="1145">
        <f t="shared" si="2"/>
        <v>0</v>
      </c>
      <c r="E28" s="1040">
        <f t="shared" si="1"/>
        <v>0</v>
      </c>
      <c r="F28" s="1040">
        <f t="shared" si="3"/>
        <v>0</v>
      </c>
      <c r="G28" s="1040">
        <f t="shared" si="4"/>
        <v>0</v>
      </c>
      <c r="H28" s="1039"/>
    </row>
    <row r="29" spans="1:8" x14ac:dyDescent="0.25">
      <c r="A29" s="1042" t="s">
        <v>1033</v>
      </c>
      <c r="B29" s="1144">
        <v>1</v>
      </c>
      <c r="C29" s="1099">
        <v>8</v>
      </c>
      <c r="D29" s="1145">
        <f t="shared" si="2"/>
        <v>0</v>
      </c>
      <c r="E29" s="1040">
        <f t="shared" si="1"/>
        <v>0</v>
      </c>
      <c r="F29" s="1040">
        <f t="shared" si="3"/>
        <v>0</v>
      </c>
      <c r="G29" s="1040">
        <f t="shared" si="4"/>
        <v>0</v>
      </c>
      <c r="H29" s="1039"/>
    </row>
    <row r="30" spans="1:8" x14ac:dyDescent="0.25">
      <c r="A30" s="1042" t="s">
        <v>1034</v>
      </c>
      <c r="B30" s="1144">
        <v>1</v>
      </c>
      <c r="C30" s="1099">
        <v>0.5</v>
      </c>
      <c r="D30" s="1145">
        <f t="shared" si="2"/>
        <v>0</v>
      </c>
      <c r="E30" s="1040">
        <f t="shared" si="1"/>
        <v>0</v>
      </c>
      <c r="F30" s="1040">
        <f t="shared" si="3"/>
        <v>0</v>
      </c>
      <c r="G30" s="1040">
        <f t="shared" si="4"/>
        <v>0</v>
      </c>
      <c r="H30" s="1039"/>
    </row>
    <row r="31" spans="1:8" x14ac:dyDescent="0.25">
      <c r="A31" s="1042" t="s">
        <v>1035</v>
      </c>
      <c r="B31" s="1144">
        <v>1</v>
      </c>
      <c r="C31" s="1099">
        <v>2</v>
      </c>
      <c r="D31" s="1145">
        <f t="shared" si="2"/>
        <v>0</v>
      </c>
      <c r="E31" s="1040">
        <f t="shared" si="1"/>
        <v>0</v>
      </c>
      <c r="F31" s="1040">
        <f t="shared" si="3"/>
        <v>0</v>
      </c>
      <c r="G31" s="1040">
        <f t="shared" si="4"/>
        <v>0</v>
      </c>
      <c r="H31" s="1039"/>
    </row>
    <row r="32" spans="1:8" x14ac:dyDescent="0.25">
      <c r="A32" s="1042" t="s">
        <v>999</v>
      </c>
      <c r="B32" s="1144">
        <v>1</v>
      </c>
      <c r="C32" s="1099">
        <v>1</v>
      </c>
      <c r="D32" s="1145">
        <f t="shared" si="2"/>
        <v>0</v>
      </c>
      <c r="E32" s="1040">
        <f t="shared" si="1"/>
        <v>0</v>
      </c>
      <c r="F32" s="1040">
        <f t="shared" si="3"/>
        <v>0</v>
      </c>
      <c r="G32" s="1040">
        <f t="shared" si="4"/>
        <v>0</v>
      </c>
      <c r="H32" s="1039"/>
    </row>
    <row r="33" spans="1:8" x14ac:dyDescent="0.25">
      <c r="A33" s="1037" t="s">
        <v>1036</v>
      </c>
      <c r="B33" s="1143"/>
      <c r="C33" s="1099"/>
      <c r="D33" s="1040"/>
      <c r="E33" s="1040"/>
      <c r="F33" s="1039"/>
      <c r="G33" s="1040"/>
      <c r="H33" s="1039"/>
    </row>
    <row r="34" spans="1:8" x14ac:dyDescent="0.25">
      <c r="A34" s="1037" t="s">
        <v>1037</v>
      </c>
      <c r="B34" s="1143"/>
      <c r="C34" s="1099"/>
      <c r="D34" s="1040"/>
      <c r="E34" s="1040"/>
      <c r="F34" s="1040"/>
      <c r="G34" s="1040"/>
      <c r="H34" s="1039"/>
    </row>
    <row r="35" spans="1:8" x14ac:dyDescent="0.25">
      <c r="A35" s="129" t="s">
        <v>1038</v>
      </c>
      <c r="B35" s="1146">
        <v>1</v>
      </c>
      <c r="C35" s="1099">
        <v>1</v>
      </c>
      <c r="D35" s="1040">
        <f>C35*$B$7</f>
        <v>0</v>
      </c>
      <c r="E35" s="1040">
        <f>0.6*$D35</f>
        <v>0</v>
      </c>
      <c r="F35" s="1040">
        <f>0.1*$D35</f>
        <v>0</v>
      </c>
      <c r="G35" s="1040">
        <f>0.3*$D35</f>
        <v>0</v>
      </c>
      <c r="H35" s="1039"/>
    </row>
    <row r="36" spans="1:8" x14ac:dyDescent="0.25">
      <c r="A36" s="129" t="s">
        <v>1039</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745</v>
      </c>
      <c r="B37" s="1147">
        <f>IF(ТрЗ_ОВ!D77="Да",1,0)</f>
        <v>0</v>
      </c>
      <c r="C37" s="1101">
        <v>0.5</v>
      </c>
      <c r="D37" s="1148">
        <f>IF(B40&gt;0,C37*$B$7,0)</f>
        <v>0</v>
      </c>
      <c r="E37" s="1148">
        <f t="shared" si="6"/>
        <v>0</v>
      </c>
      <c r="F37" s="1148">
        <f>0.7*$D37</f>
        <v>0</v>
      </c>
      <c r="G37" s="1148">
        <f t="shared" si="7"/>
        <v>0</v>
      </c>
      <c r="H37" s="1149"/>
    </row>
    <row r="38" spans="1:8" ht="63.75" x14ac:dyDescent="0.25">
      <c r="A38" s="1150" t="s">
        <v>1040</v>
      </c>
      <c r="B38" s="1073"/>
      <c r="C38" s="1151"/>
      <c r="D38" s="1039"/>
      <c r="E38" s="1152"/>
      <c r="F38" s="1073"/>
      <c r="G38" s="1152"/>
      <c r="H38" s="1039" t="s">
        <v>1041</v>
      </c>
    </row>
    <row r="39" spans="1:8" x14ac:dyDescent="0.25">
      <c r="A39" s="129" t="s">
        <v>1042</v>
      </c>
      <c r="B39" s="1153">
        <v>1</v>
      </c>
      <c r="C39" s="1099">
        <v>0.5</v>
      </c>
      <c r="D39" s="1040">
        <f>C39*($B$8+$B$6)</f>
        <v>0</v>
      </c>
      <c r="E39" s="1040">
        <f>0.6*$D39</f>
        <v>0</v>
      </c>
      <c r="F39" s="1040">
        <f>0.3*$D39</f>
        <v>0</v>
      </c>
      <c r="G39" s="1040">
        <f>0.1*$D39</f>
        <v>0</v>
      </c>
      <c r="H39" s="1039"/>
    </row>
    <row r="40" spans="1:8" x14ac:dyDescent="0.25">
      <c r="A40" s="64" t="s">
        <v>745</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1039</v>
      </c>
      <c r="B41" s="1153">
        <v>1</v>
      </c>
      <c r="C41" s="1099">
        <v>0.5</v>
      </c>
      <c r="D41" s="1040">
        <f>C41*($B$8+$B$6)</f>
        <v>0</v>
      </c>
      <c r="E41" s="1040">
        <f t="shared" si="8"/>
        <v>0</v>
      </c>
      <c r="F41" s="1040">
        <f>0.3*$D41</f>
        <v>0</v>
      </c>
      <c r="G41" s="1040">
        <f t="shared" si="9"/>
        <v>0</v>
      </c>
      <c r="H41" s="1039"/>
    </row>
    <row r="42" spans="1:8" ht="25.5" x14ac:dyDescent="0.25">
      <c r="A42" s="1037" t="s">
        <v>962</v>
      </c>
      <c r="B42" s="1043">
        <v>1</v>
      </c>
      <c r="C42" s="1040" t="s">
        <v>896</v>
      </c>
      <c r="D42" s="1039">
        <f>ROUNDUP(IF(0.1*(SUM($D$17:$D$41))&gt;8,0.1*(SUM($D$17:$D$41)),8),0)</f>
        <v>8</v>
      </c>
      <c r="E42" s="1040"/>
      <c r="F42" s="1040">
        <f>0.5*$D42</f>
        <v>4</v>
      </c>
      <c r="G42" s="1040">
        <f>0.5*$D42</f>
        <v>4</v>
      </c>
      <c r="H42" s="1039"/>
    </row>
    <row r="43" spans="1:8" ht="26.25" thickBot="1" x14ac:dyDescent="0.3">
      <c r="A43" s="1070" t="s">
        <v>963</v>
      </c>
      <c r="B43" s="1154">
        <v>1</v>
      </c>
      <c r="C43" s="1155" t="s">
        <v>898</v>
      </c>
      <c r="D43" s="1156">
        <f>ROUNDUP(IF(0.05*(SUM($D$17:$D$41))&gt;8,0.05*(SUM($D$17:$D$41)),8),0)</f>
        <v>8</v>
      </c>
      <c r="E43" s="1155"/>
      <c r="F43" s="1155">
        <f>0.5*$D43</f>
        <v>4</v>
      </c>
      <c r="G43" s="1155">
        <f>0.5*$D43</f>
        <v>4</v>
      </c>
      <c r="H43" s="1156"/>
    </row>
    <row r="44" spans="1:8" x14ac:dyDescent="0.25">
      <c r="A44" s="1067" t="s">
        <v>563</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900</v>
      </c>
      <c r="D46" s="268">
        <f>ROUNDUP(SUM(D9:D10)/8,0)</f>
        <v>1</v>
      </c>
      <c r="E46" s="268">
        <f>ROUNDUP(SUM(E9:E10)/8,0)</f>
        <v>0</v>
      </c>
      <c r="F46" s="268">
        <f>ROUNDUP(SUM(F9:F10)/8,0)</f>
        <v>1</v>
      </c>
      <c r="G46" s="268">
        <f>ROUNDUP(SUM(G9:G10)/8,0)</f>
        <v>0</v>
      </c>
      <c r="H46" s="1067"/>
    </row>
    <row r="47" spans="1:8" x14ac:dyDescent="0.25">
      <c r="A47" s="1067"/>
      <c r="B47" s="1067"/>
      <c r="C47" s="63" t="s">
        <v>901</v>
      </c>
      <c r="D47" s="63">
        <f>ROUNDUP(SUM(D17:D42)/8,0)</f>
        <v>1</v>
      </c>
      <c r="E47" s="63">
        <f>ROUNDUP(SUM(E17:E42)/8,0)</f>
        <v>0</v>
      </c>
      <c r="F47" s="63">
        <f>ROUNDUP(SUM(F17:F42)/8,0)</f>
        <v>1</v>
      </c>
      <c r="G47" s="63">
        <f>ROUNDUP(SUM(G17:G42)/8,0)</f>
        <v>1</v>
      </c>
      <c r="H47" s="1067"/>
    </row>
    <row r="48" spans="1:8" x14ac:dyDescent="0.25">
      <c r="A48" s="1067"/>
      <c r="B48" s="1067"/>
      <c r="C48" s="268" t="s">
        <v>902</v>
      </c>
      <c r="D48" s="268">
        <f>ROUNDUP(SUM(D43)/8,0)</f>
        <v>1</v>
      </c>
      <c r="E48" s="268">
        <f t="shared" ref="E48:G48" si="10">ROUNDUP(SUM(E43)/8,0)</f>
        <v>0</v>
      </c>
      <c r="F48" s="268">
        <f t="shared" si="10"/>
        <v>1</v>
      </c>
      <c r="G48" s="268">
        <f t="shared" si="10"/>
        <v>1</v>
      </c>
      <c r="H48" s="1067"/>
    </row>
    <row r="49" spans="1:8" x14ac:dyDescent="0.25">
      <c r="A49" s="1067"/>
      <c r="B49" s="1067"/>
      <c r="C49" s="63" t="s">
        <v>903</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871</v>
      </c>
      <c r="B2" s="1157" t="s">
        <v>918</v>
      </c>
      <c r="C2" s="1217" t="s">
        <v>873</v>
      </c>
      <c r="D2" s="1218" t="s">
        <v>1138</v>
      </c>
      <c r="E2" s="1157" t="s">
        <v>1139</v>
      </c>
    </row>
    <row r="3" spans="1:5" x14ac:dyDescent="0.25">
      <c r="A3" s="1219" t="s">
        <v>875</v>
      </c>
      <c r="B3" s="1220">
        <f>ТрЗ_ОВ!E109</f>
        <v>0</v>
      </c>
      <c r="C3" s="1158">
        <v>8</v>
      </c>
      <c r="D3" s="1221"/>
      <c r="E3" s="1222"/>
    </row>
    <row r="4" spans="1:5" x14ac:dyDescent="0.25">
      <c r="A4" s="1143" t="s">
        <v>1045</v>
      </c>
      <c r="B4" s="1129">
        <f>ТрЗ_ОВ!H109</f>
        <v>0</v>
      </c>
      <c r="C4" s="1040" t="s">
        <v>1140</v>
      </c>
      <c r="D4" s="1223"/>
      <c r="E4" s="1073"/>
    </row>
    <row r="5" spans="1:5" x14ac:dyDescent="0.25">
      <c r="A5" s="1143" t="s">
        <v>880</v>
      </c>
      <c r="B5" s="1043"/>
      <c r="C5" s="1040"/>
      <c r="D5" s="1223">
        <f>SUM(C7:C9)*B4+D6</f>
        <v>1</v>
      </c>
      <c r="E5" s="1224">
        <f>ROUNDUP(D5/8,0)</f>
        <v>1</v>
      </c>
    </row>
    <row r="6" spans="1:5" x14ac:dyDescent="0.25">
      <c r="A6" s="1049" t="s">
        <v>879</v>
      </c>
      <c r="B6" s="1129">
        <v>1</v>
      </c>
      <c r="C6" s="1040">
        <v>8</v>
      </c>
      <c r="D6" s="1223">
        <f>IF(B6&gt;0,C6/8,0)</f>
        <v>1</v>
      </c>
      <c r="E6" s="1224"/>
    </row>
    <row r="7" spans="1:5" x14ac:dyDescent="0.25">
      <c r="A7" s="1049" t="s">
        <v>882</v>
      </c>
      <c r="B7" s="1043">
        <v>1</v>
      </c>
      <c r="C7" s="1040">
        <v>1</v>
      </c>
      <c r="D7" s="1223"/>
      <c r="E7" s="1224"/>
    </row>
    <row r="8" spans="1:5" x14ac:dyDescent="0.25">
      <c r="A8" s="1049" t="s">
        <v>1141</v>
      </c>
      <c r="B8" s="1043">
        <v>1</v>
      </c>
      <c r="C8" s="1040">
        <v>0.2</v>
      </c>
      <c r="D8" s="1223"/>
      <c r="E8" s="1224"/>
    </row>
    <row r="9" spans="1:5" x14ac:dyDescent="0.25">
      <c r="A9" s="1225" t="s">
        <v>1142</v>
      </c>
      <c r="B9" s="1043">
        <v>1</v>
      </c>
      <c r="C9" s="1040">
        <v>1</v>
      </c>
      <c r="D9" s="1223"/>
      <c r="E9" s="1224"/>
    </row>
    <row r="10" spans="1:5" x14ac:dyDescent="0.25">
      <c r="A10" s="1143" t="s">
        <v>886</v>
      </c>
      <c r="B10" s="1043"/>
      <c r="C10" s="1040"/>
      <c r="D10" s="1223"/>
      <c r="E10" s="1224"/>
    </row>
    <row r="11" spans="1:5" x14ac:dyDescent="0.25">
      <c r="A11" s="1143" t="s">
        <v>1049</v>
      </c>
      <c r="B11" s="1043"/>
      <c r="C11" s="1040"/>
      <c r="D11" s="1223">
        <f>SUM(D12:D20)</f>
        <v>0</v>
      </c>
      <c r="E11" s="1224">
        <f>ROUNDUP(D11/8,0)</f>
        <v>0</v>
      </c>
    </row>
    <row r="12" spans="1:5" x14ac:dyDescent="0.25">
      <c r="A12" s="1049" t="s">
        <v>1143</v>
      </c>
      <c r="B12" s="1043">
        <v>1</v>
      </c>
      <c r="C12" s="1040">
        <v>0.2</v>
      </c>
      <c r="D12" s="1223">
        <f>IF(B12&gt;0,C12*$B$4,0)</f>
        <v>0</v>
      </c>
      <c r="E12" s="1224"/>
    </row>
    <row r="13" spans="1:5" x14ac:dyDescent="0.25">
      <c r="A13" s="1049" t="s">
        <v>1144</v>
      </c>
      <c r="B13" s="1043">
        <v>1</v>
      </c>
      <c r="C13" s="1040">
        <v>0.2</v>
      </c>
      <c r="D13" s="1223">
        <f>IF(B13&gt;0,C13*$B$4,0)</f>
        <v>0</v>
      </c>
      <c r="E13" s="1224"/>
    </row>
    <row r="14" spans="1:5" x14ac:dyDescent="0.25">
      <c r="A14" s="1049" t="s">
        <v>1145</v>
      </c>
      <c r="B14" s="1043">
        <v>1</v>
      </c>
      <c r="C14" s="1040">
        <v>0.2</v>
      </c>
      <c r="D14" s="1223">
        <f>IF(B14&gt;0,C14*$B$4,0)</f>
        <v>0</v>
      </c>
      <c r="E14" s="1224"/>
    </row>
    <row r="15" spans="1:5" x14ac:dyDescent="0.25">
      <c r="A15" s="1049" t="s">
        <v>1146</v>
      </c>
      <c r="B15" s="1043">
        <v>1</v>
      </c>
      <c r="C15" s="1040">
        <v>0.1</v>
      </c>
      <c r="D15" s="1223">
        <f>IF(B15&gt;0,C15*$B$4,0)</f>
        <v>0</v>
      </c>
      <c r="E15" s="1224"/>
    </row>
    <row r="16" spans="1:5" x14ac:dyDescent="0.25">
      <c r="A16" s="1049" t="s">
        <v>1147</v>
      </c>
      <c r="B16" s="1043">
        <v>1</v>
      </c>
      <c r="C16" s="1040">
        <v>0.2</v>
      </c>
      <c r="D16" s="1223">
        <f>IF(B16&gt;0,C16*$B$4,0)</f>
        <v>0</v>
      </c>
      <c r="E16" s="1224"/>
    </row>
    <row r="17" spans="1:5" x14ac:dyDescent="0.25">
      <c r="A17" s="1143" t="s">
        <v>1148</v>
      </c>
      <c r="B17" s="1043"/>
      <c r="C17" s="1152"/>
      <c r="D17" s="1226"/>
      <c r="E17" s="1224"/>
    </row>
    <row r="18" spans="1:5" x14ac:dyDescent="0.25">
      <c r="A18" s="1049" t="s">
        <v>1149</v>
      </c>
      <c r="B18" s="1043">
        <v>1</v>
      </c>
      <c r="C18" s="1040">
        <v>1</v>
      </c>
      <c r="D18" s="1223">
        <f>IF(B18&gt;0,C18*$B$4,0)</f>
        <v>0</v>
      </c>
      <c r="E18" s="1224"/>
    </row>
    <row r="19" spans="1:5" x14ac:dyDescent="0.25">
      <c r="A19" s="1049" t="s">
        <v>1150</v>
      </c>
      <c r="B19" s="1043">
        <v>1</v>
      </c>
      <c r="C19" s="1040">
        <v>1</v>
      </c>
      <c r="D19" s="1223">
        <f>IF(B19&gt;0,C19*$B$4,0)</f>
        <v>0</v>
      </c>
      <c r="E19" s="1224"/>
    </row>
    <row r="20" spans="1:5" x14ac:dyDescent="0.25">
      <c r="A20" s="1049" t="s">
        <v>1151</v>
      </c>
      <c r="B20" s="1043">
        <v>1</v>
      </c>
      <c r="C20" s="1040">
        <v>1</v>
      </c>
      <c r="D20" s="1223">
        <f>IF(B20&gt;0,C20*$B$4,0)</f>
        <v>0</v>
      </c>
      <c r="E20" s="1224"/>
    </row>
    <row r="21" spans="1:5" x14ac:dyDescent="0.25">
      <c r="A21" s="1143" t="s">
        <v>1152</v>
      </c>
      <c r="B21" s="1043">
        <v>1</v>
      </c>
      <c r="C21" s="1040" t="s">
        <v>1153</v>
      </c>
      <c r="D21" s="1223">
        <f>ROUNDUP(IF(0.1*(SUM(B10:B20))&gt;2,0.1*(SUM(B10:B20)),2),0)</f>
        <v>2</v>
      </c>
      <c r="E21" s="1224">
        <f>ROUNDUP(SUM(D21:D22)/8,0)</f>
        <v>1</v>
      </c>
    </row>
    <row r="22" spans="1:5" ht="15.75" thickBot="1" x14ac:dyDescent="0.3">
      <c r="A22" s="1227" t="s">
        <v>963</v>
      </c>
      <c r="B22" s="1051">
        <v>1</v>
      </c>
      <c r="C22" s="1132" t="s">
        <v>1154</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871</v>
      </c>
      <c r="B1" s="1141" t="s">
        <v>872</v>
      </c>
      <c r="C1" s="2289" t="s">
        <v>873</v>
      </c>
      <c r="D1" s="2290"/>
      <c r="E1" s="2291"/>
      <c r="F1" s="1157" t="s">
        <v>52</v>
      </c>
      <c r="G1" s="2289" t="s">
        <v>714</v>
      </c>
      <c r="H1" s="2290"/>
      <c r="I1" s="2291"/>
      <c r="J1" s="2289" t="s">
        <v>713</v>
      </c>
      <c r="K1" s="2290"/>
      <c r="L1" s="2291"/>
      <c r="M1" s="2289" t="s">
        <v>712</v>
      </c>
      <c r="N1" s="2290"/>
      <c r="O1" s="2291"/>
      <c r="P1" s="1141" t="s">
        <v>874</v>
      </c>
    </row>
    <row r="2" spans="1:16" ht="38.25" x14ac:dyDescent="0.25">
      <c r="A2" s="1037" t="s">
        <v>875</v>
      </c>
      <c r="B2" s="1038">
        <v>1</v>
      </c>
      <c r="C2" s="1230" t="s">
        <v>111</v>
      </c>
      <c r="D2" s="1231" t="s">
        <v>1155</v>
      </c>
      <c r="E2" s="1158" t="s">
        <v>392</v>
      </c>
      <c r="F2" s="1230"/>
      <c r="G2" s="1230" t="s">
        <v>111</v>
      </c>
      <c r="H2" s="1231" t="s">
        <v>1155</v>
      </c>
      <c r="I2" s="1221" t="s">
        <v>392</v>
      </c>
      <c r="J2" s="1230" t="s">
        <v>111</v>
      </c>
      <c r="K2" s="1231" t="s">
        <v>1155</v>
      </c>
      <c r="L2" s="1221" t="s">
        <v>392</v>
      </c>
      <c r="M2" s="1230" t="s">
        <v>111</v>
      </c>
      <c r="N2" s="1231" t="s">
        <v>1155</v>
      </c>
      <c r="O2" s="1221" t="s">
        <v>392</v>
      </c>
      <c r="P2" s="1046"/>
    </row>
    <row r="3" spans="1:16" x14ac:dyDescent="0.25">
      <c r="A3" s="1037" t="s">
        <v>1156</v>
      </c>
      <c r="B3" s="1232">
        <v>1</v>
      </c>
      <c r="C3" s="1048"/>
      <c r="D3" s="1130"/>
      <c r="E3" s="1040"/>
      <c r="F3" s="1223"/>
      <c r="G3" s="1048"/>
      <c r="H3" s="1130"/>
      <c r="I3" s="1223"/>
      <c r="J3" s="1048"/>
      <c r="K3" s="1130"/>
      <c r="L3" s="1223"/>
      <c r="M3" s="1048"/>
      <c r="N3" s="1130"/>
      <c r="O3" s="1040"/>
      <c r="P3" s="1039"/>
    </row>
    <row r="4" spans="1:16" x14ac:dyDescent="0.25">
      <c r="A4" s="1037" t="s">
        <v>1157</v>
      </c>
      <c r="B4" s="1232">
        <v>1</v>
      </c>
      <c r="C4" s="1048"/>
      <c r="D4" s="1233"/>
      <c r="E4" s="1040"/>
      <c r="F4" s="1223"/>
      <c r="G4" s="1048"/>
      <c r="H4" s="1130"/>
      <c r="I4" s="1223"/>
      <c r="J4" s="1048"/>
      <c r="K4" s="1130"/>
      <c r="L4" s="1223"/>
      <c r="M4" s="1048"/>
      <c r="N4" s="1130"/>
      <c r="O4" s="1040"/>
      <c r="P4" s="1039"/>
    </row>
    <row r="5" spans="1:16" x14ac:dyDescent="0.25">
      <c r="A5" s="1037" t="s">
        <v>880</v>
      </c>
      <c r="B5" s="1143" t="s">
        <v>881</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882</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883</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884</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885</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886</v>
      </c>
      <c r="B10" s="1049"/>
      <c r="C10" s="1048"/>
      <c r="D10" s="1130"/>
      <c r="E10" s="1040"/>
      <c r="F10" s="1223"/>
      <c r="G10" s="1048"/>
      <c r="H10" s="1130"/>
      <c r="I10" s="1223"/>
      <c r="J10" s="1048"/>
      <c r="K10" s="1130"/>
      <c r="L10" s="1223"/>
      <c r="M10" s="1048"/>
      <c r="N10" s="1130"/>
      <c r="O10" s="1040"/>
      <c r="P10" s="1039"/>
    </row>
    <row r="11" spans="1:16" x14ac:dyDescent="0.25">
      <c r="A11" s="1037" t="s">
        <v>887</v>
      </c>
      <c r="B11" s="1049"/>
      <c r="C11" s="1048"/>
      <c r="D11" s="1130"/>
      <c r="E11" s="1040"/>
      <c r="F11" s="1223"/>
      <c r="G11" s="1048"/>
      <c r="H11" s="1130"/>
      <c r="I11" s="1223"/>
      <c r="J11" s="1048"/>
      <c r="K11" s="1130"/>
      <c r="L11" s="1223"/>
      <c r="M11" s="1048"/>
      <c r="N11" s="1130"/>
      <c r="O11" s="1040"/>
      <c r="P11" s="1039"/>
    </row>
    <row r="12" spans="1:16" x14ac:dyDescent="0.25">
      <c r="A12" s="1042" t="s">
        <v>888</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936</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1024</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894</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1025</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1026</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1158</v>
      </c>
      <c r="B18" s="1049"/>
      <c r="C18" s="1048"/>
      <c r="D18" s="1130"/>
      <c r="E18" s="1040"/>
      <c r="F18" s="1223"/>
      <c r="G18" s="1048"/>
      <c r="H18" s="1130"/>
      <c r="I18" s="1223"/>
      <c r="J18" s="1048"/>
      <c r="K18" s="1130"/>
      <c r="L18" s="1223"/>
      <c r="M18" s="1048"/>
      <c r="N18" s="1130"/>
      <c r="O18" s="1040"/>
      <c r="P18" s="1039"/>
    </row>
    <row r="19" spans="1:16" x14ac:dyDescent="0.25">
      <c r="A19" s="1234" t="s">
        <v>1159</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1160</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1161</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1162</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1163</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1164</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1165</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1166</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1167</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962</v>
      </c>
      <c r="B28" s="1048" t="s">
        <v>896</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963</v>
      </c>
      <c r="B29" s="1048" t="s">
        <v>898</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563</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900</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901</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902</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903</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871</v>
      </c>
      <c r="B4" s="1141" t="s">
        <v>872</v>
      </c>
      <c r="C4" s="1142" t="s">
        <v>873</v>
      </c>
      <c r="D4" s="1141" t="s">
        <v>52</v>
      </c>
      <c r="E4" s="1142" t="s">
        <v>714</v>
      </c>
      <c r="F4" s="1142" t="s">
        <v>713</v>
      </c>
      <c r="G4" s="1142" t="s">
        <v>712</v>
      </c>
      <c r="H4" s="1141" t="s">
        <v>874</v>
      </c>
    </row>
    <row r="5" spans="1:8" x14ac:dyDescent="0.25">
      <c r="A5" s="1037" t="s">
        <v>908</v>
      </c>
      <c r="B5" s="1038">
        <v>1</v>
      </c>
      <c r="C5" s="1040"/>
      <c r="D5" s="1039"/>
      <c r="E5" s="1040"/>
      <c r="F5" s="1039"/>
      <c r="G5" s="1040"/>
      <c r="H5" s="1039"/>
    </row>
    <row r="6" spans="1:8" x14ac:dyDescent="0.25">
      <c r="A6" s="1037" t="s">
        <v>1168</v>
      </c>
      <c r="B6" s="1038">
        <v>1</v>
      </c>
      <c r="C6" s="1040"/>
      <c r="D6" s="1039"/>
      <c r="E6" s="1040"/>
      <c r="F6" s="1039"/>
      <c r="G6" s="1040"/>
      <c r="H6" s="1039"/>
    </row>
    <row r="7" spans="1:8" x14ac:dyDescent="0.25">
      <c r="A7" s="1037" t="s">
        <v>1169</v>
      </c>
      <c r="B7" s="1232">
        <v>1</v>
      </c>
      <c r="C7" s="1039">
        <v>0.5</v>
      </c>
      <c r="D7" s="1039">
        <v>4</v>
      </c>
      <c r="E7" s="1040"/>
      <c r="F7" s="1039">
        <f>D7/8</f>
        <v>0.5</v>
      </c>
      <c r="G7" s="1040"/>
      <c r="H7" s="1039"/>
    </row>
    <row r="8" spans="1:8" x14ac:dyDescent="0.25">
      <c r="A8" s="1037" t="s">
        <v>886</v>
      </c>
      <c r="B8" s="1049"/>
      <c r="C8" s="1039"/>
      <c r="D8" s="1039"/>
      <c r="E8" s="1040"/>
      <c r="F8" s="1039"/>
      <c r="G8" s="1040"/>
      <c r="H8" s="1039"/>
    </row>
    <row r="9" spans="1:8" x14ac:dyDescent="0.25">
      <c r="A9" s="1042" t="s">
        <v>1170</v>
      </c>
      <c r="B9" s="1049">
        <v>1</v>
      </c>
      <c r="C9" s="1039">
        <v>0.5</v>
      </c>
      <c r="D9" s="1039">
        <f>C9*$B$5</f>
        <v>0.5</v>
      </c>
      <c r="E9" s="1040">
        <f>0.6*$D9</f>
        <v>0.3</v>
      </c>
      <c r="F9" s="1039">
        <f>0.4*$D9</f>
        <v>0.2</v>
      </c>
      <c r="G9" s="1040"/>
      <c r="H9" s="1039"/>
    </row>
    <row r="10" spans="1:8" x14ac:dyDescent="0.25">
      <c r="A10" s="1234" t="s">
        <v>1171</v>
      </c>
      <c r="B10" s="1049">
        <v>1</v>
      </c>
      <c r="C10" s="1039">
        <v>0.5</v>
      </c>
      <c r="D10" s="1039">
        <f>C10*$B$5</f>
        <v>0.5</v>
      </c>
      <c r="E10" s="1040">
        <f>0.6*$D10</f>
        <v>0.3</v>
      </c>
      <c r="F10" s="1039">
        <f>0.4*$D10</f>
        <v>0.2</v>
      </c>
      <c r="G10" s="1040"/>
      <c r="H10" s="1039"/>
    </row>
    <row r="11" spans="1:8" x14ac:dyDescent="0.25">
      <c r="A11" s="1234" t="s">
        <v>1172</v>
      </c>
      <c r="B11" s="1049">
        <v>1</v>
      </c>
      <c r="C11" s="1039">
        <v>0.5</v>
      </c>
      <c r="D11" s="1039">
        <f>C11*$B$7</f>
        <v>0.5</v>
      </c>
      <c r="E11" s="1040">
        <f>0.8*$D11</f>
        <v>0.4</v>
      </c>
      <c r="F11" s="1039">
        <f>0.2*$D11</f>
        <v>0.1</v>
      </c>
      <c r="G11" s="1040"/>
      <c r="H11" s="1039"/>
    </row>
    <row r="12" spans="1:8" x14ac:dyDescent="0.25">
      <c r="A12" s="1234" t="s">
        <v>1173</v>
      </c>
      <c r="B12" s="1049">
        <v>1</v>
      </c>
      <c r="C12" s="1039">
        <v>0.5</v>
      </c>
      <c r="D12" s="1039">
        <f t="shared" ref="D12:D16" si="0">C12*$B$6</f>
        <v>0.5</v>
      </c>
      <c r="E12" s="1040">
        <f t="shared" ref="E12:F12" si="1">0.5*$D12</f>
        <v>0.25</v>
      </c>
      <c r="F12" s="1039">
        <f t="shared" si="1"/>
        <v>0.25</v>
      </c>
      <c r="G12" s="1040"/>
      <c r="H12" s="1039"/>
    </row>
    <row r="13" spans="1:8" x14ac:dyDescent="0.25">
      <c r="A13" s="1234" t="s">
        <v>1174</v>
      </c>
      <c r="B13" s="1049">
        <v>1</v>
      </c>
      <c r="C13" s="1039">
        <v>0.5</v>
      </c>
      <c r="D13" s="1039">
        <f>C13*$B$5</f>
        <v>0.5</v>
      </c>
      <c r="E13" s="1040">
        <f>1*$D13</f>
        <v>0.5</v>
      </c>
      <c r="F13" s="1039"/>
      <c r="G13" s="1040"/>
      <c r="H13" s="1039"/>
    </row>
    <row r="14" spans="1:8" x14ac:dyDescent="0.25">
      <c r="A14" s="268" t="s">
        <v>1175</v>
      </c>
      <c r="B14" s="1049">
        <v>1</v>
      </c>
      <c r="C14" s="1039">
        <v>1</v>
      </c>
      <c r="D14" s="1039">
        <f t="shared" si="0"/>
        <v>1</v>
      </c>
      <c r="E14" s="1040">
        <f>0.2*$D14</f>
        <v>0.2</v>
      </c>
      <c r="F14" s="1039">
        <f>0.8*$D14</f>
        <v>0.8</v>
      </c>
      <c r="G14" s="1040"/>
      <c r="H14" s="1039"/>
    </row>
    <row r="15" spans="1:8" x14ac:dyDescent="0.25">
      <c r="A15" s="1042" t="s">
        <v>1176</v>
      </c>
      <c r="B15" s="1049">
        <v>1</v>
      </c>
      <c r="C15" s="1039">
        <v>0.5</v>
      </c>
      <c r="D15" s="1039">
        <f t="shared" si="0"/>
        <v>0.5</v>
      </c>
      <c r="E15" s="1040">
        <f>0.6*$D15</f>
        <v>0.3</v>
      </c>
      <c r="F15" s="1039">
        <f>0.4*$D15</f>
        <v>0.2</v>
      </c>
      <c r="G15" s="1040"/>
      <c r="H15" s="1039"/>
    </row>
    <row r="16" spans="1:8" x14ac:dyDescent="0.25">
      <c r="A16" s="1234" t="s">
        <v>1177</v>
      </c>
      <c r="B16" s="1049"/>
      <c r="C16" s="1039">
        <v>0.5</v>
      </c>
      <c r="D16" s="1039">
        <f t="shared" si="0"/>
        <v>0.5</v>
      </c>
      <c r="E16" s="1040">
        <f>1*$D16</f>
        <v>0.5</v>
      </c>
      <c r="F16" s="1039"/>
      <c r="G16" s="1040"/>
      <c r="H16" s="1039"/>
    </row>
    <row r="17" spans="1:8" x14ac:dyDescent="0.25">
      <c r="A17" s="1234" t="s">
        <v>1178</v>
      </c>
      <c r="B17" s="1049">
        <v>1</v>
      </c>
      <c r="C17" s="1039">
        <v>1</v>
      </c>
      <c r="D17" s="1039">
        <f>C17*$B$7</f>
        <v>1</v>
      </c>
      <c r="E17" s="1040"/>
      <c r="F17" s="1039">
        <f>1*$D17</f>
        <v>1</v>
      </c>
      <c r="G17" s="1040"/>
      <c r="H17" s="1039"/>
    </row>
    <row r="18" spans="1:8" ht="25.5" x14ac:dyDescent="0.25">
      <c r="A18" s="1037" t="s">
        <v>962</v>
      </c>
      <c r="B18" s="1049">
        <v>1</v>
      </c>
      <c r="C18" s="1039" t="s">
        <v>896</v>
      </c>
      <c r="D18" s="1039">
        <f>ROUNDUP(IF(0.1*(SUM($D$9:$D$15))&gt;8,0.1*(SUM($D$9:$D$15)),8),0)</f>
        <v>8</v>
      </c>
      <c r="E18" s="1040"/>
      <c r="F18" s="1039">
        <f>0.5*$D18</f>
        <v>4</v>
      </c>
      <c r="G18" s="1040">
        <f>0.5*$D18</f>
        <v>4</v>
      </c>
      <c r="H18" s="1039"/>
    </row>
    <row r="19" spans="1:8" ht="26.25" thickBot="1" x14ac:dyDescent="0.3">
      <c r="A19" s="1070" t="s">
        <v>963</v>
      </c>
      <c r="B19" s="1049">
        <v>1</v>
      </c>
      <c r="C19" s="1039" t="s">
        <v>898</v>
      </c>
      <c r="D19" s="1039">
        <f>ROUNDUP(IF(0.05*(SUM($D$9:$D$15))&gt;8,0.05*(SUM($D$9:$D$15)),8),0)</f>
        <v>8</v>
      </c>
      <c r="E19" s="1155"/>
      <c r="F19" s="1039">
        <f>0.5*$D19</f>
        <v>4</v>
      </c>
      <c r="G19" s="1155">
        <f>0.5*$D19</f>
        <v>4</v>
      </c>
      <c r="H19" s="1156"/>
    </row>
    <row r="20" spans="1:8" x14ac:dyDescent="0.25">
      <c r="A20" s="1067" t="s">
        <v>563</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900</v>
      </c>
      <c r="D22" s="636">
        <v>0</v>
      </c>
      <c r="E22" s="636">
        <v>0</v>
      </c>
      <c r="F22" s="636">
        <v>0</v>
      </c>
      <c r="G22" s="636">
        <v>0</v>
      </c>
      <c r="H22" s="1067"/>
    </row>
    <row r="23" spans="1:8" x14ac:dyDescent="0.25">
      <c r="A23" s="1067"/>
      <c r="B23" s="1067"/>
      <c r="C23" s="63" t="s">
        <v>901</v>
      </c>
      <c r="D23" s="926">
        <f>ROUNDUP(SUM(D9:D18)/8,0)</f>
        <v>2</v>
      </c>
      <c r="E23" s="926">
        <f>ROUNDUP(SUM(E9:E18)/8,0)</f>
        <v>1</v>
      </c>
      <c r="F23" s="926">
        <f>ROUNDUP(SUM(F9:F18)/8,0)</f>
        <v>1</v>
      </c>
      <c r="G23" s="926">
        <f>ROUNDUP(SUM(G9:G18)/8,0)</f>
        <v>1</v>
      </c>
      <c r="H23" s="1067"/>
    </row>
    <row r="24" spans="1:8" x14ac:dyDescent="0.25">
      <c r="A24" s="1067"/>
      <c r="B24" s="1067"/>
      <c r="C24" s="268" t="s">
        <v>902</v>
      </c>
      <c r="D24" s="636">
        <f>ROUNDUP(SUM(D19)/8,0)</f>
        <v>1</v>
      </c>
      <c r="E24" s="636">
        <f t="shared" ref="E24:G24" si="2">ROUNDUP(SUM(E19)/8,0)</f>
        <v>0</v>
      </c>
      <c r="F24" s="636">
        <f t="shared" si="2"/>
        <v>1</v>
      </c>
      <c r="G24" s="636">
        <f t="shared" si="2"/>
        <v>1</v>
      </c>
      <c r="H24" s="1067"/>
    </row>
    <row r="25" spans="1:8" x14ac:dyDescent="0.25">
      <c r="A25" s="1067"/>
      <c r="B25" s="1067"/>
      <c r="C25" s="63" t="s">
        <v>903</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871</v>
      </c>
      <c r="B1" s="1141" t="s">
        <v>872</v>
      </c>
      <c r="C1" s="1142" t="s">
        <v>873</v>
      </c>
      <c r="D1" s="1141" t="s">
        <v>52</v>
      </c>
      <c r="E1" s="1142" t="s">
        <v>714</v>
      </c>
      <c r="F1" s="1142" t="s">
        <v>713</v>
      </c>
      <c r="G1" s="1142" t="s">
        <v>712</v>
      </c>
      <c r="H1" s="1141" t="s">
        <v>874</v>
      </c>
    </row>
    <row r="2" spans="1:8" ht="89.25" x14ac:dyDescent="0.25">
      <c r="A2" s="1037" t="s">
        <v>875</v>
      </c>
      <c r="B2" s="1038">
        <f>ТрЗ_ОВ!E160</f>
        <v>0</v>
      </c>
      <c r="C2" s="1040"/>
      <c r="D2" s="1039"/>
      <c r="E2" s="1040"/>
      <c r="F2" s="1039"/>
      <c r="G2" s="1040"/>
      <c r="H2" s="1039" t="s">
        <v>1019</v>
      </c>
    </row>
    <row r="3" spans="1:8" x14ac:dyDescent="0.25">
      <c r="A3" s="1037" t="s">
        <v>1179</v>
      </c>
      <c r="B3" s="1038">
        <f>ТрЗ_ОВ!H160</f>
        <v>0</v>
      </c>
      <c r="C3" s="1040"/>
      <c r="D3" s="1039"/>
      <c r="E3" s="1040"/>
      <c r="F3" s="1039"/>
      <c r="G3" s="1040"/>
      <c r="H3" s="1039"/>
    </row>
    <row r="4" spans="1:8" x14ac:dyDescent="0.25">
      <c r="A4" s="1037" t="s">
        <v>879</v>
      </c>
      <c r="B4" s="1143">
        <v>1</v>
      </c>
      <c r="C4" s="1242">
        <v>4</v>
      </c>
      <c r="D4" s="1130">
        <f>4*B2</f>
        <v>0</v>
      </c>
      <c r="E4" s="1040"/>
      <c r="F4" s="1039">
        <f>D4/8</f>
        <v>0</v>
      </c>
      <c r="G4" s="1040"/>
      <c r="H4" s="1039"/>
    </row>
    <row r="5" spans="1:8" x14ac:dyDescent="0.25">
      <c r="A5" s="1037" t="s">
        <v>880</v>
      </c>
      <c r="B5" s="1143" t="s">
        <v>881</v>
      </c>
      <c r="C5" s="1242"/>
      <c r="D5" s="1130"/>
      <c r="E5" s="1040"/>
      <c r="F5" s="1040"/>
      <c r="G5" s="1040"/>
      <c r="H5" s="1039"/>
    </row>
    <row r="6" spans="1:8" x14ac:dyDescent="0.25">
      <c r="A6" s="1042" t="s">
        <v>882</v>
      </c>
      <c r="B6" s="1049">
        <v>1</v>
      </c>
      <c r="C6" s="1242">
        <v>1</v>
      </c>
      <c r="D6" s="1130">
        <f t="shared" ref="D6:D16" si="0">C6*$B$6</f>
        <v>1</v>
      </c>
      <c r="E6" s="1040">
        <f t="shared" ref="E6:F9" si="1">0.5*$D6</f>
        <v>0.5</v>
      </c>
      <c r="F6" s="1040">
        <f t="shared" si="1"/>
        <v>0.5</v>
      </c>
      <c r="G6" s="1040"/>
      <c r="H6" s="1039"/>
    </row>
    <row r="7" spans="1:8" x14ac:dyDescent="0.25">
      <c r="A7" s="1042" t="s">
        <v>883</v>
      </c>
      <c r="B7" s="1049">
        <v>1</v>
      </c>
      <c r="C7" s="1242">
        <v>1</v>
      </c>
      <c r="D7" s="1130">
        <f t="shared" si="0"/>
        <v>1</v>
      </c>
      <c r="E7" s="1040">
        <f t="shared" si="1"/>
        <v>0.5</v>
      </c>
      <c r="F7" s="1040">
        <f t="shared" si="1"/>
        <v>0.5</v>
      </c>
      <c r="G7" s="1040"/>
      <c r="H7" s="1039"/>
    </row>
    <row r="8" spans="1:8" x14ac:dyDescent="0.25">
      <c r="A8" s="1042" t="s">
        <v>884</v>
      </c>
      <c r="B8" s="1049">
        <v>1</v>
      </c>
      <c r="C8" s="1242">
        <v>1</v>
      </c>
      <c r="D8" s="1130">
        <f t="shared" si="0"/>
        <v>1</v>
      </c>
      <c r="E8" s="1040">
        <f t="shared" si="1"/>
        <v>0.5</v>
      </c>
      <c r="F8" s="1040">
        <f t="shared" si="1"/>
        <v>0.5</v>
      </c>
      <c r="G8" s="1040"/>
      <c r="H8" s="1039"/>
    </row>
    <row r="9" spans="1:8" x14ac:dyDescent="0.25">
      <c r="A9" s="1042" t="s">
        <v>885</v>
      </c>
      <c r="B9" s="1049">
        <v>1</v>
      </c>
      <c r="C9" s="1242">
        <v>1</v>
      </c>
      <c r="D9" s="1130">
        <f t="shared" si="0"/>
        <v>1</v>
      </c>
      <c r="E9" s="1040">
        <f t="shared" si="1"/>
        <v>0.5</v>
      </c>
      <c r="F9" s="1040">
        <f t="shared" si="1"/>
        <v>0.5</v>
      </c>
      <c r="G9" s="1040"/>
      <c r="H9" s="1039"/>
    </row>
    <row r="10" spans="1:8" x14ac:dyDescent="0.25">
      <c r="A10" s="1037" t="s">
        <v>886</v>
      </c>
      <c r="B10" s="1049"/>
      <c r="C10" s="1242"/>
      <c r="D10" s="1130"/>
      <c r="E10" s="1040"/>
      <c r="F10" s="1039"/>
      <c r="G10" s="1040"/>
      <c r="H10" s="1039"/>
    </row>
    <row r="11" spans="1:8" x14ac:dyDescent="0.25">
      <c r="A11" s="1037" t="s">
        <v>887</v>
      </c>
      <c r="B11" s="1049"/>
      <c r="C11" s="1242"/>
      <c r="D11" s="1130"/>
      <c r="E11" s="1040"/>
      <c r="F11" s="1039"/>
      <c r="G11" s="1040"/>
      <c r="H11" s="1039"/>
    </row>
    <row r="12" spans="1:8" x14ac:dyDescent="0.25">
      <c r="A12" s="1042" t="s">
        <v>888</v>
      </c>
      <c r="B12" s="1049">
        <v>2</v>
      </c>
      <c r="C12" s="1243">
        <v>4</v>
      </c>
      <c r="D12" s="1130">
        <f t="shared" si="0"/>
        <v>4</v>
      </c>
      <c r="E12" s="1040">
        <f>0.5*$D12</f>
        <v>2</v>
      </c>
      <c r="F12" s="1040">
        <f>0.5*$D12</f>
        <v>2</v>
      </c>
      <c r="G12" s="1040"/>
      <c r="H12" s="1039"/>
    </row>
    <row r="13" spans="1:8" x14ac:dyDescent="0.25">
      <c r="A13" s="268" t="s">
        <v>894</v>
      </c>
      <c r="B13" s="1049">
        <v>0.5</v>
      </c>
      <c r="C13" s="1243">
        <v>1</v>
      </c>
      <c r="D13" s="1130">
        <f t="shared" si="0"/>
        <v>1</v>
      </c>
      <c r="E13" s="1040">
        <f t="shared" ref="E13:F16" si="2">0.5*$D13</f>
        <v>0.5</v>
      </c>
      <c r="F13" s="1040">
        <f t="shared" si="2"/>
        <v>0.5</v>
      </c>
      <c r="G13" s="1067"/>
      <c r="H13" s="1067"/>
    </row>
    <row r="14" spans="1:8" x14ac:dyDescent="0.25">
      <c r="A14" s="1189" t="s">
        <v>1180</v>
      </c>
      <c r="B14" s="1049">
        <v>1</v>
      </c>
      <c r="C14" s="1243">
        <v>2</v>
      </c>
      <c r="D14" s="1130">
        <f t="shared" si="0"/>
        <v>2</v>
      </c>
      <c r="E14" s="1040">
        <f t="shared" si="2"/>
        <v>1</v>
      </c>
      <c r="F14" s="1040">
        <f t="shared" si="2"/>
        <v>1</v>
      </c>
      <c r="G14" s="1040"/>
      <c r="H14" s="1039"/>
    </row>
    <row r="15" spans="1:8" x14ac:dyDescent="0.25">
      <c r="A15" s="268" t="s">
        <v>1181</v>
      </c>
      <c r="B15" s="1049">
        <v>0.5</v>
      </c>
      <c r="C15" s="1243">
        <v>0.5</v>
      </c>
      <c r="D15" s="1130">
        <f t="shared" si="0"/>
        <v>0.5</v>
      </c>
      <c r="E15" s="1040">
        <f t="shared" si="2"/>
        <v>0.25</v>
      </c>
      <c r="F15" s="1040">
        <f t="shared" si="2"/>
        <v>0.25</v>
      </c>
      <c r="G15" s="1067"/>
      <c r="H15" s="1067"/>
    </row>
    <row r="16" spans="1:8" x14ac:dyDescent="0.25">
      <c r="A16" s="1042" t="s">
        <v>1026</v>
      </c>
      <c r="B16" s="1049">
        <v>0.5</v>
      </c>
      <c r="C16" s="1243">
        <v>0.5</v>
      </c>
      <c r="D16" s="1130">
        <f t="shared" si="0"/>
        <v>0.5</v>
      </c>
      <c r="E16" s="1040">
        <f t="shared" si="2"/>
        <v>0.25</v>
      </c>
      <c r="F16" s="1040">
        <f t="shared" si="2"/>
        <v>0.25</v>
      </c>
      <c r="G16" s="1040"/>
      <c r="H16" s="1039"/>
    </row>
    <row r="17" spans="1:8" ht="25.5" x14ac:dyDescent="0.25">
      <c r="A17" s="1037" t="s">
        <v>962</v>
      </c>
      <c r="B17" s="1043">
        <v>1</v>
      </c>
      <c r="C17" s="1223" t="s">
        <v>896</v>
      </c>
      <c r="D17" s="1130">
        <f ca="1">ROUNDUP(IF(0.1*(SUM($D$15:$D$19))&gt;8,0.1*(SUM($D$15:$D$19)),8),0)</f>
        <v>8</v>
      </c>
      <c r="E17" s="1040"/>
      <c r="F17" s="1040">
        <f ca="1">0.5*$D17</f>
        <v>4</v>
      </c>
      <c r="G17" s="1040">
        <f ca="1">0.5*$D17</f>
        <v>4</v>
      </c>
      <c r="H17" s="1039"/>
    </row>
    <row r="18" spans="1:8" ht="26.25" thickBot="1" x14ac:dyDescent="0.3">
      <c r="A18" s="1070" t="s">
        <v>963</v>
      </c>
      <c r="B18" s="1043">
        <v>1</v>
      </c>
      <c r="C18" s="1244" t="s">
        <v>898</v>
      </c>
      <c r="D18" s="1130">
        <f ca="1">ROUNDUP(IF(0.05*(SUM($D$15:$D$19))&gt;8,0.05*(SUM($D$15:$D$19)),8),0)</f>
        <v>8</v>
      </c>
      <c r="E18" s="1155"/>
      <c r="F18" s="1155">
        <f ca="1">0.5*$D18</f>
        <v>4</v>
      </c>
      <c r="G18" s="1155">
        <f ca="1">0.5*$D18</f>
        <v>4</v>
      </c>
      <c r="H18" s="1156"/>
    </row>
    <row r="19" spans="1:8" x14ac:dyDescent="0.25">
      <c r="A19" s="1067" t="s">
        <v>563</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900</v>
      </c>
      <c r="D21" s="268">
        <f>SUM(D6:D9)/8</f>
        <v>0.5</v>
      </c>
      <c r="E21" s="268">
        <f>ROUNDUP(SUM(E6:E9)/8,0)</f>
        <v>1</v>
      </c>
      <c r="F21" s="268">
        <f>ROUNDUP(SUM(F6:F9)/8,0)</f>
        <v>1</v>
      </c>
      <c r="G21" s="268">
        <f>ROUNDUP(SUM(G4:G9)/8,0)</f>
        <v>0</v>
      </c>
      <c r="H21" s="1067"/>
    </row>
    <row r="22" spans="1:8" x14ac:dyDescent="0.25">
      <c r="A22" s="1067"/>
      <c r="B22" s="1067"/>
      <c r="C22" s="63" t="s">
        <v>901</v>
      </c>
      <c r="D22" s="63">
        <f ca="1">SUM(D12:D17)/8</f>
        <v>2</v>
      </c>
      <c r="E22" s="63">
        <f>ROUNDUP(SUM(E12:E17)/8,0)</f>
        <v>1</v>
      </c>
      <c r="F22" s="63">
        <f ca="1">ROUNDUP(SUM(F12:F17)/8,0)</f>
        <v>1</v>
      </c>
      <c r="G22" s="63">
        <f ca="1">ROUNDUP(SUM(G12:G17)/8,0)</f>
        <v>1</v>
      </c>
      <c r="H22" s="1067"/>
    </row>
    <row r="23" spans="1:8" x14ac:dyDescent="0.25">
      <c r="A23" s="1067"/>
      <c r="B23" s="1067"/>
      <c r="C23" s="268" t="s">
        <v>902</v>
      </c>
      <c r="D23" s="268">
        <f ca="1">ROUNDUP(SUM(D18)/8,0)</f>
        <v>1</v>
      </c>
      <c r="E23" s="268">
        <f t="shared" ref="E23:G23" si="3">ROUNDUP(SUM(E18)/8,0)</f>
        <v>0</v>
      </c>
      <c r="F23" s="268">
        <f t="shared" ca="1" si="3"/>
        <v>1</v>
      </c>
      <c r="G23" s="268">
        <f t="shared" ca="1" si="3"/>
        <v>1</v>
      </c>
      <c r="H23" s="1067"/>
    </row>
    <row r="24" spans="1:8" x14ac:dyDescent="0.25">
      <c r="A24" s="1067"/>
      <c r="B24" s="1067"/>
      <c r="C24" s="63" t="s">
        <v>903</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1204</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871</v>
      </c>
      <c r="B4" s="1141" t="s">
        <v>872</v>
      </c>
      <c r="C4" s="1142" t="s">
        <v>873</v>
      </c>
      <c r="D4" s="1141" t="s">
        <v>52</v>
      </c>
      <c r="E4" s="1142" t="s">
        <v>714</v>
      </c>
      <c r="F4" s="1142" t="s">
        <v>713</v>
      </c>
      <c r="G4" s="1142" t="s">
        <v>712</v>
      </c>
      <c r="H4" s="1141" t="s">
        <v>874</v>
      </c>
    </row>
    <row r="5" spans="1:8" ht="89.25" x14ac:dyDescent="0.25">
      <c r="A5" s="1037" t="s">
        <v>875</v>
      </c>
      <c r="B5" s="1038">
        <f>ТрЗ_ОВ!E39</f>
        <v>0</v>
      </c>
      <c r="C5" s="1040"/>
      <c r="D5" s="1039"/>
      <c r="E5" s="1040"/>
      <c r="F5" s="1039"/>
      <c r="G5" s="1040"/>
      <c r="H5" s="1039" t="s">
        <v>1019</v>
      </c>
    </row>
    <row r="6" spans="1:8" x14ac:dyDescent="0.25">
      <c r="A6" s="1037" t="s">
        <v>1205</v>
      </c>
      <c r="B6" s="1038">
        <f>ТрЗ_ОВ!H39</f>
        <v>0</v>
      </c>
      <c r="C6" s="1040"/>
      <c r="D6" s="1039"/>
      <c r="E6" s="1040"/>
      <c r="F6" s="1039"/>
      <c r="G6" s="1040"/>
      <c r="H6" s="1039"/>
    </row>
    <row r="7" spans="1:8" x14ac:dyDescent="0.25">
      <c r="A7" s="1037" t="s">
        <v>908</v>
      </c>
      <c r="B7" s="1038">
        <f>ТрЗ_ОВ!J39</f>
        <v>0</v>
      </c>
      <c r="C7" s="1040"/>
      <c r="D7" s="1039"/>
      <c r="E7" s="1040"/>
      <c r="F7" s="1039"/>
      <c r="G7" s="1040"/>
      <c r="H7" s="1039"/>
    </row>
    <row r="8" spans="1:8" x14ac:dyDescent="0.25">
      <c r="A8" s="1037" t="s">
        <v>879</v>
      </c>
      <c r="B8" s="1038">
        <v>1</v>
      </c>
      <c r="C8" s="1040">
        <v>4</v>
      </c>
      <c r="D8" s="1039">
        <v>4</v>
      </c>
      <c r="E8" s="1040">
        <f>2/8</f>
        <v>0.25</v>
      </c>
      <c r="F8" s="1040">
        <f>2/8</f>
        <v>0.25</v>
      </c>
      <c r="G8" s="1040"/>
      <c r="H8" s="1039"/>
    </row>
    <row r="9" spans="1:8" x14ac:dyDescent="0.25">
      <c r="A9" s="1037" t="s">
        <v>880</v>
      </c>
      <c r="B9" s="1041" t="s">
        <v>881</v>
      </c>
      <c r="C9" s="1040">
        <f>SUM(C10:C13)</f>
        <v>4</v>
      </c>
      <c r="D9" s="1039">
        <f>C9*B6</f>
        <v>0</v>
      </c>
      <c r="E9" s="1040">
        <f>0.5*$D$9</f>
        <v>0</v>
      </c>
      <c r="F9" s="1040">
        <f>0.5*$D$9</f>
        <v>0</v>
      </c>
      <c r="G9" s="1040"/>
      <c r="H9" s="1039"/>
    </row>
    <row r="10" spans="1:8" x14ac:dyDescent="0.25">
      <c r="A10" s="1042" t="s">
        <v>882</v>
      </c>
      <c r="B10" s="1043">
        <v>1</v>
      </c>
      <c r="C10" s="1040">
        <v>1</v>
      </c>
      <c r="D10" s="1039"/>
      <c r="E10" s="1040"/>
      <c r="F10" s="1039"/>
      <c r="G10" s="1040"/>
      <c r="H10" s="1039"/>
    </row>
    <row r="11" spans="1:8" x14ac:dyDescent="0.25">
      <c r="A11" s="1042" t="s">
        <v>883</v>
      </c>
      <c r="B11" s="1043">
        <v>1</v>
      </c>
      <c r="C11" s="1040">
        <v>1</v>
      </c>
      <c r="D11" s="1039"/>
      <c r="E11" s="1040"/>
      <c r="F11" s="1039"/>
      <c r="G11" s="1040"/>
      <c r="H11" s="1039"/>
    </row>
    <row r="12" spans="1:8" x14ac:dyDescent="0.25">
      <c r="A12" s="1042" t="s">
        <v>884</v>
      </c>
      <c r="B12" s="1043">
        <v>1</v>
      </c>
      <c r="C12" s="1040">
        <v>1</v>
      </c>
      <c r="D12" s="1039"/>
      <c r="E12" s="1040"/>
      <c r="F12" s="1039"/>
      <c r="G12" s="1040" t="s">
        <v>1206</v>
      </c>
      <c r="H12" s="1039"/>
    </row>
    <row r="13" spans="1:8" x14ac:dyDescent="0.25">
      <c r="A13" s="1042" t="s">
        <v>885</v>
      </c>
      <c r="B13" s="1043">
        <v>1</v>
      </c>
      <c r="C13" s="1040">
        <v>1</v>
      </c>
      <c r="D13" s="1039"/>
      <c r="E13" s="1040"/>
      <c r="F13" s="1039"/>
      <c r="G13" s="1040"/>
      <c r="H13" s="1039"/>
    </row>
    <row r="14" spans="1:8" x14ac:dyDescent="0.25">
      <c r="A14" s="1037" t="s">
        <v>886</v>
      </c>
      <c r="B14" s="1041"/>
      <c r="C14" s="1040"/>
      <c r="D14" s="1039"/>
      <c r="E14" s="1040"/>
      <c r="F14" s="1039"/>
      <c r="G14" s="1040"/>
      <c r="H14" s="1039"/>
    </row>
    <row r="15" spans="1:8" x14ac:dyDescent="0.25">
      <c r="A15" s="1037" t="s">
        <v>1049</v>
      </c>
      <c r="B15" s="1041"/>
      <c r="C15" s="1040"/>
      <c r="D15" s="1039"/>
      <c r="E15" s="1040"/>
      <c r="F15" s="1039"/>
      <c r="G15" s="1040"/>
      <c r="H15" s="1039"/>
    </row>
    <row r="16" spans="1:8" x14ac:dyDescent="0.25">
      <c r="A16" s="1042" t="s">
        <v>888</v>
      </c>
      <c r="B16" s="1043">
        <v>1</v>
      </c>
      <c r="C16" s="1040">
        <v>1</v>
      </c>
      <c r="D16" s="1039">
        <f>C16*B6</f>
        <v>0</v>
      </c>
      <c r="E16" s="1040">
        <f t="shared" ref="E16:F23" si="0">0.5*$D16</f>
        <v>0</v>
      </c>
      <c r="F16" s="1040">
        <f t="shared" si="0"/>
        <v>0</v>
      </c>
      <c r="G16" s="1040"/>
      <c r="H16" s="1039"/>
    </row>
    <row r="17" spans="1:8" x14ac:dyDescent="0.25">
      <c r="A17" s="1042" t="s">
        <v>1051</v>
      </c>
      <c r="B17" s="1043">
        <v>1</v>
      </c>
      <c r="C17" s="1040">
        <v>1</v>
      </c>
      <c r="D17" s="1039">
        <f>C17*B7</f>
        <v>0</v>
      </c>
      <c r="E17" s="1040">
        <f t="shared" si="0"/>
        <v>0</v>
      </c>
      <c r="F17" s="1040">
        <f t="shared" si="0"/>
        <v>0</v>
      </c>
      <c r="G17" s="1040"/>
      <c r="H17" s="1039"/>
    </row>
    <row r="18" spans="1:8" x14ac:dyDescent="0.25">
      <c r="A18" s="1042" t="s">
        <v>1052</v>
      </c>
      <c r="B18" s="1043">
        <v>1</v>
      </c>
      <c r="C18" s="1040">
        <v>0.5</v>
      </c>
      <c r="D18" s="1039">
        <f>C18*(B6-B7)</f>
        <v>0</v>
      </c>
      <c r="E18" s="1040">
        <f t="shared" si="0"/>
        <v>0</v>
      </c>
      <c r="F18" s="1040">
        <f t="shared" si="0"/>
        <v>0</v>
      </c>
      <c r="G18" s="1040"/>
      <c r="H18" s="1039"/>
    </row>
    <row r="19" spans="1:8" x14ac:dyDescent="0.25">
      <c r="A19" s="1042" t="s">
        <v>1053</v>
      </c>
      <c r="B19" s="1043">
        <v>1</v>
      </c>
      <c r="C19" s="1040">
        <v>1</v>
      </c>
      <c r="D19" s="1039">
        <f>B6*C19</f>
        <v>0</v>
      </c>
      <c r="E19" s="1040">
        <f t="shared" si="0"/>
        <v>0</v>
      </c>
      <c r="F19" s="1040">
        <f t="shared" si="0"/>
        <v>0</v>
      </c>
      <c r="G19" s="1040"/>
      <c r="H19" s="1039"/>
    </row>
    <row r="20" spans="1:8" x14ac:dyDescent="0.25">
      <c r="A20" s="1042" t="s">
        <v>1026</v>
      </c>
      <c r="B20" s="1043">
        <v>1</v>
      </c>
      <c r="C20" s="1040">
        <v>0.5</v>
      </c>
      <c r="D20" s="1039">
        <f>B6*C20</f>
        <v>0</v>
      </c>
      <c r="E20" s="1040">
        <f t="shared" si="0"/>
        <v>0</v>
      </c>
      <c r="F20" s="1040">
        <f t="shared" si="0"/>
        <v>0</v>
      </c>
      <c r="G20" s="1040"/>
      <c r="H20" s="1039"/>
    </row>
    <row r="21" spans="1:8" x14ac:dyDescent="0.25">
      <c r="A21" s="1042" t="s">
        <v>1054</v>
      </c>
      <c r="B21" s="1043">
        <v>1</v>
      </c>
      <c r="C21" s="1040">
        <v>1</v>
      </c>
      <c r="D21" s="1039">
        <f>C21*(B6-B7)</f>
        <v>0</v>
      </c>
      <c r="E21" s="1040">
        <f t="shared" si="0"/>
        <v>0</v>
      </c>
      <c r="F21" s="1040">
        <f t="shared" si="0"/>
        <v>0</v>
      </c>
      <c r="G21" s="1040"/>
      <c r="H21" s="1039"/>
    </row>
    <row r="22" spans="1:8" x14ac:dyDescent="0.25">
      <c r="A22" s="1042" t="s">
        <v>755</v>
      </c>
      <c r="B22" s="1043">
        <v>1</v>
      </c>
      <c r="C22" s="1040">
        <v>2</v>
      </c>
      <c r="D22" s="1039">
        <f>C22*($B$6-$B$7)</f>
        <v>0</v>
      </c>
      <c r="E22" s="1040">
        <f t="shared" si="0"/>
        <v>0</v>
      </c>
      <c r="F22" s="1040">
        <f t="shared" si="0"/>
        <v>0</v>
      </c>
      <c r="G22" s="1040"/>
      <c r="H22" s="1039"/>
    </row>
    <row r="23" spans="1:8" x14ac:dyDescent="0.25">
      <c r="A23" s="1042" t="s">
        <v>1056</v>
      </c>
      <c r="B23" s="1043">
        <v>1</v>
      </c>
      <c r="C23" s="1040">
        <v>4</v>
      </c>
      <c r="D23" s="1039">
        <f>C23*($B$6)</f>
        <v>0</v>
      </c>
      <c r="E23" s="1040">
        <f t="shared" si="0"/>
        <v>0</v>
      </c>
      <c r="F23" s="1040">
        <f t="shared" si="0"/>
        <v>0</v>
      </c>
      <c r="G23" s="1040"/>
      <c r="H23" s="1039"/>
    </row>
    <row r="24" spans="1:8" x14ac:dyDescent="0.25">
      <c r="A24" s="1037" t="s">
        <v>1057</v>
      </c>
      <c r="B24" s="1043"/>
      <c r="C24" s="1040"/>
      <c r="D24" s="1039"/>
      <c r="E24" s="1040"/>
      <c r="F24" s="1039"/>
      <c r="G24" s="1040"/>
      <c r="H24" s="1039"/>
    </row>
    <row r="25" spans="1:8" x14ac:dyDescent="0.25">
      <c r="A25" s="1042" t="s">
        <v>1207</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1208</v>
      </c>
      <c r="B26" s="1129">
        <f>IF(ТрЗ_ОВ!D44="Да",1,0)</f>
        <v>0</v>
      </c>
      <c r="C26" s="1040" t="s">
        <v>1059</v>
      </c>
      <c r="D26" s="1039">
        <f>IF(B26&gt;0,IF((0.5*($B$6-$B$7))&gt;2,(0.5*($B$6-$B$7)),2),0)</f>
        <v>0</v>
      </c>
      <c r="E26" s="1040">
        <f t="shared" si="1"/>
        <v>0</v>
      </c>
      <c r="F26" s="1040">
        <f t="shared" si="2"/>
        <v>0</v>
      </c>
      <c r="G26" s="1040">
        <f t="shared" si="3"/>
        <v>0</v>
      </c>
      <c r="H26" s="1039"/>
    </row>
    <row r="27" spans="1:8" x14ac:dyDescent="0.25">
      <c r="A27" s="1042" t="s">
        <v>1209</v>
      </c>
      <c r="B27" s="1129">
        <f>IF(ТрЗ_ОВ!D45="Да",1,0)</f>
        <v>0</v>
      </c>
      <c r="C27" s="1040" t="s">
        <v>1059</v>
      </c>
      <c r="D27" s="1039">
        <f>IF(B27&gt;0,IF((0.5*($B$6-$B$7))&gt;2,(0.5*($B$6-$B$7)),2),0)</f>
        <v>0</v>
      </c>
      <c r="E27" s="1040">
        <f t="shared" si="1"/>
        <v>0</v>
      </c>
      <c r="F27" s="1040">
        <f t="shared" si="2"/>
        <v>0</v>
      </c>
      <c r="G27" s="1040">
        <f t="shared" si="3"/>
        <v>0</v>
      </c>
      <c r="H27" s="1039"/>
    </row>
    <row r="28" spans="1:8" x14ac:dyDescent="0.25">
      <c r="A28" s="1042" t="s">
        <v>1058</v>
      </c>
      <c r="B28" s="1129">
        <f>IF(ТрЗ_ОВ!D46="Да",1,0)</f>
        <v>0</v>
      </c>
      <c r="C28" s="1040" t="s">
        <v>1061</v>
      </c>
      <c r="D28" s="1039">
        <f>IF(B28&gt;0,IF((0.5*($B$6-$B$7))&gt;1,(0.5*($B$6-$B$7)),1),0)</f>
        <v>0</v>
      </c>
      <c r="E28" s="1040">
        <f t="shared" si="1"/>
        <v>0</v>
      </c>
      <c r="F28" s="1040">
        <f t="shared" si="2"/>
        <v>0</v>
      </c>
      <c r="G28" s="1040">
        <f t="shared" si="3"/>
        <v>0</v>
      </c>
      <c r="H28" s="1039"/>
    </row>
    <row r="29" spans="1:8" x14ac:dyDescent="0.25">
      <c r="A29" s="1042" t="s">
        <v>1060</v>
      </c>
      <c r="B29" s="1129">
        <f>IF(ТрЗ_ОВ!D47="Да",1,0)</f>
        <v>0</v>
      </c>
      <c r="C29" s="1040" t="s">
        <v>1061</v>
      </c>
      <c r="D29" s="1039">
        <f>IF(B29&gt;0,IF((0.5*($B$6-$B$7))&gt;1,(0.5*($B$6-$B$7)),1),0)</f>
        <v>0</v>
      </c>
      <c r="E29" s="1040">
        <f t="shared" si="1"/>
        <v>0</v>
      </c>
      <c r="F29" s="1040">
        <f t="shared" si="2"/>
        <v>0</v>
      </c>
      <c r="G29" s="1040">
        <f t="shared" si="3"/>
        <v>0</v>
      </c>
      <c r="H29" s="1039"/>
    </row>
    <row r="30" spans="1:8" x14ac:dyDescent="0.25">
      <c r="A30" s="1042" t="s">
        <v>1210</v>
      </c>
      <c r="B30" s="1129">
        <f>IF(ТрЗ_ОВ!D48="Да",1,0)</f>
        <v>0</v>
      </c>
      <c r="C30" s="1040">
        <v>8</v>
      </c>
      <c r="D30" s="1039">
        <f>IF(B30&gt;0,C30*($B$6-$B$7),0)</f>
        <v>0</v>
      </c>
      <c r="E30" s="1040">
        <f t="shared" si="1"/>
        <v>0</v>
      </c>
      <c r="F30" s="1040">
        <f t="shared" si="2"/>
        <v>0</v>
      </c>
      <c r="G30" s="1040">
        <f t="shared" si="3"/>
        <v>0</v>
      </c>
      <c r="H30" s="1039"/>
    </row>
    <row r="31" spans="1:8" x14ac:dyDescent="0.25">
      <c r="A31" s="1042" t="s">
        <v>1211</v>
      </c>
      <c r="B31" s="1129">
        <f>IF(ТрЗ_ОВ!D49="Да",1,0)</f>
        <v>0</v>
      </c>
      <c r="C31" s="1040">
        <v>8</v>
      </c>
      <c r="D31" s="1039">
        <f>IF(B31&gt;0,C31*($B$6-$B$7),0)</f>
        <v>0</v>
      </c>
      <c r="E31" s="1040">
        <f t="shared" si="1"/>
        <v>0</v>
      </c>
      <c r="F31" s="1040">
        <f t="shared" si="2"/>
        <v>0</v>
      </c>
      <c r="G31" s="1040">
        <f t="shared" si="3"/>
        <v>0</v>
      </c>
      <c r="H31" s="1039"/>
    </row>
    <row r="32" spans="1:8" x14ac:dyDescent="0.25">
      <c r="A32" s="1042" t="s">
        <v>1212</v>
      </c>
      <c r="B32" s="1129">
        <f>IF(ТрЗ_ОВ!D50="Да",1,0)</f>
        <v>0</v>
      </c>
      <c r="C32" s="1040">
        <v>8</v>
      </c>
      <c r="D32" s="1039">
        <f>IF(B32&gt;0,C32*($B$6-$B$7),0)</f>
        <v>0</v>
      </c>
      <c r="E32" s="1040">
        <f t="shared" si="1"/>
        <v>0</v>
      </c>
      <c r="F32" s="1040">
        <f t="shared" si="2"/>
        <v>0</v>
      </c>
      <c r="G32" s="1040">
        <f t="shared" si="3"/>
        <v>0</v>
      </c>
      <c r="H32" s="1039"/>
    </row>
    <row r="33" spans="1:8" x14ac:dyDescent="0.25">
      <c r="A33" s="1037" t="s">
        <v>1213</v>
      </c>
      <c r="B33" s="1041"/>
      <c r="C33" s="1040"/>
      <c r="D33" s="1039"/>
      <c r="E33" s="1040"/>
      <c r="F33" s="1039"/>
      <c r="G33" s="1040"/>
      <c r="H33" s="1039"/>
    </row>
    <row r="34" spans="1:8" x14ac:dyDescent="0.25">
      <c r="A34" s="1042" t="s">
        <v>727</v>
      </c>
      <c r="B34" s="1038">
        <f>ТрЗ_ОВ!D53</f>
        <v>0</v>
      </c>
      <c r="C34" s="1040" t="s">
        <v>1214</v>
      </c>
      <c r="D34" s="1039">
        <f>IF((0.15*B34)&gt;4,(0.15*B34),4)</f>
        <v>4</v>
      </c>
      <c r="E34" s="1040">
        <f>0.5*$D34</f>
        <v>2</v>
      </c>
      <c r="F34" s="1040">
        <f>0.3*$D34</f>
        <v>1.2</v>
      </c>
      <c r="G34" s="1040">
        <f>0.2*$D34</f>
        <v>0.8</v>
      </c>
      <c r="H34" s="1039"/>
    </row>
    <row r="35" spans="1:8" x14ac:dyDescent="0.25">
      <c r="A35" s="1042" t="s">
        <v>728</v>
      </c>
      <c r="B35" s="1038">
        <f>IF(ТрЗ_ОВ!D54="Да",1,0)</f>
        <v>0</v>
      </c>
      <c r="C35" s="1040">
        <v>2</v>
      </c>
      <c r="D35" s="1039">
        <f>C35*($B$6-$B$7)</f>
        <v>0</v>
      </c>
      <c r="E35" s="1040"/>
      <c r="F35" s="1040">
        <f t="shared" ref="F35:F40" si="4">0.7*$D35</f>
        <v>0</v>
      </c>
      <c r="G35" s="1040">
        <f t="shared" ref="G35:G40" si="5">0.3*$D35</f>
        <v>0</v>
      </c>
      <c r="H35" s="1149"/>
    </row>
    <row r="36" spans="1:8" x14ac:dyDescent="0.25">
      <c r="A36" s="1042" t="s">
        <v>729</v>
      </c>
      <c r="B36" s="1038">
        <f>IF(ТрЗ_ОВ!D55="Да",1,0)</f>
        <v>0</v>
      </c>
      <c r="C36" s="1040">
        <v>24</v>
      </c>
      <c r="D36" s="1039">
        <f>IF(B36&gt;0,C36*($B$6-$B$7),0)</f>
        <v>0</v>
      </c>
      <c r="E36" s="1040"/>
      <c r="F36" s="1040">
        <f t="shared" si="4"/>
        <v>0</v>
      </c>
      <c r="G36" s="1040">
        <f t="shared" si="5"/>
        <v>0</v>
      </c>
      <c r="H36" s="1039"/>
    </row>
    <row r="37" spans="1:8" x14ac:dyDescent="0.25">
      <c r="A37" s="1042" t="s">
        <v>730</v>
      </c>
      <c r="B37" s="1038">
        <f>IF(ТрЗ_ОВ!D56="Да",1,0)</f>
        <v>0</v>
      </c>
      <c r="C37" s="1040">
        <v>24</v>
      </c>
      <c r="D37" s="1039">
        <f>IF(B37&gt;0,C37*($B$6-$B$7),0)</f>
        <v>0</v>
      </c>
      <c r="E37" s="1040"/>
      <c r="F37" s="1040">
        <f t="shared" si="4"/>
        <v>0</v>
      </c>
      <c r="G37" s="1040">
        <f t="shared" si="5"/>
        <v>0</v>
      </c>
      <c r="H37" s="1039"/>
    </row>
    <row r="38" spans="1:8" x14ac:dyDescent="0.25">
      <c r="A38" s="1042" t="s">
        <v>731</v>
      </c>
      <c r="B38" s="1038">
        <f>IF(ТрЗ_ОВ!D57="Да",1,0)</f>
        <v>0</v>
      </c>
      <c r="C38" s="1040">
        <v>24</v>
      </c>
      <c r="D38" s="1039">
        <f>IF(B38&gt;0,C38*($B$6-$B$7),0)</f>
        <v>0</v>
      </c>
      <c r="E38" s="1040"/>
      <c r="F38" s="1040">
        <f t="shared" si="4"/>
        <v>0</v>
      </c>
      <c r="G38" s="1040">
        <f t="shared" si="5"/>
        <v>0</v>
      </c>
      <c r="H38" s="1039"/>
    </row>
    <row r="39" spans="1:8" x14ac:dyDescent="0.25">
      <c r="A39" s="1042" t="s">
        <v>732</v>
      </c>
      <c r="B39" s="1038">
        <f>IF(ТрЗ_ОВ!D58="Да",1,0)</f>
        <v>0</v>
      </c>
      <c r="C39" s="1040">
        <v>1</v>
      </c>
      <c r="D39" s="1039">
        <f>IF(B39&gt;0,C39*($B$6-$B$7),0)</f>
        <v>0</v>
      </c>
      <c r="E39" s="1040"/>
      <c r="F39" s="1040">
        <f t="shared" si="4"/>
        <v>0</v>
      </c>
      <c r="G39" s="1040">
        <f t="shared" si="5"/>
        <v>0</v>
      </c>
      <c r="H39" s="1039"/>
    </row>
    <row r="40" spans="1:8" x14ac:dyDescent="0.25">
      <c r="A40" s="1042" t="s">
        <v>733</v>
      </c>
      <c r="B40" s="1038">
        <f>IF(ТрЗ_ОВ!D59="Да",1,0)</f>
        <v>0</v>
      </c>
      <c r="C40" s="1040">
        <v>4</v>
      </c>
      <c r="D40" s="1039">
        <f>IF(B40&gt;0,C40*($B$6-$B$7),0)</f>
        <v>0</v>
      </c>
      <c r="E40" s="1040"/>
      <c r="F40" s="1040">
        <f t="shared" si="4"/>
        <v>0</v>
      </c>
      <c r="G40" s="1040">
        <f t="shared" si="5"/>
        <v>0</v>
      </c>
      <c r="H40" s="1039"/>
    </row>
    <row r="41" spans="1:8" x14ac:dyDescent="0.25">
      <c r="A41" s="1037" t="s">
        <v>1148</v>
      </c>
      <c r="B41" s="1073"/>
      <c r="C41" s="1250"/>
      <c r="D41" s="1039"/>
      <c r="E41" s="1152"/>
      <c r="F41" s="1073"/>
      <c r="G41" s="1152"/>
      <c r="H41" s="1039"/>
    </row>
    <row r="42" spans="1:8" x14ac:dyDescent="0.25">
      <c r="A42" s="1042" t="s">
        <v>734</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735</v>
      </c>
      <c r="B43" s="1129">
        <f>IF(ТрЗ_ОВ!D63="Да",1,0)</f>
        <v>0</v>
      </c>
      <c r="C43" s="1251">
        <v>2</v>
      </c>
      <c r="D43" s="1039">
        <f>IF(B43&gt;0,C43*($B$6-$B$7),0)</f>
        <v>0</v>
      </c>
      <c r="E43" s="1152"/>
      <c r="F43" s="1040">
        <f t="shared" si="6"/>
        <v>0</v>
      </c>
      <c r="G43" s="1040">
        <f t="shared" si="7"/>
        <v>0</v>
      </c>
      <c r="H43" s="1039"/>
    </row>
    <row r="44" spans="1:8" x14ac:dyDescent="0.25">
      <c r="A44" s="1042" t="s">
        <v>736</v>
      </c>
      <c r="B44" s="1129">
        <f>IF(ТрЗ_ОВ!D64="Да",1,0)</f>
        <v>0</v>
      </c>
      <c r="C44" s="1251">
        <v>2</v>
      </c>
      <c r="D44" s="1039">
        <f>IF(B44&gt;0,C44*($B$6-$B$7),0)</f>
        <v>0</v>
      </c>
      <c r="E44" s="1152"/>
      <c r="F44" s="1040">
        <f t="shared" si="6"/>
        <v>0</v>
      </c>
      <c r="G44" s="1040">
        <f t="shared" si="7"/>
        <v>0</v>
      </c>
      <c r="H44" s="1039"/>
    </row>
    <row r="45" spans="1:8" x14ac:dyDescent="0.25">
      <c r="A45" s="1042" t="s">
        <v>737</v>
      </c>
      <c r="B45" s="1129">
        <f>IF(ТрЗ_ОВ!D65="Да",1,0)</f>
        <v>0</v>
      </c>
      <c r="C45" s="1251">
        <v>4</v>
      </c>
      <c r="D45" s="1039">
        <f>IF(B45&gt;0,C45*($B$6-$B$7),0)</f>
        <v>0</v>
      </c>
      <c r="E45" s="1152"/>
      <c r="F45" s="1040">
        <f t="shared" si="6"/>
        <v>0</v>
      </c>
      <c r="G45" s="1040">
        <f t="shared" si="7"/>
        <v>0</v>
      </c>
      <c r="H45" s="1039"/>
    </row>
    <row r="46" spans="1:8" x14ac:dyDescent="0.25">
      <c r="A46" s="1042" t="s">
        <v>738</v>
      </c>
      <c r="B46" s="1129">
        <f>IF(ТрЗ_ОВ!D66="Да",1,0)</f>
        <v>0</v>
      </c>
      <c r="C46" s="1251">
        <v>24</v>
      </c>
      <c r="D46" s="1039">
        <f>IF(B46&gt;0,C46*($B$6-$B$7),0)</f>
        <v>0</v>
      </c>
      <c r="E46" s="1152"/>
      <c r="F46" s="1040">
        <f t="shared" si="6"/>
        <v>0</v>
      </c>
      <c r="G46" s="1040">
        <f t="shared" si="7"/>
        <v>0</v>
      </c>
      <c r="H46" s="1039"/>
    </row>
    <row r="47" spans="1:8" x14ac:dyDescent="0.25">
      <c r="A47" s="1042" t="s">
        <v>739</v>
      </c>
      <c r="B47" s="1129">
        <f>ТрЗ_ОВ!D67</f>
        <v>0</v>
      </c>
      <c r="C47" s="1251" t="s">
        <v>1215</v>
      </c>
      <c r="D47" s="1039">
        <f>IF(B47&gt;0,IF((0.2*B47)&gt;2,(0.2*B47),2),0)</f>
        <v>0</v>
      </c>
      <c r="E47" s="1152"/>
      <c r="F47" s="1040">
        <f t="shared" si="6"/>
        <v>0</v>
      </c>
      <c r="G47" s="1040">
        <f t="shared" si="7"/>
        <v>0</v>
      </c>
      <c r="H47" s="1039"/>
    </row>
    <row r="48" spans="1:8" x14ac:dyDescent="0.25">
      <c r="A48" s="1042" t="s">
        <v>740</v>
      </c>
      <c r="B48" s="1129">
        <f>ТрЗ_ОВ!D68</f>
        <v>0</v>
      </c>
      <c r="C48" s="1252" t="s">
        <v>1216</v>
      </c>
      <c r="D48" s="1039">
        <f>IF(B48&gt;0,IF((0.25*B48)&gt;2,(0.25*B48),2),0)</f>
        <v>0</v>
      </c>
      <c r="E48" s="1152"/>
      <c r="F48" s="1040">
        <f t="shared" si="6"/>
        <v>0</v>
      </c>
      <c r="G48" s="1040">
        <f t="shared" si="7"/>
        <v>0</v>
      </c>
      <c r="H48" s="1039"/>
    </row>
    <row r="49" spans="1:8" x14ac:dyDescent="0.25">
      <c r="A49" s="1042" t="s">
        <v>741</v>
      </c>
      <c r="B49" s="1129">
        <f>ТрЗ_ОВ!D69</f>
        <v>0</v>
      </c>
      <c r="C49" s="1252" t="s">
        <v>1216</v>
      </c>
      <c r="D49" s="1039">
        <f>IF(B49&gt;0,IF((0.25*B49)&gt;2,(0.25*B49),2),0)</f>
        <v>0</v>
      </c>
      <c r="E49" s="1040"/>
      <c r="F49" s="1040">
        <f t="shared" si="6"/>
        <v>0</v>
      </c>
      <c r="G49" s="1040">
        <f t="shared" si="7"/>
        <v>0</v>
      </c>
      <c r="H49" s="1039"/>
    </row>
    <row r="50" spans="1:8" x14ac:dyDescent="0.25">
      <c r="A50" s="1042" t="s">
        <v>960</v>
      </c>
      <c r="B50" s="1129">
        <f>ТрЗ_ОВ!D70</f>
        <v>0</v>
      </c>
      <c r="C50" s="1040" t="s">
        <v>1217</v>
      </c>
      <c r="D50" s="1039">
        <f>IF(B50&gt;0,IF(10*($B$6-$B$7)&gt;24,10*($B$6-$B$7),40),0)</f>
        <v>0</v>
      </c>
      <c r="E50" s="1040"/>
      <c r="F50" s="1040">
        <f t="shared" si="6"/>
        <v>0</v>
      </c>
      <c r="G50" s="1040">
        <f t="shared" si="7"/>
        <v>0</v>
      </c>
      <c r="H50" s="1039"/>
    </row>
    <row r="51" spans="1:8" ht="25.5" x14ac:dyDescent="0.25">
      <c r="A51" s="1042" t="s">
        <v>742</v>
      </c>
      <c r="B51" s="1129">
        <f>ТрЗ_ОВ!D71</f>
        <v>0</v>
      </c>
      <c r="C51" s="1040" t="s">
        <v>1218</v>
      </c>
      <c r="D51" s="1039">
        <f>IF(B51&gt;0,IF((4*B51)&gt;40,(4*B51),40),0)</f>
        <v>0</v>
      </c>
      <c r="E51" s="1040"/>
      <c r="F51" s="1040">
        <f t="shared" si="6"/>
        <v>0</v>
      </c>
      <c r="G51" s="1040">
        <f t="shared" si="7"/>
        <v>0</v>
      </c>
      <c r="H51" s="1149" t="s">
        <v>1219</v>
      </c>
    </row>
    <row r="52" spans="1:8" x14ac:dyDescent="0.25">
      <c r="A52" s="1037" t="s">
        <v>962</v>
      </c>
      <c r="B52" s="1043">
        <v>1</v>
      </c>
      <c r="C52" s="1040" t="s">
        <v>896</v>
      </c>
      <c r="D52" s="1039">
        <f>ROUNDUP(IF(0.1*(SUM($D$16:$D$51))&gt;8,0.1*(SUM($D$16:$D$51)),8),0)</f>
        <v>8</v>
      </c>
      <c r="E52" s="1040"/>
      <c r="F52" s="1040">
        <f>0.5*$D52</f>
        <v>4</v>
      </c>
      <c r="G52" s="1040">
        <f>0.5*$D52</f>
        <v>4</v>
      </c>
      <c r="H52" s="1039"/>
    </row>
    <row r="53" spans="1:8" ht="15.75" thickBot="1" x14ac:dyDescent="0.3">
      <c r="A53" s="1070" t="s">
        <v>963</v>
      </c>
      <c r="B53" s="1253">
        <v>1</v>
      </c>
      <c r="C53" s="1155" t="s">
        <v>898</v>
      </c>
      <c r="D53" s="1156">
        <f>ROUNDUP(IF(0.05*(SUM($D$16:$D$51))&gt;8,0.05*(SUM($D$16:$D$51)),8),0)</f>
        <v>8</v>
      </c>
      <c r="E53" s="1155"/>
      <c r="F53" s="1155">
        <f>0.5*$D53</f>
        <v>4</v>
      </c>
      <c r="G53" s="1155">
        <f>0.5*$D53</f>
        <v>4</v>
      </c>
      <c r="H53" s="1053"/>
    </row>
    <row r="54" spans="1:8" x14ac:dyDescent="0.25">
      <c r="A54" s="1068" t="s">
        <v>563</v>
      </c>
      <c r="B54" s="1254"/>
      <c r="C54" s="1255"/>
      <c r="D54" s="1255">
        <f>SUM(D8:D53)</f>
        <v>24</v>
      </c>
      <c r="E54" s="1255">
        <f>SUM(E8:E53)</f>
        <v>2.25</v>
      </c>
      <c r="F54" s="1255">
        <f>SUM(F8:F53)</f>
        <v>9.4499999999999993</v>
      </c>
      <c r="G54" s="1256">
        <f>SUM(G8:G53)</f>
        <v>8.8000000000000007</v>
      </c>
      <c r="H54" s="1068"/>
    </row>
    <row r="55" spans="1:8" x14ac:dyDescent="0.25">
      <c r="A55" s="1067"/>
      <c r="B55" s="268" t="s">
        <v>1133</v>
      </c>
      <c r="C55" s="1257"/>
      <c r="D55" s="268">
        <f>ROUNDUP(SUM(D9)/8,0)</f>
        <v>0</v>
      </c>
      <c r="E55" s="268">
        <f>ROUNDUP(SUM(E9)/8,0)</f>
        <v>0</v>
      </c>
      <c r="F55" s="268">
        <f>ROUNDUP(SUM(F9)/8,0)</f>
        <v>0</v>
      </c>
      <c r="G55" s="268">
        <f>ROUNDUP(SUM(G9)/8,0)</f>
        <v>0</v>
      </c>
      <c r="H55" s="1067"/>
    </row>
    <row r="56" spans="1:8" x14ac:dyDescent="0.25">
      <c r="A56" s="1067"/>
      <c r="B56" s="268" t="s">
        <v>901</v>
      </c>
      <c r="C56" s="1257"/>
      <c r="D56" s="268">
        <f>ROUNDUP(SUM(D14:D52)/8,0)</f>
        <v>2</v>
      </c>
      <c r="E56" s="268">
        <f>ROUNDUP(SUM(E14:E52)/8,0)</f>
        <v>1</v>
      </c>
      <c r="F56" s="268">
        <f>ROUNDUP(SUM(F14:F52)/8,0)</f>
        <v>1</v>
      </c>
      <c r="G56" s="268">
        <f>ROUNDUP(SUM(G14:G52)/8,0)</f>
        <v>1</v>
      </c>
      <c r="H56" s="1067"/>
    </row>
    <row r="57" spans="1:8" x14ac:dyDescent="0.25">
      <c r="A57" s="1067"/>
      <c r="B57" s="268" t="s">
        <v>902</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69" t="s">
        <v>41</v>
      </c>
      <c r="E1" s="1969"/>
      <c r="F1" s="1969"/>
      <c r="G1" s="1969"/>
      <c r="H1" s="1922" t="s">
        <v>367</v>
      </c>
      <c r="I1" s="1923"/>
      <c r="J1" s="1923"/>
      <c r="K1" s="1924"/>
      <c r="L1" s="1922" t="s">
        <v>368</v>
      </c>
      <c r="M1" s="1923"/>
      <c r="N1" s="1923"/>
      <c r="O1" s="1924"/>
      <c r="P1" s="1922" t="s">
        <v>369</v>
      </c>
      <c r="Q1" s="1923"/>
      <c r="R1" s="1923"/>
      <c r="S1" s="1924"/>
      <c r="T1" s="1922" t="s">
        <v>370</v>
      </c>
      <c r="U1" s="1923"/>
      <c r="V1" s="1923"/>
      <c r="W1" s="1924"/>
    </row>
    <row r="2" spans="1:23" ht="15.75" x14ac:dyDescent="0.25">
      <c r="B2" s="41" t="s">
        <v>37</v>
      </c>
      <c r="C2" s="1932" t="s">
        <v>35</v>
      </c>
      <c r="D2" s="632" t="s">
        <v>574</v>
      </c>
      <c r="E2" s="633" t="s">
        <v>102</v>
      </c>
      <c r="F2" s="633" t="s">
        <v>103</v>
      </c>
      <c r="G2" s="1978" t="s">
        <v>38</v>
      </c>
      <c r="H2" s="632" t="s">
        <v>574</v>
      </c>
      <c r="I2" s="633" t="s">
        <v>102</v>
      </c>
      <c r="J2" s="633" t="s">
        <v>103</v>
      </c>
      <c r="K2" s="1981" t="s">
        <v>38</v>
      </c>
      <c r="L2" s="632" t="s">
        <v>574</v>
      </c>
      <c r="M2" s="633" t="s">
        <v>102</v>
      </c>
      <c r="N2" s="633" t="s">
        <v>103</v>
      </c>
      <c r="O2" s="1981" t="s">
        <v>38</v>
      </c>
      <c r="P2" s="632" t="s">
        <v>574</v>
      </c>
      <c r="Q2" s="633" t="s">
        <v>102</v>
      </c>
      <c r="R2" s="633" t="s">
        <v>103</v>
      </c>
      <c r="S2" s="1981" t="s">
        <v>38</v>
      </c>
      <c r="T2" s="632" t="s">
        <v>574</v>
      </c>
      <c r="U2" s="633" t="s">
        <v>102</v>
      </c>
      <c r="V2" s="633" t="s">
        <v>103</v>
      </c>
      <c r="W2" s="1981" t="s">
        <v>38</v>
      </c>
    </row>
    <row r="3" spans="1:23" ht="16.5" thickBot="1" x14ac:dyDescent="0.3">
      <c r="A3" s="12" t="s">
        <v>36</v>
      </c>
      <c r="B3" s="42">
        <f xml:space="preserve"> ТрЗ_ОП!F5</f>
        <v>1</v>
      </c>
      <c r="C3" s="1933"/>
      <c r="D3" s="40">
        <f>INDEX(ТрЗ_ОП!$P$11:$P$102,MATCH(D2,ТрЗ_ОП!$O$11:$O$102,0))</f>
        <v>0</v>
      </c>
      <c r="E3" s="40">
        <f>INDEX(ТрЗ_ОП!$P$11:$P$102,MATCH(E2,ТрЗ_ОП!$O$11:$O$102,0))</f>
        <v>0</v>
      </c>
      <c r="F3" s="40">
        <f>INDEX(ТрЗ_ОП!$P$11:$P$102,MATCH(F2,ТрЗ_ОП!$O$11:$O$102,0))</f>
        <v>0</v>
      </c>
      <c r="G3" s="1978"/>
      <c r="H3" s="40">
        <f>INDEX(ТрЗ_ОП!$P$11:$P$102,MATCH(H2,ТрЗ_ОП!$O$11:$O$102,0))</f>
        <v>0</v>
      </c>
      <c r="I3" s="40">
        <f>INDEX(ТрЗ_ОП!$P$11:$P$102,MATCH(I2,ТрЗ_ОП!$O$11:$O$102,0))</f>
        <v>0</v>
      </c>
      <c r="J3" s="40">
        <f>INDEX(ТрЗ_ОП!$P$11:$P$102,MATCH(J2,ТрЗ_ОП!$O$11:$O$102,0))</f>
        <v>0</v>
      </c>
      <c r="K3" s="1981"/>
      <c r="L3" s="40">
        <f>INDEX(ТрЗ_ОП!$P$11:$P$102,MATCH(L2,ТрЗ_ОП!$O$11:$O$102,0))</f>
        <v>0</v>
      </c>
      <c r="M3" s="40">
        <f>INDEX(ТрЗ_ОП!$P$11:$P$102,MATCH(M2,ТрЗ_ОП!$O$11:$O$102,0))</f>
        <v>0</v>
      </c>
      <c r="N3" s="40">
        <f>INDEX(ТрЗ_ОП!$P$11:$P$102,MATCH(N2,ТрЗ_ОП!$O$11:$O$102,0))</f>
        <v>0</v>
      </c>
      <c r="O3" s="1981"/>
      <c r="P3" s="40">
        <f>INDEX(ТрЗ_ОП!$P$11:$P$102,MATCH(P2,ТрЗ_ОП!$O$11:$O$102,0))</f>
        <v>0</v>
      </c>
      <c r="Q3" s="40">
        <f>INDEX(ТрЗ_ОП!$P$11:$P$102,MATCH(Q2,ТрЗ_ОП!$O$11:$O$102,0))</f>
        <v>0</v>
      </c>
      <c r="R3" s="40">
        <f>INDEX(ТрЗ_ОП!$P$11:$P$102,MATCH(R2,ТрЗ_ОП!$O$11:$O$102,0))</f>
        <v>0</v>
      </c>
      <c r="S3" s="1981"/>
      <c r="T3" s="40">
        <f>INDEX(ТрЗ_ОП!$P$11:$P$102,MATCH(T2,ТрЗ_ОП!$O$11:$O$102,0))</f>
        <v>0</v>
      </c>
      <c r="U3" s="40">
        <f>INDEX(ТрЗ_ОП!$P$11:$P$102,MATCH(U2,ТрЗ_ОП!$O$11:$O$102,0))</f>
        <v>0</v>
      </c>
      <c r="V3" s="40">
        <f>INDEX(ТрЗ_ОП!$P$11:$P$102,MATCH(V2,ТрЗ_ОП!$O$11:$O$102,0))</f>
        <v>0</v>
      </c>
      <c r="W3" s="1981"/>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40"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40"/>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40"/>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308"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40"/>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40"/>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40"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40"/>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40"/>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36"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72"/>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72"/>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72"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72"/>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72"/>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72"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72"/>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72"/>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72"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72"/>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72"/>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72"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72"/>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72"/>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72"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72"/>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72"/>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72"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72"/>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39"/>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40"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40"/>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40"/>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40"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40"/>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40"/>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71"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71"/>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71"/>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71"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71"/>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71"/>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71"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71"/>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71"/>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71"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71"/>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71"/>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71"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71"/>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71"/>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71"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71"/>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71"/>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71"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71"/>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71"/>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71"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71"/>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71"/>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74"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74"/>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74"/>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71"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71"/>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71"/>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71"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71"/>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71"/>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71"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71"/>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71"/>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71"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71"/>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71"/>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41"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41"/>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41"/>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40"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40"/>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40"/>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70"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70"/>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70"/>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70"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70"/>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70"/>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70"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70"/>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70"/>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70"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70"/>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70"/>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912"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912"/>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73"/>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18A094BB-EA3E-4938-9069-21F549B37E23}" state="hidden">
      <pageMargins left="0.7" right="0.7" top="0.75" bottom="0.75" header="0.3" footer="0.3"/>
    </customSheetView>
    <customSheetView guid="{A1A876F1-3EAA-4E5F-BD51-8B131AB8854B}" state="hidden">
      <pageMargins left="0.7" right="0.7" top="0.75" bottom="0.75" header="0.3" footer="0.3"/>
    </customSheetView>
    <customSheetView guid="{F5CB9414-DBF4-48FF-9213-FFE745451535}" state="hidden">
      <pageMargins left="0.7" right="0.7" top="0.75" bottom="0.75" header="0.3" footer="0.3"/>
    </customSheetView>
    <customSheetView guid="{B91A3F61-3B23-46E3-9B55-19B17EB6638A}" state="hidden">
      <pageMargins left="0.7" right="0.7" top="0.75" bottom="0.75" header="0.3" footer="0.3"/>
    </customSheetView>
  </customSheetViews>
  <mergeCells count="43">
    <mergeCell ref="A63:A65"/>
    <mergeCell ref="A66:A68"/>
    <mergeCell ref="A69:A71"/>
    <mergeCell ref="A72:A74"/>
    <mergeCell ref="A5:A7"/>
    <mergeCell ref="A25:A27"/>
    <mergeCell ref="A28:A30"/>
    <mergeCell ref="A31:A33"/>
    <mergeCell ref="G2:G3"/>
    <mergeCell ref="A8:A10"/>
    <mergeCell ref="A12:A14"/>
    <mergeCell ref="A19:A21"/>
    <mergeCell ref="A22:A24"/>
    <mergeCell ref="A81:A83"/>
    <mergeCell ref="A84:A86"/>
    <mergeCell ref="A97:A99"/>
    <mergeCell ref="A100:A102"/>
    <mergeCell ref="A103:A105"/>
    <mergeCell ref="A88:A90"/>
    <mergeCell ref="A91:A93"/>
    <mergeCell ref="A94:A96"/>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T1:W1"/>
    <mergeCell ref="W2:W3"/>
    <mergeCell ref="L1:O1"/>
    <mergeCell ref="O2:O3"/>
    <mergeCell ref="P1:S1"/>
    <mergeCell ref="S2:S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163"/>
  <sheetViews>
    <sheetView tabSelected="1" zoomScale="70" zoomScaleNormal="70" workbookViewId="0">
      <selection activeCell="G8" sqref="G8"/>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82" t="s">
        <v>40</v>
      </c>
      <c r="E1" s="1983"/>
      <c r="F1" s="1983"/>
      <c r="G1" s="1984"/>
      <c r="H1" s="1982" t="s">
        <v>355</v>
      </c>
      <c r="I1" s="1983"/>
      <c r="J1" s="1983"/>
      <c r="K1" s="1984"/>
    </row>
    <row r="2" spans="1:11" ht="31.5" x14ac:dyDescent="0.25">
      <c r="B2" s="41" t="s">
        <v>37</v>
      </c>
      <c r="C2" s="2309" t="s">
        <v>35</v>
      </c>
      <c r="D2" s="451" t="s">
        <v>1793</v>
      </c>
      <c r="E2" s="451" t="s">
        <v>95</v>
      </c>
      <c r="F2" s="451" t="s">
        <v>1777</v>
      </c>
      <c r="G2" s="2310" t="s">
        <v>38</v>
      </c>
      <c r="H2" s="451" t="s">
        <v>1793</v>
      </c>
      <c r="I2" s="451" t="s">
        <v>95</v>
      </c>
      <c r="J2" s="451" t="s">
        <v>1777</v>
      </c>
      <c r="K2" s="1981" t="s">
        <v>38</v>
      </c>
    </row>
    <row r="3" spans="1:11" ht="16.5" thickBot="1" x14ac:dyDescent="0.3">
      <c r="A3" s="12" t="s">
        <v>36</v>
      </c>
      <c r="B3" s="42">
        <f>ТрЗ_ОП!F5</f>
        <v>1</v>
      </c>
      <c r="C3" s="1933"/>
      <c r="D3" s="421">
        <f>INDEX(ТрЗ_ОП!$P$11:$P$102,MATCH(D2,ТрЗ_ОП!$O$11:$O$102,0))</f>
        <v>0</v>
      </c>
      <c r="E3" s="421">
        <f>INDEX(ТрЗ_ОП!$P$11:$P$102,MATCH(E2,ТрЗ_ОП!$O$11:$O$102,0))</f>
        <v>0</v>
      </c>
      <c r="F3" s="421">
        <f>INDEX(ТрЗ_ОП!$P$11:$P$102,MATCH(F2,ТрЗ_ОП!$O$11:$O$102,0))</f>
        <v>0</v>
      </c>
      <c r="G3" s="2310"/>
      <c r="H3" s="421">
        <f>INDEX(ТрЗ_ОП!$P$11:$P$102,MATCH(H2,ТрЗ_ОП!$O$11:$O$102,0))</f>
        <v>0</v>
      </c>
      <c r="I3" s="421">
        <f>INDEX(ТрЗ_ОП!$P$11:$P$102,MATCH(I2,ТрЗ_ОП!$O$11:$O$102,0))</f>
        <v>0</v>
      </c>
      <c r="J3" s="421">
        <f>INDEX(ТрЗ_ОП!$P$11:$P$102,MATCH(J2,ТрЗ_ОП!$O$11:$O$102,0))</f>
        <v>0</v>
      </c>
      <c r="K3" s="1981"/>
    </row>
    <row r="4" spans="1:11" ht="15" customHeight="1" x14ac:dyDescent="0.25">
      <c r="A4" s="1930" t="s">
        <v>0</v>
      </c>
      <c r="B4" s="19" t="s">
        <v>33</v>
      </c>
      <c r="C4" s="1920" t="s">
        <v>448</v>
      </c>
      <c r="D4" s="446">
        <v>1</v>
      </c>
      <c r="E4" s="814">
        <v>0</v>
      </c>
      <c r="F4" s="630">
        <f>IF(F$3=1,3,0)</f>
        <v>0</v>
      </c>
      <c r="G4" s="21" t="e">
        <f xml:space="preserve"> SUM(D4:F4) + $C4</f>
        <v>#VALUE!</v>
      </c>
      <c r="H4" s="446">
        <v>1</v>
      </c>
      <c r="I4" s="814">
        <v>0</v>
      </c>
      <c r="J4" s="630">
        <f>IF(J$3=1,3,0)</f>
        <v>0</v>
      </c>
      <c r="K4" s="21" t="e">
        <f t="shared" ref="K4:K7" si="0" xml:space="preserve"> SUM(H4:J4) + $C4</f>
        <v>#VALUE!</v>
      </c>
    </row>
    <row r="5" spans="1:11" ht="15" customHeight="1" x14ac:dyDescent="0.25">
      <c r="A5" s="1936"/>
      <c r="B5" s="13" t="s">
        <v>34</v>
      </c>
      <c r="C5" s="1920"/>
      <c r="D5" s="446">
        <v>2</v>
      </c>
      <c r="E5" s="814">
        <v>0</v>
      </c>
      <c r="F5" s="630">
        <f>IF(F$3=1,6,0)</f>
        <v>0</v>
      </c>
      <c r="G5" s="21">
        <f xml:space="preserve"> SUM(D5:F5) + $C5</f>
        <v>2</v>
      </c>
      <c r="H5" s="446">
        <v>2</v>
      </c>
      <c r="I5" s="814">
        <v>0</v>
      </c>
      <c r="J5" s="630">
        <f>IF(J$3=1,6,0)</f>
        <v>0</v>
      </c>
      <c r="K5" s="21">
        <f t="shared" si="0"/>
        <v>2</v>
      </c>
    </row>
    <row r="6" spans="1:11" ht="15" customHeight="1" x14ac:dyDescent="0.25">
      <c r="A6" s="1927" t="s">
        <v>449</v>
      </c>
      <c r="B6" s="19" t="s">
        <v>33</v>
      </c>
      <c r="C6" s="1920"/>
      <c r="D6" s="446">
        <v>1</v>
      </c>
      <c r="E6" s="814">
        <v>0</v>
      </c>
      <c r="F6" s="630">
        <f>IF(F$3=1,3,0)</f>
        <v>0</v>
      </c>
      <c r="G6" s="21">
        <f t="shared" ref="G6:G58" si="1" xml:space="preserve"> SUM(D6:F6) + $C6</f>
        <v>1</v>
      </c>
      <c r="H6" s="446">
        <v>1</v>
      </c>
      <c r="I6" s="814">
        <v>0</v>
      </c>
      <c r="J6" s="630">
        <f>IF(J$3=1,3,0)</f>
        <v>0</v>
      </c>
      <c r="K6" s="21">
        <f t="shared" si="0"/>
        <v>1</v>
      </c>
    </row>
    <row r="7" spans="1:11" ht="15.75" customHeight="1" thickBot="1" x14ac:dyDescent="0.3">
      <c r="A7" s="1927"/>
      <c r="B7" s="13" t="s">
        <v>34</v>
      </c>
      <c r="C7" s="1921"/>
      <c r="D7" s="446">
        <v>2</v>
      </c>
      <c r="E7" s="814">
        <v>0</v>
      </c>
      <c r="F7" s="630">
        <f>IF(F$3=1,6,0)</f>
        <v>0</v>
      </c>
      <c r="G7" s="77">
        <f t="shared" si="1"/>
        <v>2</v>
      </c>
      <c r="H7" s="446">
        <v>2</v>
      </c>
      <c r="I7" s="814">
        <v>0</v>
      </c>
      <c r="J7" s="630">
        <f>IF(J$3=1,6,0)</f>
        <v>0</v>
      </c>
      <c r="K7" s="77">
        <f t="shared" si="0"/>
        <v>2</v>
      </c>
    </row>
    <row r="8" spans="1:11" ht="15" customHeight="1" x14ac:dyDescent="0.25">
      <c r="A8" s="1927" t="s">
        <v>2</v>
      </c>
      <c r="B8" s="19" t="s">
        <v>33</v>
      </c>
      <c r="C8" s="1926" t="s">
        <v>1</v>
      </c>
      <c r="D8" s="446">
        <v>2</v>
      </c>
      <c r="E8" s="478">
        <f>IF(E$3&gt;3,0.25*E$3,0.5)</f>
        <v>0.5</v>
      </c>
      <c r="F8" s="630">
        <f>IF(F$3=1,16,0)</f>
        <v>0</v>
      </c>
      <c r="G8" s="21" t="e">
        <f t="shared" si="1"/>
        <v>#VALUE!</v>
      </c>
      <c r="H8" s="446">
        <v>2</v>
      </c>
      <c r="I8" s="478">
        <f>IF(I$3&gt;3,0.25*I$3,0.5)</f>
        <v>0.5</v>
      </c>
      <c r="J8" s="630">
        <f>IF(J$3=1,16,0)</f>
        <v>0</v>
      </c>
      <c r="K8" s="21" t="e">
        <f xml:space="preserve"> SUM(H8:J8) + $C8</f>
        <v>#VALUE!</v>
      </c>
    </row>
    <row r="9" spans="1:11" ht="15.75" customHeight="1" thickBot="1" x14ac:dyDescent="0.3">
      <c r="A9" s="1927"/>
      <c r="B9" s="13" t="s">
        <v>34</v>
      </c>
      <c r="C9" s="1921"/>
      <c r="D9" s="1723">
        <v>4</v>
      </c>
      <c r="E9" s="478">
        <f>IF(E$3&gt;3,0.25*E$3,0.5)</f>
        <v>0.5</v>
      </c>
      <c r="F9" s="630">
        <f>IF(F$3=1,32,0)</f>
        <v>0</v>
      </c>
      <c r="G9" s="77">
        <f t="shared" si="1"/>
        <v>4.5</v>
      </c>
      <c r="H9" s="1723">
        <v>4</v>
      </c>
      <c r="I9" s="478">
        <f>IF(I$3&gt;3,0.25*I$3,0.5)</f>
        <v>0.5</v>
      </c>
      <c r="J9" s="630">
        <f>IF(J$3=1,32,0)</f>
        <v>0</v>
      </c>
      <c r="K9" s="77">
        <f xml:space="preserve"> SUM(H9:J9) + $C9</f>
        <v>4.5</v>
      </c>
    </row>
    <row r="10" spans="1:11" ht="15" customHeight="1" x14ac:dyDescent="0.25">
      <c r="A10" s="1930" t="s">
        <v>4</v>
      </c>
      <c r="B10" s="18" t="s">
        <v>33</v>
      </c>
      <c r="C10" s="1920" t="s">
        <v>3</v>
      </c>
      <c r="D10" s="482" t="s">
        <v>1770</v>
      </c>
      <c r="E10" s="482" t="s">
        <v>1770</v>
      </c>
      <c r="F10" s="482" t="s">
        <v>1770</v>
      </c>
      <c r="G10" s="21" t="e">
        <f t="shared" si="1"/>
        <v>#VALUE!</v>
      </c>
      <c r="H10" s="482" t="s">
        <v>1770</v>
      </c>
      <c r="I10" s="482" t="s">
        <v>1770</v>
      </c>
      <c r="J10" s="482" t="s">
        <v>1770</v>
      </c>
      <c r="K10" s="21" t="e">
        <f t="shared" ref="K10:K22" si="2" xml:space="preserve"> SUM(H10:J10) + $C10</f>
        <v>#VALUE!</v>
      </c>
    </row>
    <row r="11" spans="1:11" ht="15" customHeight="1" thickBot="1" x14ac:dyDescent="0.3">
      <c r="A11" s="1931"/>
      <c r="B11" s="18" t="s">
        <v>34</v>
      </c>
      <c r="C11" s="1920"/>
      <c r="D11" s="482" t="s">
        <v>1770</v>
      </c>
      <c r="E11" s="482" t="s">
        <v>1770</v>
      </c>
      <c r="F11" s="482" t="s">
        <v>1770</v>
      </c>
      <c r="G11" s="21">
        <f t="shared" si="1"/>
        <v>0</v>
      </c>
      <c r="H11" s="482" t="s">
        <v>1770</v>
      </c>
      <c r="I11" s="482" t="s">
        <v>1770</v>
      </c>
      <c r="J11" s="482" t="s">
        <v>1770</v>
      </c>
      <c r="K11" s="21">
        <f t="shared" si="2"/>
        <v>0</v>
      </c>
    </row>
    <row r="12" spans="1:11" ht="15" customHeight="1" x14ac:dyDescent="0.25">
      <c r="A12" s="1928" t="s">
        <v>5</v>
      </c>
      <c r="B12" s="19" t="s">
        <v>33</v>
      </c>
      <c r="C12" s="1920"/>
      <c r="D12" s="493">
        <f>IF(D$3&gt;1,0.5*D$3,1)</f>
        <v>1</v>
      </c>
      <c r="E12" s="15">
        <v>0</v>
      </c>
      <c r="F12" s="814">
        <v>0</v>
      </c>
      <c r="G12" s="21">
        <f t="shared" si="1"/>
        <v>1</v>
      </c>
      <c r="H12" s="493">
        <f>IF(H$3&gt;1,0.5*H$3,1)</f>
        <v>1</v>
      </c>
      <c r="I12" s="814">
        <v>0</v>
      </c>
      <c r="J12" s="814">
        <v>0</v>
      </c>
      <c r="K12" s="21">
        <f t="shared" si="2"/>
        <v>1</v>
      </c>
    </row>
    <row r="13" spans="1:11" ht="15" customHeight="1" thickBot="1" x14ac:dyDescent="0.3">
      <c r="A13" s="1929"/>
      <c r="B13" s="19" t="s">
        <v>34</v>
      </c>
      <c r="C13" s="1920"/>
      <c r="D13" s="493">
        <f>IF(D$3&gt;1,0.5*D$3,1)</f>
        <v>1</v>
      </c>
      <c r="E13" s="15">
        <v>0</v>
      </c>
      <c r="F13" s="814">
        <v>0</v>
      </c>
      <c r="G13" s="21">
        <f t="shared" si="1"/>
        <v>1</v>
      </c>
      <c r="H13" s="493">
        <f>IF(H$3&gt;1,0.5*H$3,1)</f>
        <v>1</v>
      </c>
      <c r="I13" s="814">
        <v>0</v>
      </c>
      <c r="J13" s="814">
        <v>0</v>
      </c>
      <c r="K13" s="21">
        <f t="shared" si="2"/>
        <v>1</v>
      </c>
    </row>
    <row r="14" spans="1:11" ht="15" customHeight="1" x14ac:dyDescent="0.25">
      <c r="A14" s="1928" t="s">
        <v>6</v>
      </c>
      <c r="B14" s="19" t="s">
        <v>33</v>
      </c>
      <c r="C14" s="1920"/>
      <c r="D14" s="446">
        <v>2</v>
      </c>
      <c r="E14" s="478">
        <f>IF(E$3&gt;3,0.25*E$3,0.5)</f>
        <v>0.5</v>
      </c>
      <c r="F14" s="630">
        <f>IF(F$3=1,16,0)</f>
        <v>0</v>
      </c>
      <c r="G14" s="21">
        <f t="shared" si="1"/>
        <v>2.5</v>
      </c>
      <c r="H14" s="446">
        <v>2</v>
      </c>
      <c r="I14" s="478">
        <f>IF(I$3&gt;3,0.25*I$3,0.5)</f>
        <v>0.5</v>
      </c>
      <c r="J14" s="630">
        <f>IF(J$3=1,16,0)</f>
        <v>0</v>
      </c>
      <c r="K14" s="21">
        <f t="shared" si="2"/>
        <v>2.5</v>
      </c>
    </row>
    <row r="15" spans="1:11" ht="15" customHeight="1" thickBot="1" x14ac:dyDescent="0.3">
      <c r="A15" s="1929"/>
      <c r="B15" s="19" t="s">
        <v>34</v>
      </c>
      <c r="C15" s="1920"/>
      <c r="D15" s="1723">
        <v>4</v>
      </c>
      <c r="E15" s="478">
        <f>IF(E$3&gt;3,0.25*E$3,0.5)</f>
        <v>0.5</v>
      </c>
      <c r="F15" s="630">
        <f>IF(F$3=1,32,0)</f>
        <v>0</v>
      </c>
      <c r="G15" s="21">
        <f t="shared" si="1"/>
        <v>4.5</v>
      </c>
      <c r="H15" s="1723">
        <v>4</v>
      </c>
      <c r="I15" s="478">
        <f>IF(I$3&gt;3,0.25*I$3,0.5)</f>
        <v>0.5</v>
      </c>
      <c r="J15" s="630">
        <f>IF(J$3=1,32,0)</f>
        <v>0</v>
      </c>
      <c r="K15" s="21">
        <f t="shared" si="2"/>
        <v>4.5</v>
      </c>
    </row>
    <row r="16" spans="1:11" ht="15" customHeight="1" x14ac:dyDescent="0.25">
      <c r="A16" s="1928" t="s">
        <v>1855</v>
      </c>
      <c r="B16" s="19" t="s">
        <v>33</v>
      </c>
      <c r="C16" s="1920"/>
      <c r="D16" s="38">
        <v>2</v>
      </c>
      <c r="E16" s="15">
        <v>0</v>
      </c>
      <c r="F16" s="630">
        <f>IF(F$3=1,12,0)</f>
        <v>0</v>
      </c>
      <c r="G16" s="21">
        <f t="shared" si="1"/>
        <v>2</v>
      </c>
      <c r="H16" s="821">
        <v>2</v>
      </c>
      <c r="I16" s="814">
        <v>0</v>
      </c>
      <c r="J16" s="630">
        <f>IF(J$3=1,12,0)</f>
        <v>0</v>
      </c>
      <c r="K16" s="21">
        <f t="shared" si="2"/>
        <v>2</v>
      </c>
    </row>
    <row r="17" spans="1:11" ht="15" customHeight="1" thickBot="1" x14ac:dyDescent="0.3">
      <c r="A17" s="1929"/>
      <c r="B17" s="19" t="s">
        <v>34</v>
      </c>
      <c r="C17" s="1920"/>
      <c r="D17" s="807">
        <v>4</v>
      </c>
      <c r="E17" s="15">
        <v>0</v>
      </c>
      <c r="F17" s="630">
        <f>IF(F$3=1,20,0)</f>
        <v>0</v>
      </c>
      <c r="G17" s="21">
        <f t="shared" si="1"/>
        <v>4</v>
      </c>
      <c r="H17" s="807">
        <v>4</v>
      </c>
      <c r="I17" s="814">
        <v>0</v>
      </c>
      <c r="J17" s="630">
        <f>IF(J$3=1,20,0)</f>
        <v>0</v>
      </c>
      <c r="K17" s="21">
        <f t="shared" si="2"/>
        <v>4</v>
      </c>
    </row>
    <row r="18" spans="1:11" x14ac:dyDescent="0.25">
      <c r="A18" s="1928" t="s">
        <v>8</v>
      </c>
      <c r="B18" s="19" t="s">
        <v>34</v>
      </c>
      <c r="C18" s="1920"/>
      <c r="D18" s="807">
        <v>6</v>
      </c>
      <c r="E18" s="15">
        <v>0</v>
      </c>
      <c r="F18" s="630">
        <f>IF(F$3=1,20,0)</f>
        <v>0</v>
      </c>
      <c r="G18" s="21">
        <f t="shared" si="1"/>
        <v>6</v>
      </c>
      <c r="H18" s="807">
        <v>6</v>
      </c>
      <c r="I18" s="814">
        <v>0</v>
      </c>
      <c r="J18" s="630">
        <f>IF(J$3=1,20,0)</f>
        <v>0</v>
      </c>
      <c r="K18" s="21">
        <f t="shared" si="2"/>
        <v>6</v>
      </c>
    </row>
    <row r="19" spans="1:11" ht="15" customHeight="1" thickBot="1" x14ac:dyDescent="0.3">
      <c r="A19" s="1929"/>
      <c r="B19" s="19" t="s">
        <v>33</v>
      </c>
      <c r="C19" s="1920"/>
      <c r="D19" s="493">
        <f>IF(D$3&gt;1,D$3*0.5,1)</f>
        <v>1</v>
      </c>
      <c r="E19" s="489">
        <v>0</v>
      </c>
      <c r="F19" s="630">
        <f>IF(F$3=1,4,0)</f>
        <v>0</v>
      </c>
      <c r="G19" s="21">
        <f t="shared" si="1"/>
        <v>1</v>
      </c>
      <c r="H19" s="493">
        <f>IF(H$3&gt;1,H$3*0.5,1)</f>
        <v>1</v>
      </c>
      <c r="I19" s="489">
        <v>0</v>
      </c>
      <c r="J19" s="630">
        <f>IF(J$3=1,4,0)</f>
        <v>0</v>
      </c>
      <c r="K19" s="21">
        <f t="shared" si="2"/>
        <v>1</v>
      </c>
    </row>
    <row r="20" spans="1:11" ht="15" customHeight="1" x14ac:dyDescent="0.25">
      <c r="A20" s="1928" t="s">
        <v>9</v>
      </c>
      <c r="B20" s="19" t="s">
        <v>34</v>
      </c>
      <c r="C20" s="1920"/>
      <c r="D20" s="493">
        <f>IF(D$3&gt;1,D$3*0.5,1)</f>
        <v>1</v>
      </c>
      <c r="E20" s="489">
        <v>0</v>
      </c>
      <c r="F20" s="630">
        <f>IF(F$3=1,6,0)</f>
        <v>0</v>
      </c>
      <c r="G20" s="21">
        <f t="shared" si="1"/>
        <v>1</v>
      </c>
      <c r="H20" s="493">
        <f>IF(H$3&gt;1,H$3*0.5,1)</f>
        <v>1</v>
      </c>
      <c r="I20" s="489">
        <v>0</v>
      </c>
      <c r="J20" s="630">
        <f>IF(J$3=1,6,0)</f>
        <v>0</v>
      </c>
      <c r="K20" s="21">
        <f t="shared" si="2"/>
        <v>1</v>
      </c>
    </row>
    <row r="21" spans="1:11" ht="15" customHeight="1" thickBot="1" x14ac:dyDescent="0.3">
      <c r="A21" s="1929"/>
      <c r="B21" s="19" t="s">
        <v>33</v>
      </c>
      <c r="C21" s="1920"/>
      <c r="D21" s="38">
        <v>2</v>
      </c>
      <c r="E21" s="15">
        <v>0</v>
      </c>
      <c r="F21" s="493">
        <f>IF(F$3=1,4,0)</f>
        <v>0</v>
      </c>
      <c r="G21" s="21">
        <f t="shared" si="1"/>
        <v>2</v>
      </c>
      <c r="H21" s="821">
        <v>2</v>
      </c>
      <c r="I21" s="814">
        <v>0</v>
      </c>
      <c r="J21" s="493">
        <f>IF(J$3=1,4,0)</f>
        <v>0</v>
      </c>
      <c r="K21" s="21">
        <f t="shared" si="2"/>
        <v>2</v>
      </c>
    </row>
    <row r="22" spans="1:11" ht="15" customHeight="1" x14ac:dyDescent="0.25">
      <c r="A22" s="1936" t="s">
        <v>10</v>
      </c>
      <c r="B22" s="13" t="s">
        <v>34</v>
      </c>
      <c r="C22" s="1920"/>
      <c r="D22" s="39">
        <v>4</v>
      </c>
      <c r="E22" s="399">
        <v>0</v>
      </c>
      <c r="F22" s="493">
        <f>IF(F$3=1,6,0)</f>
        <v>0</v>
      </c>
      <c r="G22" s="77">
        <f t="shared" si="1"/>
        <v>4</v>
      </c>
      <c r="H22" s="745">
        <v>4</v>
      </c>
      <c r="I22" s="917">
        <v>0</v>
      </c>
      <c r="J22" s="493">
        <f>IF(J$3=1,6,0)</f>
        <v>0</v>
      </c>
      <c r="K22" s="77">
        <f t="shared" si="2"/>
        <v>4</v>
      </c>
    </row>
    <row r="23" spans="1:11" ht="15.75" customHeight="1" thickBot="1" x14ac:dyDescent="0.3">
      <c r="A23" s="1939"/>
      <c r="B23" s="19" t="s">
        <v>33</v>
      </c>
      <c r="C23" s="1921"/>
      <c r="D23" s="1724">
        <v>8</v>
      </c>
      <c r="E23" s="478">
        <f>IF(E$3&gt;3,0.5*E$3,1)</f>
        <v>1</v>
      </c>
      <c r="F23" s="630">
        <f>IF(F$3=1,16,0)</f>
        <v>0</v>
      </c>
      <c r="G23" s="21">
        <f t="shared" si="1"/>
        <v>9</v>
      </c>
      <c r="H23" s="1724">
        <v>8</v>
      </c>
      <c r="I23" s="478">
        <f>IF(I$3&gt;3,0.5*I$3,1)</f>
        <v>1</v>
      </c>
      <c r="J23" s="630">
        <f>IF(J$3=1,16,0)</f>
        <v>0</v>
      </c>
      <c r="K23" s="21">
        <f xml:space="preserve"> SUM(H23:J23) + $C23</f>
        <v>9</v>
      </c>
    </row>
    <row r="24" spans="1:11" ht="15" customHeight="1" x14ac:dyDescent="0.25">
      <c r="A24" s="1940" t="s">
        <v>12</v>
      </c>
      <c r="B24" s="13" t="s">
        <v>34</v>
      </c>
      <c r="C24" s="1920" t="s">
        <v>11</v>
      </c>
      <c r="D24" s="1724">
        <v>12</v>
      </c>
      <c r="E24" s="478">
        <f>IF(E$3&gt;3,0.5*E$3,1)</f>
        <v>1</v>
      </c>
      <c r="F24" s="630">
        <f>IF(F$3=1,24,0)</f>
        <v>0</v>
      </c>
      <c r="G24" s="77" t="e">
        <f t="shared" si="1"/>
        <v>#VALUE!</v>
      </c>
      <c r="H24" s="1724">
        <v>12</v>
      </c>
      <c r="I24" s="478">
        <f>IF(I$3&gt;3,0.5*I$3,1)</f>
        <v>1</v>
      </c>
      <c r="J24" s="630">
        <f>IF(J$3=1,24,0)</f>
        <v>0</v>
      </c>
      <c r="K24" s="77" t="e">
        <f xml:space="preserve"> SUM(H24:J24) + $C24</f>
        <v>#VALUE!</v>
      </c>
    </row>
    <row r="25" spans="1:11" ht="15.75" customHeight="1" thickBot="1" x14ac:dyDescent="0.3">
      <c r="A25" s="1940"/>
      <c r="B25" s="19" t="s">
        <v>33</v>
      </c>
      <c r="C25" s="1921"/>
      <c r="D25" s="493">
        <f>IF(D$3&gt;1,0.5*D$3,1)</f>
        <v>1</v>
      </c>
      <c r="E25" s="814">
        <v>0</v>
      </c>
      <c r="F25" s="814">
        <v>0</v>
      </c>
      <c r="G25" s="21">
        <f t="shared" si="1"/>
        <v>1</v>
      </c>
      <c r="H25" s="493">
        <f>IF(H$3&gt;1,0.5*H$3,1)</f>
        <v>1</v>
      </c>
      <c r="I25" s="814">
        <v>0</v>
      </c>
      <c r="J25" s="814">
        <v>0</v>
      </c>
      <c r="K25" s="21">
        <f t="shared" ref="K25:K54" si="3" xml:space="preserve"> SUM(H25:J25) + $C25</f>
        <v>1</v>
      </c>
    </row>
    <row r="26" spans="1:11" ht="15" customHeight="1" x14ac:dyDescent="0.25">
      <c r="A26" s="1937" t="s">
        <v>558</v>
      </c>
      <c r="B26" s="19" t="s">
        <v>34</v>
      </c>
      <c r="C26" s="1920" t="s">
        <v>13</v>
      </c>
      <c r="D26" s="493">
        <f>IF(D$3&gt;1,0.5*D$3,1)</f>
        <v>1</v>
      </c>
      <c r="E26" s="814">
        <v>0</v>
      </c>
      <c r="F26" s="814">
        <v>0</v>
      </c>
      <c r="G26" s="21" t="e">
        <f t="shared" si="1"/>
        <v>#VALUE!</v>
      </c>
      <c r="H26" s="493">
        <f>IF(H$3&gt;1,0.5*H$3,1)</f>
        <v>1</v>
      </c>
      <c r="I26" s="814">
        <v>0</v>
      </c>
      <c r="J26" s="814">
        <v>0</v>
      </c>
      <c r="K26" s="21" t="e">
        <f t="shared" si="3"/>
        <v>#VALUE!</v>
      </c>
    </row>
    <row r="27" spans="1:11" ht="15" customHeight="1" thickBot="1" x14ac:dyDescent="0.3">
      <c r="A27" s="1938"/>
      <c r="B27" s="19" t="s">
        <v>33</v>
      </c>
      <c r="C27" s="1920"/>
      <c r="D27" s="38">
        <v>4</v>
      </c>
      <c r="E27" s="478">
        <f>IF(E$3&gt;3,0.5*E$3,1)</f>
        <v>1</v>
      </c>
      <c r="F27" s="630">
        <f>IF(F$3=1,6,0)</f>
        <v>0</v>
      </c>
      <c r="G27" s="21">
        <f t="shared" si="1"/>
        <v>5</v>
      </c>
      <c r="H27" s="821">
        <v>4</v>
      </c>
      <c r="I27" s="478">
        <f>IF(I$3&gt;3,0.5*I$3,1)</f>
        <v>1</v>
      </c>
      <c r="J27" s="630">
        <f>IF(J$3=1,6,0)</f>
        <v>0</v>
      </c>
      <c r="K27" s="21">
        <f t="shared" si="3"/>
        <v>5</v>
      </c>
    </row>
    <row r="28" spans="1:11" ht="15" customHeight="1" x14ac:dyDescent="0.25">
      <c r="A28" s="1934" t="s">
        <v>15</v>
      </c>
      <c r="B28" s="19" t="s">
        <v>34</v>
      </c>
      <c r="C28" s="1920"/>
      <c r="D28" s="38">
        <v>8</v>
      </c>
      <c r="E28" s="478">
        <f>IF(E$3&gt;3,0.5*E$3,1)</f>
        <v>1</v>
      </c>
      <c r="F28" s="630">
        <f>IF(F$3=1,6,0)</f>
        <v>0</v>
      </c>
      <c r="G28" s="21">
        <f t="shared" si="1"/>
        <v>9</v>
      </c>
      <c r="H28" s="821">
        <v>8</v>
      </c>
      <c r="I28" s="478">
        <f>IF(I$3&gt;3,0.5*I$3,1)</f>
        <v>1</v>
      </c>
      <c r="J28" s="630">
        <f>IF(J$3=1,6,0)</f>
        <v>0</v>
      </c>
      <c r="K28" s="21">
        <f t="shared" si="3"/>
        <v>9</v>
      </c>
    </row>
    <row r="29" spans="1:11" ht="15" customHeight="1" thickBot="1" x14ac:dyDescent="0.3">
      <c r="A29" s="1935"/>
      <c r="B29" s="19" t="s">
        <v>33</v>
      </c>
      <c r="C29" s="1920"/>
      <c r="D29" s="493">
        <f>IF(D$3&gt;1,D$3*0.25+1,1)</f>
        <v>1</v>
      </c>
      <c r="E29" s="489">
        <v>0</v>
      </c>
      <c r="F29" s="630">
        <f>IF(F$3=1,1,0)</f>
        <v>0</v>
      </c>
      <c r="G29" s="21">
        <f t="shared" si="1"/>
        <v>1</v>
      </c>
      <c r="H29" s="493">
        <f>IF(H$3&gt;1,H$3*0.25+1,1)</f>
        <v>1</v>
      </c>
      <c r="I29" s="489">
        <v>0</v>
      </c>
      <c r="J29" s="630">
        <f>IF(J$3=1,1,0)</f>
        <v>0</v>
      </c>
      <c r="K29" s="21">
        <f t="shared" si="3"/>
        <v>1</v>
      </c>
    </row>
    <row r="30" spans="1:11" ht="15" customHeight="1" x14ac:dyDescent="0.25">
      <c r="A30" s="1934" t="s">
        <v>555</v>
      </c>
      <c r="B30" s="19" t="s">
        <v>34</v>
      </c>
      <c r="C30" s="1920"/>
      <c r="D30" s="493">
        <f>IF(D$3&gt;1,D$3*0.25+1,1)</f>
        <v>1</v>
      </c>
      <c r="E30" s="489">
        <v>0</v>
      </c>
      <c r="F30" s="630">
        <f>IF(F$3=1,1,0)</f>
        <v>0</v>
      </c>
      <c r="G30" s="21">
        <f t="shared" si="1"/>
        <v>1</v>
      </c>
      <c r="H30" s="493">
        <f>IF(H$3&gt;1,H$3*0.25+1,1)</f>
        <v>1</v>
      </c>
      <c r="I30" s="489">
        <v>0</v>
      </c>
      <c r="J30" s="630">
        <f>IF(J$3=1,1,0)</f>
        <v>0</v>
      </c>
      <c r="K30" s="21">
        <f t="shared" si="3"/>
        <v>1</v>
      </c>
    </row>
    <row r="31" spans="1:11" ht="15" customHeight="1" thickBot="1" x14ac:dyDescent="0.3">
      <c r="A31" s="1935"/>
      <c r="B31" s="19" t="s">
        <v>33</v>
      </c>
      <c r="C31" s="1920"/>
      <c r="D31" s="493">
        <f>IF(D$3&gt;1,D$3*0.25+1,1)</f>
        <v>1</v>
      </c>
      <c r="E31" s="489">
        <v>0</v>
      </c>
      <c r="F31" s="630">
        <f>IF(F$3=1,1,0)</f>
        <v>0</v>
      </c>
      <c r="G31" s="21">
        <f t="shared" si="1"/>
        <v>1</v>
      </c>
      <c r="H31" s="493">
        <f>IF(H$3&gt;1,H$3*0.25+1,1)</f>
        <v>1</v>
      </c>
      <c r="I31" s="489">
        <v>0</v>
      </c>
      <c r="J31" s="630">
        <f>IF(J$3=1,1,0)</f>
        <v>0</v>
      </c>
      <c r="K31" s="21">
        <f t="shared" si="3"/>
        <v>1</v>
      </c>
    </row>
    <row r="32" spans="1:11" ht="15" customHeight="1" x14ac:dyDescent="0.25">
      <c r="A32" s="1934" t="s">
        <v>556</v>
      </c>
      <c r="B32" s="19" t="s">
        <v>34</v>
      </c>
      <c r="C32" s="1920"/>
      <c r="D32" s="493">
        <f>IF(D$3&gt;1,D$3*0.25+1,1)</f>
        <v>1</v>
      </c>
      <c r="E32" s="489">
        <v>0</v>
      </c>
      <c r="F32" s="630">
        <f>IF(F$3=1,1,0)</f>
        <v>0</v>
      </c>
      <c r="G32" s="21">
        <f t="shared" si="1"/>
        <v>1</v>
      </c>
      <c r="H32" s="493">
        <f>IF(H$3&gt;1,H$3*0.25+1,1)</f>
        <v>1</v>
      </c>
      <c r="I32" s="489">
        <v>0</v>
      </c>
      <c r="J32" s="630">
        <f>IF(J$3=1,1,0)</f>
        <v>0</v>
      </c>
      <c r="K32" s="21">
        <f t="shared" si="3"/>
        <v>1</v>
      </c>
    </row>
    <row r="33" spans="1:11" ht="15" customHeight="1" thickBot="1" x14ac:dyDescent="0.3">
      <c r="A33" s="1935"/>
      <c r="B33" s="19" t="s">
        <v>33</v>
      </c>
      <c r="C33" s="1920"/>
      <c r="D33" s="493">
        <f>IF(D$3&gt;1,D$3*0.25+0.5,0.5)</f>
        <v>0.5</v>
      </c>
      <c r="E33" s="15">
        <v>0</v>
      </c>
      <c r="F33" s="630">
        <f>IF(F$3=1,1,0)</f>
        <v>0</v>
      </c>
      <c r="G33" s="21">
        <f t="shared" si="1"/>
        <v>0.5</v>
      </c>
      <c r="H33" s="493">
        <f>IF(H$3&gt;1,H$3*0.25+0.5,0.5)</f>
        <v>0.5</v>
      </c>
      <c r="I33" s="814">
        <v>0</v>
      </c>
      <c r="J33" s="630">
        <f>IF(J$3=1,1,0)</f>
        <v>0</v>
      </c>
      <c r="K33" s="21">
        <f t="shared" si="3"/>
        <v>0.5</v>
      </c>
    </row>
    <row r="34" spans="1:11" ht="15" customHeight="1" x14ac:dyDescent="0.25">
      <c r="A34" s="1934" t="s">
        <v>557</v>
      </c>
      <c r="B34" s="19" t="s">
        <v>34</v>
      </c>
      <c r="C34" s="1920"/>
      <c r="D34" s="493">
        <f>IF(D$3&gt;1,D$3*0.25+0.5,0.5)</f>
        <v>0.5</v>
      </c>
      <c r="E34" s="15">
        <v>0</v>
      </c>
      <c r="F34" s="630">
        <f>IF(F$3=1,1,0)</f>
        <v>0</v>
      </c>
      <c r="G34" s="21">
        <f t="shared" si="1"/>
        <v>0.5</v>
      </c>
      <c r="H34" s="493">
        <f>IF(H$3&gt;1,H$3*0.25+0.5,0.5)</f>
        <v>0.5</v>
      </c>
      <c r="I34" s="814">
        <v>0</v>
      </c>
      <c r="J34" s="630">
        <f>IF(J$3=1,1,0)</f>
        <v>0</v>
      </c>
      <c r="K34" s="21">
        <f t="shared" si="3"/>
        <v>0.5</v>
      </c>
    </row>
    <row r="35" spans="1:11" ht="15" customHeight="1" thickBot="1" x14ac:dyDescent="0.3">
      <c r="A35" s="1935"/>
      <c r="B35" s="19" t="s">
        <v>33</v>
      </c>
      <c r="C35" s="1920"/>
      <c r="D35" s="38">
        <v>4</v>
      </c>
      <c r="E35" s="478">
        <f>IF(E$3&gt;3,0.5*E$3,1)</f>
        <v>1</v>
      </c>
      <c r="F35" s="630">
        <f>IF(F$3=1,16,0)</f>
        <v>0</v>
      </c>
      <c r="G35" s="21">
        <f t="shared" si="1"/>
        <v>5</v>
      </c>
      <c r="H35" s="821">
        <v>4</v>
      </c>
      <c r="I35" s="478">
        <f>IF(I$3&gt;3,0.5*I$3,1)</f>
        <v>1</v>
      </c>
      <c r="J35" s="630">
        <f>IF(J$3=1,16,0)</f>
        <v>0</v>
      </c>
      <c r="K35" s="21">
        <f t="shared" si="3"/>
        <v>5</v>
      </c>
    </row>
    <row r="36" spans="1:11" ht="15" customHeight="1" x14ac:dyDescent="0.25">
      <c r="A36" s="1934" t="s">
        <v>19</v>
      </c>
      <c r="B36" s="19" t="s">
        <v>34</v>
      </c>
      <c r="C36" s="1920"/>
      <c r="D36" s="38">
        <v>6</v>
      </c>
      <c r="E36" s="478">
        <f>IF(E$3&gt;3,0.5*E$3,1)</f>
        <v>1</v>
      </c>
      <c r="F36" s="630">
        <f>IF(F$3=1,32,0)</f>
        <v>0</v>
      </c>
      <c r="G36" s="21">
        <f t="shared" si="1"/>
        <v>7</v>
      </c>
      <c r="H36" s="821">
        <v>6</v>
      </c>
      <c r="I36" s="478">
        <f>IF(I$3&gt;3,0.5*I$3,1)</f>
        <v>1</v>
      </c>
      <c r="J36" s="630">
        <f>IF(J$3=1,32,0)</f>
        <v>0</v>
      </c>
      <c r="K36" s="21">
        <f t="shared" si="3"/>
        <v>7</v>
      </c>
    </row>
    <row r="37" spans="1:11" ht="15" customHeight="1" thickBot="1" x14ac:dyDescent="0.3">
      <c r="A37" s="1935"/>
      <c r="B37" s="19" t="s">
        <v>33</v>
      </c>
      <c r="C37" s="1920"/>
      <c r="D37" s="38">
        <v>2</v>
      </c>
      <c r="E37" s="478">
        <f>IF(E$3&gt;3,0.25*E$3,0.5)</f>
        <v>0.5</v>
      </c>
      <c r="F37" s="630">
        <f>IF(F$3=1,4,0)</f>
        <v>0</v>
      </c>
      <c r="G37" s="21">
        <f t="shared" si="1"/>
        <v>2.5</v>
      </c>
      <c r="H37" s="821">
        <v>2</v>
      </c>
      <c r="I37" s="478">
        <f>IF(I$3&gt;3,0.25*I$3,0.5)</f>
        <v>0.5</v>
      </c>
      <c r="J37" s="630">
        <f>IF(J$3=1,4,0)</f>
        <v>0</v>
      </c>
      <c r="K37" s="21">
        <f t="shared" si="3"/>
        <v>2.5</v>
      </c>
    </row>
    <row r="38" spans="1:11" ht="15" customHeight="1" x14ac:dyDescent="0.25">
      <c r="A38" s="1934" t="s">
        <v>20</v>
      </c>
      <c r="B38" s="19" t="s">
        <v>34</v>
      </c>
      <c r="C38" s="1920"/>
      <c r="D38" s="38">
        <v>4</v>
      </c>
      <c r="E38" s="478">
        <f>IF(E$3&gt;3,0.25*E$3,0.5)</f>
        <v>0.5</v>
      </c>
      <c r="F38" s="630">
        <f>IF(F$3=1,8,0)</f>
        <v>0</v>
      </c>
      <c r="G38" s="21">
        <f t="shared" si="1"/>
        <v>4.5</v>
      </c>
      <c r="H38" s="821">
        <v>4</v>
      </c>
      <c r="I38" s="478">
        <f>IF(I$3&gt;3,0.25*I$3,0.5)</f>
        <v>0.5</v>
      </c>
      <c r="J38" s="630">
        <f>IF(J$3=1,8,0)</f>
        <v>0</v>
      </c>
      <c r="K38" s="21">
        <f t="shared" si="3"/>
        <v>4.5</v>
      </c>
    </row>
    <row r="39" spans="1:11" ht="15" customHeight="1" thickBot="1" x14ac:dyDescent="0.3">
      <c r="A39" s="1935"/>
      <c r="B39" s="19" t="s">
        <v>33</v>
      </c>
      <c r="C39" s="1920"/>
      <c r="D39" s="482" t="s">
        <v>1770</v>
      </c>
      <c r="E39" s="482" t="s">
        <v>1770</v>
      </c>
      <c r="F39" s="482" t="s">
        <v>1770</v>
      </c>
      <c r="G39" s="21">
        <f t="shared" si="1"/>
        <v>0</v>
      </c>
      <c r="H39" s="482" t="s">
        <v>1770</v>
      </c>
      <c r="I39" s="482" t="s">
        <v>1770</v>
      </c>
      <c r="J39" s="482" t="s">
        <v>1770</v>
      </c>
      <c r="K39" s="21">
        <f t="shared" si="3"/>
        <v>0</v>
      </c>
    </row>
    <row r="40" spans="1:11" ht="15" customHeight="1" x14ac:dyDescent="0.25">
      <c r="A40" s="1934" t="s">
        <v>451</v>
      </c>
      <c r="B40" s="19" t="s">
        <v>34</v>
      </c>
      <c r="C40" s="1920"/>
      <c r="D40" s="482" t="s">
        <v>1770</v>
      </c>
      <c r="E40" s="482" t="s">
        <v>1770</v>
      </c>
      <c r="F40" s="482" t="s">
        <v>1770</v>
      </c>
      <c r="G40" s="21">
        <f t="shared" si="1"/>
        <v>0</v>
      </c>
      <c r="H40" s="482" t="s">
        <v>1770</v>
      </c>
      <c r="I40" s="482" t="s">
        <v>1770</v>
      </c>
      <c r="J40" s="482" t="s">
        <v>1770</v>
      </c>
      <c r="K40" s="21">
        <f t="shared" si="3"/>
        <v>0</v>
      </c>
    </row>
    <row r="41" spans="1:11" ht="15" customHeight="1" thickBot="1" x14ac:dyDescent="0.3">
      <c r="A41" s="1935"/>
      <c r="B41" s="19" t="s">
        <v>33</v>
      </c>
      <c r="C41" s="1920"/>
      <c r="D41" s="493">
        <f>IF(D$3&gt;1,D$3*0.25+0.5,0.5)</f>
        <v>0.5</v>
      </c>
      <c r="E41" s="475">
        <v>0</v>
      </c>
      <c r="F41" s="630">
        <f>IF(F$3=1,1,0)</f>
        <v>0</v>
      </c>
      <c r="G41" s="21">
        <f t="shared" si="1"/>
        <v>0.5</v>
      </c>
      <c r="H41" s="493">
        <f>IF(H$3&gt;1,H$3*0.25+0.5,0.5)</f>
        <v>0.5</v>
      </c>
      <c r="I41" s="764">
        <v>0</v>
      </c>
      <c r="J41" s="630">
        <f>IF(J$3=1,1,0)</f>
        <v>0</v>
      </c>
      <c r="K41" s="21">
        <f t="shared" si="3"/>
        <v>0.5</v>
      </c>
    </row>
    <row r="42" spans="1:11" ht="15" customHeight="1" x14ac:dyDescent="0.25">
      <c r="A42" s="1934" t="s">
        <v>452</v>
      </c>
      <c r="B42" s="19" t="s">
        <v>34</v>
      </c>
      <c r="C42" s="1920"/>
      <c r="D42" s="493">
        <f>IF(D$3&gt;1,D$3*0.25+0.5,0.5)</f>
        <v>0.5</v>
      </c>
      <c r="E42" s="475">
        <v>0</v>
      </c>
      <c r="F42" s="630">
        <f>IF(F$3=1,1,0)</f>
        <v>0</v>
      </c>
      <c r="G42" s="21">
        <f t="shared" si="1"/>
        <v>0.5</v>
      </c>
      <c r="H42" s="493">
        <f>IF(H$3&gt;1,H$3*0.25+0.5,0.5)</f>
        <v>0.5</v>
      </c>
      <c r="I42" s="764">
        <v>0</v>
      </c>
      <c r="J42" s="630">
        <f>IF(J$3=1,1,0)</f>
        <v>0</v>
      </c>
      <c r="K42" s="21">
        <f t="shared" si="3"/>
        <v>0.5</v>
      </c>
    </row>
    <row r="43" spans="1:11" ht="15" customHeight="1" thickBot="1" x14ac:dyDescent="0.3">
      <c r="A43" s="1935"/>
      <c r="B43" s="19" t="s">
        <v>33</v>
      </c>
      <c r="C43" s="1920"/>
      <c r="D43" s="482" t="s">
        <v>1770</v>
      </c>
      <c r="E43" s="482" t="s">
        <v>1770</v>
      </c>
      <c r="F43" s="482" t="s">
        <v>1770</v>
      </c>
      <c r="G43" s="21">
        <f t="shared" si="1"/>
        <v>0</v>
      </c>
      <c r="H43" s="482" t="s">
        <v>1770</v>
      </c>
      <c r="I43" s="482" t="s">
        <v>1770</v>
      </c>
      <c r="J43" s="482" t="s">
        <v>1770</v>
      </c>
      <c r="K43" s="21">
        <f t="shared" si="3"/>
        <v>0</v>
      </c>
    </row>
    <row r="44" spans="1:11" ht="15" customHeight="1" x14ac:dyDescent="0.25">
      <c r="A44" s="1942" t="s">
        <v>533</v>
      </c>
      <c r="B44" s="19" t="s">
        <v>34</v>
      </c>
      <c r="C44" s="1920"/>
      <c r="D44" s="482" t="s">
        <v>1770</v>
      </c>
      <c r="E44" s="482" t="s">
        <v>1770</v>
      </c>
      <c r="F44" s="482" t="s">
        <v>1770</v>
      </c>
      <c r="G44" s="21">
        <f t="shared" si="1"/>
        <v>0</v>
      </c>
      <c r="H44" s="482" t="s">
        <v>1770</v>
      </c>
      <c r="I44" s="482" t="s">
        <v>1770</v>
      </c>
      <c r="J44" s="482" t="s">
        <v>1770</v>
      </c>
      <c r="K44" s="21">
        <f t="shared" si="3"/>
        <v>0</v>
      </c>
    </row>
    <row r="45" spans="1:11" ht="15" customHeight="1" thickBot="1" x14ac:dyDescent="0.3">
      <c r="A45" s="1943"/>
      <c r="B45" s="19" t="s">
        <v>33</v>
      </c>
      <c r="C45" s="1920"/>
      <c r="D45" s="482" t="s">
        <v>1770</v>
      </c>
      <c r="E45" s="482" t="s">
        <v>1770</v>
      </c>
      <c r="F45" s="482" t="s">
        <v>1770</v>
      </c>
      <c r="G45" s="21">
        <f t="shared" si="1"/>
        <v>0</v>
      </c>
      <c r="H45" s="482" t="s">
        <v>1770</v>
      </c>
      <c r="I45" s="482" t="s">
        <v>1770</v>
      </c>
      <c r="J45" s="482" t="s">
        <v>1770</v>
      </c>
      <c r="K45" s="21">
        <f t="shared" si="3"/>
        <v>0</v>
      </c>
    </row>
    <row r="46" spans="1:11" ht="15" customHeight="1" x14ac:dyDescent="0.25">
      <c r="A46" s="1934" t="s">
        <v>534</v>
      </c>
      <c r="B46" s="19" t="s">
        <v>34</v>
      </c>
      <c r="C46" s="1920"/>
      <c r="D46" s="482" t="s">
        <v>1770</v>
      </c>
      <c r="E46" s="482" t="s">
        <v>1770</v>
      </c>
      <c r="F46" s="482" t="s">
        <v>1770</v>
      </c>
      <c r="G46" s="21">
        <f t="shared" si="1"/>
        <v>0</v>
      </c>
      <c r="H46" s="482" t="s">
        <v>1770</v>
      </c>
      <c r="I46" s="482" t="s">
        <v>1770</v>
      </c>
      <c r="J46" s="482" t="s">
        <v>1770</v>
      </c>
      <c r="K46" s="21">
        <f t="shared" si="3"/>
        <v>0</v>
      </c>
    </row>
    <row r="47" spans="1:11" ht="15" customHeight="1" thickBot="1" x14ac:dyDescent="0.3">
      <c r="A47" s="1935"/>
      <c r="B47" s="19" t="s">
        <v>33</v>
      </c>
      <c r="C47" s="1920"/>
      <c r="D47" s="38" t="s">
        <v>90</v>
      </c>
      <c r="E47" s="38" t="s">
        <v>90</v>
      </c>
      <c r="F47" s="38" t="s">
        <v>90</v>
      </c>
      <c r="G47" s="21">
        <f t="shared" si="1"/>
        <v>0</v>
      </c>
      <c r="H47" s="821" t="s">
        <v>90</v>
      </c>
      <c r="I47" s="821" t="s">
        <v>90</v>
      </c>
      <c r="J47" s="821" t="s">
        <v>90</v>
      </c>
      <c r="K47" s="21">
        <f t="shared" si="3"/>
        <v>0</v>
      </c>
    </row>
    <row r="48" spans="1:11" ht="15" customHeight="1" x14ac:dyDescent="0.25">
      <c r="A48" s="1934" t="s">
        <v>21</v>
      </c>
      <c r="B48" s="13" t="s">
        <v>34</v>
      </c>
      <c r="C48" s="1920"/>
      <c r="D48" s="38" t="s">
        <v>90</v>
      </c>
      <c r="E48" s="38" t="s">
        <v>90</v>
      </c>
      <c r="F48" s="38" t="s">
        <v>90</v>
      </c>
      <c r="G48" s="21">
        <f t="shared" si="1"/>
        <v>0</v>
      </c>
      <c r="H48" s="821" t="s">
        <v>90</v>
      </c>
      <c r="I48" s="821" t="s">
        <v>90</v>
      </c>
      <c r="J48" s="821" t="s">
        <v>90</v>
      </c>
      <c r="K48" s="21">
        <f t="shared" si="3"/>
        <v>0</v>
      </c>
    </row>
    <row r="49" spans="1:11" ht="15" customHeight="1" thickBot="1" x14ac:dyDescent="0.3">
      <c r="A49" s="1935"/>
      <c r="B49" s="19" t="s">
        <v>33</v>
      </c>
      <c r="C49" s="1920"/>
      <c r="D49" s="493">
        <f>IF(D$3&gt;1,D$3*0.25+1,1)</f>
        <v>1</v>
      </c>
      <c r="E49" s="814">
        <v>0</v>
      </c>
      <c r="F49" s="630">
        <f>IF(F$3=1,1,0)</f>
        <v>0</v>
      </c>
      <c r="G49" s="21">
        <f t="shared" si="1"/>
        <v>1</v>
      </c>
      <c r="H49" s="493">
        <f>IF(H$3&gt;1,H$3*0.25+1,1)</f>
        <v>1</v>
      </c>
      <c r="I49" s="814">
        <v>0</v>
      </c>
      <c r="J49" s="630">
        <f>IF(J$3=1,1,0)</f>
        <v>0</v>
      </c>
      <c r="K49" s="21">
        <f t="shared" si="3"/>
        <v>1</v>
      </c>
    </row>
    <row r="50" spans="1:11" ht="15" customHeight="1" x14ac:dyDescent="0.25">
      <c r="A50" s="1934" t="s">
        <v>181</v>
      </c>
      <c r="B50" s="19" t="s">
        <v>34</v>
      </c>
      <c r="C50" s="1920"/>
      <c r="D50" s="493">
        <f>IF(D$3&gt;1,D$3*0.25+1,1)</f>
        <v>1</v>
      </c>
      <c r="E50" s="814">
        <v>0</v>
      </c>
      <c r="F50" s="630">
        <f>IF(F$3=1,1,0)</f>
        <v>0</v>
      </c>
      <c r="G50" s="21">
        <f t="shared" si="1"/>
        <v>1</v>
      </c>
      <c r="H50" s="493">
        <f>IF(H$3&gt;1,H$3*0.25+1,1)</f>
        <v>1</v>
      </c>
      <c r="I50" s="814">
        <v>0</v>
      </c>
      <c r="J50" s="630">
        <f>IF(J$3=1,1,0)</f>
        <v>0</v>
      </c>
      <c r="K50" s="21">
        <f t="shared" si="3"/>
        <v>1</v>
      </c>
    </row>
    <row r="51" spans="1:11" ht="15" customHeight="1" thickBot="1" x14ac:dyDescent="0.3">
      <c r="A51" s="1935"/>
      <c r="B51" s="19" t="s">
        <v>33</v>
      </c>
      <c r="C51" s="1920"/>
      <c r="D51" s="493">
        <f>IF(D$3&gt;1,D$3*0.25+1,1)</f>
        <v>1</v>
      </c>
      <c r="E51" s="489">
        <v>0</v>
      </c>
      <c r="F51" s="630">
        <f>IF(F$3=1,1,0)</f>
        <v>0</v>
      </c>
      <c r="G51" s="21">
        <f t="shared" si="1"/>
        <v>1</v>
      </c>
      <c r="H51" s="493">
        <f>IF(H$3&gt;1,H$3*0.25+1,1)</f>
        <v>1</v>
      </c>
      <c r="I51" s="489">
        <v>0</v>
      </c>
      <c r="J51" s="630">
        <f>IF(J$3=1,1,0)</f>
        <v>0</v>
      </c>
      <c r="K51" s="21">
        <f t="shared" si="3"/>
        <v>1</v>
      </c>
    </row>
    <row r="52" spans="1:11" ht="15" customHeight="1" x14ac:dyDescent="0.25">
      <c r="A52" s="1934" t="s">
        <v>182</v>
      </c>
      <c r="B52" s="19" t="s">
        <v>34</v>
      </c>
      <c r="C52" s="1920"/>
      <c r="D52" s="493">
        <f>IF(D$3&gt;1,D$3*0.25+1,1)</f>
        <v>1</v>
      </c>
      <c r="E52" s="489">
        <v>0</v>
      </c>
      <c r="F52" s="630">
        <f>IF(F$3=1,1,0)</f>
        <v>0</v>
      </c>
      <c r="G52" s="21">
        <f t="shared" si="1"/>
        <v>1</v>
      </c>
      <c r="H52" s="493">
        <f>IF(H$3&gt;1,H$3*0.25+1,1)</f>
        <v>1</v>
      </c>
      <c r="I52" s="489">
        <v>0</v>
      </c>
      <c r="J52" s="630">
        <f>IF(J$3=1,1,0)</f>
        <v>0</v>
      </c>
      <c r="K52" s="21">
        <f t="shared" si="3"/>
        <v>1</v>
      </c>
    </row>
    <row r="53" spans="1:11" ht="15" customHeight="1" thickBot="1" x14ac:dyDescent="0.3">
      <c r="A53" s="1935"/>
      <c r="B53" s="19" t="s">
        <v>33</v>
      </c>
      <c r="C53" s="1920"/>
      <c r="D53" s="493">
        <f>IF(D$3&gt;1,D$3*0.25+0.5,0.5)</f>
        <v>0.5</v>
      </c>
      <c r="E53" s="15">
        <v>0</v>
      </c>
      <c r="F53" s="630">
        <f>IF(F$3=1,1,0)</f>
        <v>0</v>
      </c>
      <c r="G53" s="21">
        <f t="shared" si="1"/>
        <v>0.5</v>
      </c>
      <c r="H53" s="493">
        <f>IF(H$3&gt;1,H$3*0.25+0.5,0.5)</f>
        <v>0.5</v>
      </c>
      <c r="I53" s="814">
        <v>0</v>
      </c>
      <c r="J53" s="630">
        <f>IF(J$3=1,1,0)</f>
        <v>0</v>
      </c>
      <c r="K53" s="21">
        <f t="shared" si="3"/>
        <v>0.5</v>
      </c>
    </row>
    <row r="54" spans="1:11" ht="15" customHeight="1" x14ac:dyDescent="0.25">
      <c r="A54" s="1941" t="s">
        <v>183</v>
      </c>
      <c r="B54" s="13" t="s">
        <v>34</v>
      </c>
      <c r="C54" s="1920"/>
      <c r="D54" s="493">
        <f>IF(D$3&gt;1,D$3*0.25+0.5,0.5)</f>
        <v>0.5</v>
      </c>
      <c r="E54" s="399">
        <v>0</v>
      </c>
      <c r="F54" s="630">
        <f>IF(F$3=1,1,0)</f>
        <v>0</v>
      </c>
      <c r="G54" s="77">
        <f t="shared" si="1"/>
        <v>0.5</v>
      </c>
      <c r="H54" s="493">
        <f>IF(H$3&gt;1,H$3*0.25+0.5,0.5)</f>
        <v>0.5</v>
      </c>
      <c r="I54" s="917">
        <v>0</v>
      </c>
      <c r="J54" s="630">
        <f>IF(J$3=1,1,0)</f>
        <v>0</v>
      </c>
      <c r="K54" s="77">
        <f t="shared" si="3"/>
        <v>0.5</v>
      </c>
    </row>
    <row r="55" spans="1:11" ht="15.75" customHeight="1" thickBot="1" x14ac:dyDescent="0.3">
      <c r="A55" s="1941"/>
      <c r="B55" s="19" t="s">
        <v>33</v>
      </c>
      <c r="C55" s="1921"/>
      <c r="D55" s="482" t="s">
        <v>1770</v>
      </c>
      <c r="E55" s="482" t="s">
        <v>1770</v>
      </c>
      <c r="F55" s="482" t="s">
        <v>1770</v>
      </c>
      <c r="G55" s="21">
        <f t="shared" si="1"/>
        <v>0</v>
      </c>
      <c r="H55" s="482" t="s">
        <v>1770</v>
      </c>
      <c r="I55" s="482" t="s">
        <v>1770</v>
      </c>
      <c r="J55" s="482" t="s">
        <v>1770</v>
      </c>
      <c r="K55" s="21">
        <f t="shared" ref="K55:K58" si="4" xml:space="preserve"> SUM(H55:J55) + $C55</f>
        <v>0</v>
      </c>
    </row>
    <row r="56" spans="1:11" ht="15" customHeight="1" x14ac:dyDescent="0.25">
      <c r="A56" s="1937" t="s">
        <v>23</v>
      </c>
      <c r="B56" s="19" t="s">
        <v>34</v>
      </c>
      <c r="C56" s="1920" t="s">
        <v>22</v>
      </c>
      <c r="D56" s="482" t="s">
        <v>1770</v>
      </c>
      <c r="E56" s="482" t="s">
        <v>1770</v>
      </c>
      <c r="F56" s="482" t="s">
        <v>1770</v>
      </c>
      <c r="G56" s="21" t="e">
        <f t="shared" si="1"/>
        <v>#VALUE!</v>
      </c>
      <c r="H56" s="482" t="s">
        <v>1770</v>
      </c>
      <c r="I56" s="482" t="s">
        <v>1770</v>
      </c>
      <c r="J56" s="482" t="s">
        <v>1770</v>
      </c>
      <c r="K56" s="21" t="e">
        <f t="shared" si="4"/>
        <v>#VALUE!</v>
      </c>
    </row>
    <row r="57" spans="1:11" ht="15" customHeight="1" thickBot="1" x14ac:dyDescent="0.3">
      <c r="A57" s="1938"/>
      <c r="B57" s="19" t="s">
        <v>33</v>
      </c>
      <c r="C57" s="1920"/>
      <c r="D57" s="821">
        <v>2</v>
      </c>
      <c r="E57" s="478">
        <f>IF(E$3&gt;3,0.5*E$3,1)</f>
        <v>1</v>
      </c>
      <c r="F57" s="630">
        <f>IF(F$3=1,10,0)</f>
        <v>0</v>
      </c>
      <c r="G57" s="21">
        <f t="shared" si="1"/>
        <v>3</v>
      </c>
      <c r="H57" s="821">
        <v>2</v>
      </c>
      <c r="I57" s="478">
        <f>IF(I$3&gt;3,0.5*I$3,1)</f>
        <v>1</v>
      </c>
      <c r="J57" s="630">
        <f>IF(J$3=1,10,0)</f>
        <v>0</v>
      </c>
      <c r="K57" s="21">
        <f t="shared" si="4"/>
        <v>3</v>
      </c>
    </row>
    <row r="58" spans="1:11" ht="15" customHeight="1" x14ac:dyDescent="0.25">
      <c r="A58" s="1934" t="s">
        <v>24</v>
      </c>
      <c r="B58" s="19" t="s">
        <v>34</v>
      </c>
      <c r="C58" s="1920"/>
      <c r="D58" s="821">
        <v>4</v>
      </c>
      <c r="E58" s="478">
        <f>IF(E$3&gt;3,0.5*E$3,1)</f>
        <v>1</v>
      </c>
      <c r="F58" s="630">
        <f>IF(F$3=1,16,0)</f>
        <v>0</v>
      </c>
      <c r="G58" s="21">
        <f t="shared" si="1"/>
        <v>5</v>
      </c>
      <c r="H58" s="821">
        <v>4</v>
      </c>
      <c r="I58" s="478">
        <f>IF(I$3&gt;3,0.5*I$3,1)</f>
        <v>1</v>
      </c>
      <c r="J58" s="630">
        <f>IF(J$3=1,16,0)</f>
        <v>0</v>
      </c>
      <c r="K58" s="21">
        <f t="shared" si="4"/>
        <v>5</v>
      </c>
    </row>
    <row r="59" spans="1:11" ht="15" customHeight="1" thickBot="1" x14ac:dyDescent="0.3">
      <c r="A59" s="1935"/>
      <c r="B59" s="19" t="s">
        <v>33</v>
      </c>
      <c r="C59" s="1920"/>
      <c r="D59" s="821">
        <v>2</v>
      </c>
      <c r="E59" s="33">
        <v>0</v>
      </c>
      <c r="F59" s="630">
        <f>IF(F$3=1,8,0)</f>
        <v>0</v>
      </c>
      <c r="G59" s="21">
        <f t="shared" ref="G59:G66" si="5" xml:space="preserve"> SUM(D59:F59) + $C59</f>
        <v>2</v>
      </c>
      <c r="H59" s="821">
        <v>2</v>
      </c>
      <c r="I59" s="819">
        <v>0</v>
      </c>
      <c r="J59" s="630">
        <f>IF(J$3=1,8,0)</f>
        <v>0</v>
      </c>
      <c r="K59" s="21">
        <f t="shared" ref="K59:K66" si="6" xml:space="preserve"> SUM(H59:J59) + $C59</f>
        <v>2</v>
      </c>
    </row>
    <row r="60" spans="1:11" ht="15" customHeight="1" x14ac:dyDescent="0.25">
      <c r="A60" s="1934" t="s">
        <v>25</v>
      </c>
      <c r="B60" s="19" t="s">
        <v>34</v>
      </c>
      <c r="C60" s="1920"/>
      <c r="D60" s="821">
        <v>4</v>
      </c>
      <c r="E60" s="33">
        <v>0</v>
      </c>
      <c r="F60" s="630">
        <f>IF(F$3=1,12,0)</f>
        <v>0</v>
      </c>
      <c r="G60" s="21">
        <f t="shared" si="5"/>
        <v>4</v>
      </c>
      <c r="H60" s="821">
        <v>4</v>
      </c>
      <c r="I60" s="819">
        <v>0</v>
      </c>
      <c r="J60" s="630">
        <f>IF(J$3=1,12,0)</f>
        <v>0</v>
      </c>
      <c r="K60" s="21">
        <f t="shared" si="6"/>
        <v>4</v>
      </c>
    </row>
    <row r="61" spans="1:11" ht="15" customHeight="1" thickBot="1" x14ac:dyDescent="0.3">
      <c r="A61" s="1935"/>
      <c r="B61" s="19" t="s">
        <v>33</v>
      </c>
      <c r="C61" s="1920"/>
      <c r="D61" s="493">
        <f>IF(D$3&gt;1,D$3*0.25+2,2)</f>
        <v>2</v>
      </c>
      <c r="E61" s="819">
        <v>0</v>
      </c>
      <c r="F61" s="630">
        <f>IF(F$3=1,10,0)</f>
        <v>0</v>
      </c>
      <c r="G61" s="21">
        <f t="shared" si="5"/>
        <v>2</v>
      </c>
      <c r="H61" s="493">
        <f>IF(H$3&gt;1,H$3*0.25+2,2)</f>
        <v>2</v>
      </c>
      <c r="I61" s="819">
        <v>0</v>
      </c>
      <c r="J61" s="630">
        <f>IF(J$3=1,10,0)</f>
        <v>0</v>
      </c>
      <c r="K61" s="21">
        <f t="shared" si="6"/>
        <v>2</v>
      </c>
    </row>
    <row r="62" spans="1:11" ht="15" customHeight="1" x14ac:dyDescent="0.25">
      <c r="A62" s="1934" t="s">
        <v>26</v>
      </c>
      <c r="B62" s="19" t="s">
        <v>34</v>
      </c>
      <c r="C62" s="1920"/>
      <c r="D62" s="493">
        <f>IF(D$3&gt;1,D$3*0.25+4,4)</f>
        <v>4</v>
      </c>
      <c r="E62" s="819">
        <v>0</v>
      </c>
      <c r="F62" s="630">
        <f>IF(F$3=1,16,0)</f>
        <v>0</v>
      </c>
      <c r="G62" s="21">
        <f t="shared" si="5"/>
        <v>4</v>
      </c>
      <c r="H62" s="493">
        <f>IF(H$3&gt;1,H$3*0.25+4,4)</f>
        <v>4</v>
      </c>
      <c r="I62" s="819">
        <v>0</v>
      </c>
      <c r="J62" s="630">
        <f>IF(J$3=1,16,0)</f>
        <v>0</v>
      </c>
      <c r="K62" s="21">
        <f t="shared" si="6"/>
        <v>4</v>
      </c>
    </row>
    <row r="63" spans="1:11" ht="15" customHeight="1" thickBot="1" x14ac:dyDescent="0.3">
      <c r="A63" s="1935"/>
      <c r="B63" s="19" t="s">
        <v>33</v>
      </c>
      <c r="C63" s="1920"/>
      <c r="D63" s="493">
        <f>IF(D$3&gt;1,D$3*0.25+2,2)</f>
        <v>2</v>
      </c>
      <c r="E63" s="482">
        <v>0</v>
      </c>
      <c r="F63" s="630">
        <f>IF(F$3=1,10,0)</f>
        <v>0</v>
      </c>
      <c r="G63" s="21">
        <f t="shared" si="5"/>
        <v>2</v>
      </c>
      <c r="H63" s="493">
        <f>IF(H$3&gt;1,H$3*0.25+2,2)</f>
        <v>2</v>
      </c>
      <c r="I63" s="482">
        <v>0</v>
      </c>
      <c r="J63" s="630">
        <f>IF(J$3=1,10,0)</f>
        <v>0</v>
      </c>
      <c r="K63" s="21">
        <f t="shared" si="6"/>
        <v>2</v>
      </c>
    </row>
    <row r="64" spans="1:11" ht="15" customHeight="1" x14ac:dyDescent="0.25">
      <c r="A64" s="1934" t="s">
        <v>27</v>
      </c>
      <c r="B64" s="19" t="s">
        <v>34</v>
      </c>
      <c r="C64" s="1920"/>
      <c r="D64" s="493">
        <f>IF(D$3&gt;1,D$3*0.25+4,4)</f>
        <v>4</v>
      </c>
      <c r="E64" s="482">
        <v>0</v>
      </c>
      <c r="F64" s="630">
        <f>IF(F$3=1,16,0)</f>
        <v>0</v>
      </c>
      <c r="G64" s="21">
        <f t="shared" si="5"/>
        <v>4</v>
      </c>
      <c r="H64" s="493">
        <f>IF(H$3&gt;1,H$3*0.25+4,4)</f>
        <v>4</v>
      </c>
      <c r="I64" s="482">
        <v>0</v>
      </c>
      <c r="J64" s="630">
        <f>IF(J$3=1,16,0)</f>
        <v>0</v>
      </c>
      <c r="K64" s="21">
        <f t="shared" si="6"/>
        <v>4</v>
      </c>
    </row>
    <row r="65" spans="1:11" ht="15" customHeight="1" thickBot="1" x14ac:dyDescent="0.3">
      <c r="A65" s="1935"/>
      <c r="B65" s="19" t="s">
        <v>33</v>
      </c>
      <c r="C65" s="1920"/>
      <c r="D65" s="482">
        <v>2</v>
      </c>
      <c r="E65" s="482">
        <v>0</v>
      </c>
      <c r="F65" s="630">
        <f>IF(F$3=1,10,0)</f>
        <v>0</v>
      </c>
      <c r="G65" s="21">
        <f t="shared" si="5"/>
        <v>2</v>
      </c>
      <c r="H65" s="482">
        <v>2</v>
      </c>
      <c r="I65" s="482">
        <v>0</v>
      </c>
      <c r="J65" s="630">
        <f>IF(J$3=1,10,0)</f>
        <v>0</v>
      </c>
      <c r="K65" s="21">
        <f t="shared" si="6"/>
        <v>2</v>
      </c>
    </row>
    <row r="66" spans="1:11" ht="15.75" customHeight="1" thickBot="1" x14ac:dyDescent="0.3">
      <c r="A66" s="1940" t="s">
        <v>28</v>
      </c>
      <c r="B66" s="20" t="s">
        <v>34</v>
      </c>
      <c r="C66" s="1920"/>
      <c r="D66" s="507">
        <v>4</v>
      </c>
      <c r="E66" s="491">
        <v>0</v>
      </c>
      <c r="F66" s="1694">
        <f>IF(F$3=1,16,0)</f>
        <v>0</v>
      </c>
      <c r="G66" s="24">
        <f t="shared" si="5"/>
        <v>4</v>
      </c>
      <c r="H66" s="507">
        <v>4</v>
      </c>
      <c r="I66" s="491">
        <v>0</v>
      </c>
      <c r="J66" s="1694">
        <f>IF(J$3=1,16,0)</f>
        <v>0</v>
      </c>
      <c r="K66" s="24">
        <f t="shared" si="6"/>
        <v>4</v>
      </c>
    </row>
    <row r="67" spans="1:11" ht="15.75" thickBot="1" x14ac:dyDescent="0.3">
      <c r="A67" s="1938"/>
      <c r="C67" s="1921"/>
    </row>
    <row r="68" spans="1:11" ht="15.75" x14ac:dyDescent="0.25">
      <c r="A68" s="1690" t="s">
        <v>1705</v>
      </c>
      <c r="B68" s="1690" t="s">
        <v>1706</v>
      </c>
      <c r="C68" s="1696"/>
      <c r="D68" s="1695"/>
      <c r="E68" s="1696" t="s">
        <v>1707</v>
      </c>
      <c r="F68" s="1696"/>
    </row>
    <row r="69" spans="1:11" ht="150" x14ac:dyDescent="0.25">
      <c r="A69" s="1691" t="s">
        <v>1793</v>
      </c>
      <c r="B69" s="1691" t="s">
        <v>1841</v>
      </c>
      <c r="C69" s="1696"/>
      <c r="D69" s="1696"/>
      <c r="E69" s="1696"/>
      <c r="F69" s="1696"/>
    </row>
    <row r="70" spans="1:11" ht="150" x14ac:dyDescent="0.25">
      <c r="A70" s="1691" t="s">
        <v>95</v>
      </c>
      <c r="B70" s="1691" t="s">
        <v>1779</v>
      </c>
      <c r="C70" s="1696"/>
      <c r="D70" s="1696"/>
      <c r="E70" s="1696"/>
      <c r="F70" s="1696"/>
    </row>
    <row r="71" spans="1:11" ht="60" x14ac:dyDescent="0.25">
      <c r="A71" s="1691" t="s">
        <v>1777</v>
      </c>
      <c r="B71" s="1691" t="s">
        <v>1812</v>
      </c>
      <c r="C71" s="1696"/>
      <c r="D71" s="1696"/>
      <c r="E71" s="1696"/>
      <c r="F71" s="1696"/>
    </row>
    <row r="72" spans="1:11" x14ac:dyDescent="0.25">
      <c r="A72" s="1696"/>
      <c r="B72" s="1696"/>
      <c r="C72" s="1696"/>
      <c r="D72" s="1696"/>
      <c r="E72" s="1696"/>
      <c r="F72" s="1696"/>
    </row>
    <row r="73" spans="1:11" x14ac:dyDescent="0.25">
      <c r="A73" s="1692" t="s">
        <v>89</v>
      </c>
      <c r="B73" s="1696"/>
      <c r="C73" s="1696"/>
      <c r="D73" s="1696"/>
      <c r="E73" s="1696"/>
      <c r="F73" s="1696"/>
    </row>
    <row r="74" spans="1:11" ht="15.75" x14ac:dyDescent="0.25">
      <c r="A74" s="2311" t="e">
        <f>#REF!</f>
        <v>#REF!</v>
      </c>
      <c r="B74" s="2312"/>
      <c r="C74" s="1696"/>
      <c r="D74" s="1693" t="s">
        <v>66</v>
      </c>
      <c r="E74" s="1693" t="s">
        <v>65</v>
      </c>
      <c r="F74" s="1693" t="s">
        <v>64</v>
      </c>
    </row>
    <row r="75" spans="1:11" x14ac:dyDescent="0.25">
      <c r="A75" s="132" t="s">
        <v>1709</v>
      </c>
      <c r="B75" s="905" t="s">
        <v>33</v>
      </c>
      <c r="C75" s="1696"/>
      <c r="D75" s="880"/>
      <c r="E75" s="814"/>
      <c r="F75" s="814" t="s">
        <v>1780</v>
      </c>
    </row>
    <row r="76" spans="1:11" x14ac:dyDescent="0.25">
      <c r="A76" s="132" t="s">
        <v>1710</v>
      </c>
      <c r="B76" s="905" t="s">
        <v>34</v>
      </c>
      <c r="C76" s="1696"/>
      <c r="D76" s="880"/>
      <c r="E76" s="814"/>
      <c r="F76" s="814" t="s">
        <v>1776</v>
      </c>
    </row>
    <row r="77" spans="1:11" ht="15.75" x14ac:dyDescent="0.25">
      <c r="A77" s="2311" t="e">
        <f>#REF!</f>
        <v>#REF!</v>
      </c>
      <c r="B77" s="2312"/>
      <c r="C77" s="1696"/>
      <c r="D77" s="1693" t="s">
        <v>66</v>
      </c>
      <c r="E77" s="1693" t="s">
        <v>65</v>
      </c>
      <c r="F77" s="1693" t="s">
        <v>64</v>
      </c>
    </row>
    <row r="78" spans="1:11" x14ac:dyDescent="0.25">
      <c r="A78" s="132" t="s">
        <v>1711</v>
      </c>
      <c r="B78" s="905" t="s">
        <v>33</v>
      </c>
      <c r="C78" s="1696"/>
      <c r="D78" s="880"/>
      <c r="E78" s="814"/>
      <c r="F78" s="814" t="s">
        <v>1780</v>
      </c>
    </row>
    <row r="79" spans="1:11" x14ac:dyDescent="0.25">
      <c r="A79" s="132" t="s">
        <v>1712</v>
      </c>
      <c r="B79" s="905" t="s">
        <v>34</v>
      </c>
      <c r="C79" s="1696"/>
      <c r="D79" s="880"/>
      <c r="E79" s="814"/>
      <c r="F79" s="814" t="s">
        <v>1776</v>
      </c>
    </row>
    <row r="80" spans="1:11" ht="15.75" x14ac:dyDescent="0.25">
      <c r="A80" s="2311" t="e">
        <f>#REF!</f>
        <v>#REF!</v>
      </c>
      <c r="B80" s="2312"/>
      <c r="C80" s="1696"/>
      <c r="D80" s="1693" t="s">
        <v>66</v>
      </c>
      <c r="E80" s="1693" t="s">
        <v>65</v>
      </c>
      <c r="F80" s="1693" t="s">
        <v>64</v>
      </c>
    </row>
    <row r="81" spans="1:7" x14ac:dyDescent="0.25">
      <c r="A81" s="132" t="s">
        <v>1713</v>
      </c>
      <c r="B81" s="905" t="s">
        <v>33</v>
      </c>
      <c r="C81" s="1696"/>
      <c r="D81" s="129"/>
      <c r="E81" s="814" t="s">
        <v>1788</v>
      </c>
      <c r="F81" s="814" t="s">
        <v>1774</v>
      </c>
    </row>
    <row r="82" spans="1:7" x14ac:dyDescent="0.25">
      <c r="A82" s="132" t="s">
        <v>1714</v>
      </c>
      <c r="B82" s="905" t="s">
        <v>34</v>
      </c>
      <c r="C82" s="1696"/>
      <c r="D82" s="129"/>
      <c r="E82" s="814" t="s">
        <v>1788</v>
      </c>
      <c r="F82" s="814" t="s">
        <v>1775</v>
      </c>
    </row>
    <row r="83" spans="1:7" ht="15.75" x14ac:dyDescent="0.25">
      <c r="A83" s="2311" t="e">
        <f>#REF!</f>
        <v>#REF!</v>
      </c>
      <c r="B83" s="2312"/>
      <c r="C83" s="1696"/>
      <c r="D83" s="1693" t="s">
        <v>66</v>
      </c>
      <c r="E83" s="1693" t="s">
        <v>65</v>
      </c>
      <c r="F83" s="1693" t="s">
        <v>64</v>
      </c>
    </row>
    <row r="84" spans="1:7" x14ac:dyDescent="0.25">
      <c r="A84" s="132" t="s">
        <v>1715</v>
      </c>
      <c r="B84" s="905" t="s">
        <v>33</v>
      </c>
      <c r="C84" s="1696"/>
      <c r="D84" s="814" t="s">
        <v>1781</v>
      </c>
      <c r="E84" s="814"/>
      <c r="F84" s="129"/>
      <c r="G84" s="1722" t="s">
        <v>1795</v>
      </c>
    </row>
    <row r="85" spans="1:7" x14ac:dyDescent="0.25">
      <c r="A85" s="132" t="s">
        <v>1716</v>
      </c>
      <c r="B85" s="905" t="s">
        <v>34</v>
      </c>
      <c r="C85" s="1696"/>
      <c r="D85" s="814" t="s">
        <v>1781</v>
      </c>
      <c r="E85" s="814"/>
      <c r="F85" s="129"/>
    </row>
    <row r="86" spans="1:7" ht="15.75" x14ac:dyDescent="0.25">
      <c r="A86" s="2311" t="e">
        <f>#REF!</f>
        <v>#REF!</v>
      </c>
      <c r="B86" s="2312"/>
      <c r="C86" s="1696"/>
      <c r="D86" s="1693" t="s">
        <v>66</v>
      </c>
      <c r="E86" s="1693" t="s">
        <v>65</v>
      </c>
      <c r="F86" s="1693" t="s">
        <v>64</v>
      </c>
    </row>
    <row r="87" spans="1:7" x14ac:dyDescent="0.25">
      <c r="A87" s="132" t="s">
        <v>1717</v>
      </c>
      <c r="B87" s="905" t="s">
        <v>33</v>
      </c>
      <c r="C87" s="1696"/>
      <c r="D87" s="129"/>
      <c r="E87" s="814" t="s">
        <v>1788</v>
      </c>
      <c r="F87" s="814" t="s">
        <v>1774</v>
      </c>
    </row>
    <row r="88" spans="1:7" x14ac:dyDescent="0.25">
      <c r="A88" s="132" t="s">
        <v>1718</v>
      </c>
      <c r="B88" s="905" t="s">
        <v>34</v>
      </c>
      <c r="C88" s="1696"/>
      <c r="D88" s="129"/>
      <c r="E88" s="814" t="s">
        <v>1788</v>
      </c>
      <c r="F88" s="814" t="s">
        <v>1775</v>
      </c>
    </row>
    <row r="89" spans="1:7" ht="15.75" x14ac:dyDescent="0.25">
      <c r="A89" s="2311" t="e">
        <f>#REF!</f>
        <v>#REF!</v>
      </c>
      <c r="B89" s="2312"/>
      <c r="C89" s="1696"/>
      <c r="D89" s="1693" t="s">
        <v>66</v>
      </c>
      <c r="E89" s="1693" t="s">
        <v>65</v>
      </c>
      <c r="F89" s="1693" t="s">
        <v>64</v>
      </c>
    </row>
    <row r="90" spans="1:7" x14ac:dyDescent="0.25">
      <c r="A90" s="132" t="s">
        <v>1719</v>
      </c>
      <c r="B90" s="905" t="s">
        <v>33</v>
      </c>
      <c r="C90" s="1696"/>
      <c r="D90" s="1381"/>
      <c r="E90" s="1381"/>
      <c r="F90" s="814" t="s">
        <v>1782</v>
      </c>
    </row>
    <row r="91" spans="1:7" x14ac:dyDescent="0.25">
      <c r="A91" s="132" t="s">
        <v>1720</v>
      </c>
      <c r="B91" s="905" t="s">
        <v>34</v>
      </c>
      <c r="C91" s="1696"/>
      <c r="D91" s="1381"/>
      <c r="E91" s="1381"/>
      <c r="F91" s="814" t="s">
        <v>1783</v>
      </c>
    </row>
    <row r="92" spans="1:7" ht="15.75" x14ac:dyDescent="0.25">
      <c r="A92" s="2311" t="e">
        <f>#REF!</f>
        <v>#REF!</v>
      </c>
      <c r="B92" s="2312"/>
      <c r="C92" s="1696"/>
      <c r="D92" s="1693" t="s">
        <v>66</v>
      </c>
      <c r="E92" s="1693" t="s">
        <v>65</v>
      </c>
      <c r="F92" s="1693" t="s">
        <v>64</v>
      </c>
    </row>
    <row r="93" spans="1:7" x14ac:dyDescent="0.25">
      <c r="A93" s="132" t="s">
        <v>1721</v>
      </c>
      <c r="B93" s="905" t="s">
        <v>33</v>
      </c>
      <c r="C93" s="1696"/>
      <c r="D93" s="1381"/>
      <c r="E93" s="1381"/>
      <c r="F93" s="814" t="s">
        <v>1784</v>
      </c>
    </row>
    <row r="94" spans="1:7" x14ac:dyDescent="0.25">
      <c r="A94" s="132" t="s">
        <v>1722</v>
      </c>
      <c r="B94" s="905" t="s">
        <v>34</v>
      </c>
      <c r="C94" s="1696"/>
      <c r="D94" s="1381"/>
      <c r="E94" s="1381"/>
      <c r="F94" s="814" t="s">
        <v>1785</v>
      </c>
    </row>
    <row r="95" spans="1:7" ht="15.75" x14ac:dyDescent="0.25">
      <c r="A95" s="2311" t="e">
        <f>#REF!</f>
        <v>#REF!</v>
      </c>
      <c r="B95" s="2312"/>
      <c r="C95" s="1696"/>
      <c r="D95" s="1693" t="s">
        <v>66</v>
      </c>
      <c r="E95" s="1693" t="s">
        <v>65</v>
      </c>
      <c r="F95" s="1693" t="s">
        <v>64</v>
      </c>
    </row>
    <row r="96" spans="1:7" x14ac:dyDescent="0.25">
      <c r="A96" s="132" t="s">
        <v>1723</v>
      </c>
      <c r="B96" s="905" t="s">
        <v>33</v>
      </c>
      <c r="C96" s="1696"/>
      <c r="D96" s="658" t="s">
        <v>1781</v>
      </c>
      <c r="E96" s="1381"/>
      <c r="F96" s="814" t="s">
        <v>1800</v>
      </c>
    </row>
    <row r="97" spans="1:7" x14ac:dyDescent="0.25">
      <c r="A97" s="132" t="s">
        <v>1724</v>
      </c>
      <c r="B97" s="905" t="s">
        <v>34</v>
      </c>
      <c r="C97" s="1696"/>
      <c r="D97" s="658" t="s">
        <v>1781</v>
      </c>
      <c r="E97" s="1381"/>
      <c r="F97" s="814" t="s">
        <v>1803</v>
      </c>
    </row>
    <row r="98" spans="1:7" ht="15.75" x14ac:dyDescent="0.25">
      <c r="A98" s="2311" t="e">
        <f>#REF!</f>
        <v>#REF!</v>
      </c>
      <c r="B98" s="2312"/>
      <c r="C98" s="1696"/>
      <c r="D98" s="1693" t="s">
        <v>66</v>
      </c>
      <c r="E98" s="1693" t="s">
        <v>65</v>
      </c>
      <c r="F98" s="1693" t="s">
        <v>64</v>
      </c>
    </row>
    <row r="99" spans="1:7" x14ac:dyDescent="0.25">
      <c r="A99" s="132" t="s">
        <v>1725</v>
      </c>
      <c r="B99" s="905" t="s">
        <v>33</v>
      </c>
      <c r="C99" s="1696"/>
      <c r="D99" s="1381"/>
      <c r="E99" s="1381"/>
      <c r="F99" s="814" t="s">
        <v>1787</v>
      </c>
    </row>
    <row r="100" spans="1:7" x14ac:dyDescent="0.25">
      <c r="A100" s="132" t="s">
        <v>1726</v>
      </c>
      <c r="B100" s="905" t="s">
        <v>34</v>
      </c>
      <c r="C100" s="1696"/>
      <c r="D100" s="1381"/>
      <c r="E100" s="1381"/>
      <c r="F100" s="814" t="s">
        <v>1786</v>
      </c>
    </row>
    <row r="101" spans="1:7" ht="15.75" x14ac:dyDescent="0.25">
      <c r="A101" s="2311" t="e">
        <f>#REF!</f>
        <v>#REF!</v>
      </c>
      <c r="B101" s="2312"/>
      <c r="C101" s="1696"/>
      <c r="D101" s="1693" t="s">
        <v>66</v>
      </c>
      <c r="E101" s="1693" t="s">
        <v>65</v>
      </c>
      <c r="F101" s="1693" t="s">
        <v>64</v>
      </c>
    </row>
    <row r="102" spans="1:7" x14ac:dyDescent="0.25">
      <c r="A102" s="132" t="s">
        <v>1727</v>
      </c>
      <c r="B102" s="905" t="s">
        <v>33</v>
      </c>
      <c r="C102" s="1696"/>
      <c r="D102" s="1381"/>
      <c r="E102" s="814" t="s">
        <v>1791</v>
      </c>
      <c r="F102" s="814" t="s">
        <v>1789</v>
      </c>
    </row>
    <row r="103" spans="1:7" x14ac:dyDescent="0.25">
      <c r="A103" s="132" t="s">
        <v>1728</v>
      </c>
      <c r="B103" s="905" t="s">
        <v>34</v>
      </c>
      <c r="C103" s="1696"/>
      <c r="D103" s="1381"/>
      <c r="E103" s="814" t="s">
        <v>1791</v>
      </c>
      <c r="F103" s="814" t="s">
        <v>1790</v>
      </c>
    </row>
    <row r="104" spans="1:7" ht="15.75" x14ac:dyDescent="0.25">
      <c r="A104" s="2311" t="e">
        <f>#REF!</f>
        <v>#REF!</v>
      </c>
      <c r="B104" s="2312"/>
      <c r="C104" s="1696"/>
      <c r="D104" s="1693" t="s">
        <v>66</v>
      </c>
      <c r="E104" s="1693" t="s">
        <v>65</v>
      </c>
      <c r="F104" s="1693" t="s">
        <v>64</v>
      </c>
    </row>
    <row r="105" spans="1:7" x14ac:dyDescent="0.25">
      <c r="A105" s="132" t="s">
        <v>1729</v>
      </c>
      <c r="B105" s="905" t="s">
        <v>33</v>
      </c>
      <c r="C105" s="1696"/>
      <c r="D105" s="814" t="s">
        <v>1781</v>
      </c>
      <c r="E105" s="1381"/>
      <c r="F105" s="1381"/>
      <c r="G105" s="1722" t="s">
        <v>1795</v>
      </c>
    </row>
    <row r="106" spans="1:7" x14ac:dyDescent="0.25">
      <c r="A106" s="132" t="s">
        <v>1730</v>
      </c>
      <c r="B106" s="905" t="s">
        <v>34</v>
      </c>
      <c r="C106" s="1696"/>
      <c r="D106" s="814" t="s">
        <v>1781</v>
      </c>
      <c r="E106" s="1381"/>
      <c r="F106" s="1381"/>
    </row>
    <row r="107" spans="1:7" ht="15.75" x14ac:dyDescent="0.25">
      <c r="A107" s="2311" t="e">
        <f>#REF!</f>
        <v>#REF!</v>
      </c>
      <c r="B107" s="2312"/>
      <c r="C107" s="1696"/>
      <c r="D107" s="1693" t="s">
        <v>66</v>
      </c>
      <c r="E107" s="1693" t="s">
        <v>65</v>
      </c>
      <c r="F107" s="1693" t="s">
        <v>64</v>
      </c>
    </row>
    <row r="108" spans="1:7" x14ac:dyDescent="0.25">
      <c r="A108" s="132" t="s">
        <v>1731</v>
      </c>
      <c r="B108" s="905" t="s">
        <v>33</v>
      </c>
      <c r="C108" s="1696"/>
      <c r="D108" s="1381"/>
      <c r="E108" s="814" t="s">
        <v>1791</v>
      </c>
      <c r="F108" s="814" t="s">
        <v>1786</v>
      </c>
    </row>
    <row r="109" spans="1:7" x14ac:dyDescent="0.25">
      <c r="A109" s="132" t="s">
        <v>1732</v>
      </c>
      <c r="B109" s="905" t="s">
        <v>34</v>
      </c>
      <c r="C109" s="1696"/>
      <c r="D109" s="1381"/>
      <c r="E109" s="814" t="s">
        <v>1791</v>
      </c>
      <c r="F109" s="814" t="s">
        <v>1792</v>
      </c>
    </row>
    <row r="110" spans="1:7" ht="15.75" x14ac:dyDescent="0.25">
      <c r="A110" s="2311" t="e">
        <f>#REF!</f>
        <v>#REF!</v>
      </c>
      <c r="B110" s="2312"/>
      <c r="C110" s="1696"/>
      <c r="D110" s="1693" t="s">
        <v>66</v>
      </c>
      <c r="E110" s="1693" t="s">
        <v>65</v>
      </c>
      <c r="F110" s="1693" t="s">
        <v>64</v>
      </c>
    </row>
    <row r="111" spans="1:7" x14ac:dyDescent="0.25">
      <c r="A111" s="132" t="s">
        <v>1733</v>
      </c>
      <c r="B111" s="905" t="s">
        <v>33</v>
      </c>
      <c r="C111" s="1696"/>
      <c r="D111" s="814" t="s">
        <v>1794</v>
      </c>
      <c r="E111" s="1381"/>
      <c r="F111" s="814" t="s">
        <v>1796</v>
      </c>
      <c r="G111" s="1722" t="s">
        <v>1795</v>
      </c>
    </row>
    <row r="112" spans="1:7" x14ac:dyDescent="0.25">
      <c r="A112" s="132" t="s">
        <v>1734</v>
      </c>
      <c r="B112" s="905" t="s">
        <v>34</v>
      </c>
      <c r="C112" s="1696"/>
      <c r="D112" s="814" t="s">
        <v>1794</v>
      </c>
      <c r="E112" s="1381"/>
      <c r="F112" s="814" t="s">
        <v>1796</v>
      </c>
    </row>
    <row r="113" spans="1:7" ht="15.75" x14ac:dyDescent="0.25">
      <c r="A113" s="2311" t="e">
        <f>#REF!</f>
        <v>#REF!</v>
      </c>
      <c r="B113" s="2312"/>
      <c r="C113" s="1696"/>
      <c r="D113" s="1693" t="s">
        <v>66</v>
      </c>
      <c r="E113" s="1693" t="s">
        <v>65</v>
      </c>
      <c r="F113" s="1693" t="s">
        <v>64</v>
      </c>
    </row>
    <row r="114" spans="1:7" x14ac:dyDescent="0.25">
      <c r="A114" s="132" t="s">
        <v>1735</v>
      </c>
      <c r="B114" s="905" t="s">
        <v>33</v>
      </c>
      <c r="C114" s="1696"/>
      <c r="D114" s="814" t="s">
        <v>1794</v>
      </c>
      <c r="E114" s="1381"/>
      <c r="F114" s="814" t="s">
        <v>1796</v>
      </c>
      <c r="G114" s="1722" t="s">
        <v>1795</v>
      </c>
    </row>
    <row r="115" spans="1:7" x14ac:dyDescent="0.25">
      <c r="A115" s="132" t="s">
        <v>1736</v>
      </c>
      <c r="B115" s="905" t="s">
        <v>34</v>
      </c>
      <c r="C115" s="1696"/>
      <c r="D115" s="814" t="s">
        <v>1794</v>
      </c>
      <c r="E115" s="1381"/>
      <c r="F115" s="814" t="s">
        <v>1796</v>
      </c>
    </row>
    <row r="116" spans="1:7" ht="15.75" x14ac:dyDescent="0.25">
      <c r="A116" s="2311" t="e">
        <f>#REF!</f>
        <v>#REF!</v>
      </c>
      <c r="B116" s="2312"/>
      <c r="C116" s="1696"/>
      <c r="D116" s="1693" t="s">
        <v>66</v>
      </c>
      <c r="E116" s="1693" t="s">
        <v>65</v>
      </c>
      <c r="F116" s="1693" t="s">
        <v>64</v>
      </c>
    </row>
    <row r="117" spans="1:7" x14ac:dyDescent="0.25">
      <c r="A117" s="132" t="s">
        <v>1737</v>
      </c>
      <c r="B117" s="905" t="s">
        <v>33</v>
      </c>
      <c r="C117" s="1696"/>
      <c r="D117" s="814" t="s">
        <v>1794</v>
      </c>
      <c r="E117" s="1381"/>
      <c r="F117" s="814" t="s">
        <v>1796</v>
      </c>
      <c r="G117" t="s">
        <v>1795</v>
      </c>
    </row>
    <row r="118" spans="1:7" x14ac:dyDescent="0.25">
      <c r="A118" s="132" t="s">
        <v>1738</v>
      </c>
      <c r="B118" s="905" t="s">
        <v>34</v>
      </c>
      <c r="C118" s="1696"/>
      <c r="D118" s="814" t="s">
        <v>1794</v>
      </c>
      <c r="E118" s="1381"/>
      <c r="F118" s="814" t="s">
        <v>1796</v>
      </c>
    </row>
    <row r="119" spans="1:7" ht="15.75" x14ac:dyDescent="0.25">
      <c r="A119" s="2311" t="e">
        <f>#REF!</f>
        <v>#REF!</v>
      </c>
      <c r="B119" s="2312"/>
      <c r="C119" s="1696"/>
      <c r="D119" s="1693" t="s">
        <v>66</v>
      </c>
      <c r="E119" s="1693" t="s">
        <v>65</v>
      </c>
      <c r="F119" s="1693" t="s">
        <v>64</v>
      </c>
    </row>
    <row r="120" spans="1:7" x14ac:dyDescent="0.25">
      <c r="A120" s="132" t="s">
        <v>1746</v>
      </c>
      <c r="B120" s="905" t="s">
        <v>33</v>
      </c>
      <c r="C120" s="1696"/>
      <c r="D120" s="1381"/>
      <c r="E120" s="814" t="s">
        <v>1791</v>
      </c>
      <c r="F120" s="814" t="s">
        <v>1797</v>
      </c>
    </row>
    <row r="121" spans="1:7" x14ac:dyDescent="0.25">
      <c r="A121" s="132" t="s">
        <v>1745</v>
      </c>
      <c r="B121" s="905" t="s">
        <v>34</v>
      </c>
      <c r="C121" s="1696"/>
      <c r="D121" s="1381"/>
      <c r="E121" s="814" t="s">
        <v>1791</v>
      </c>
      <c r="F121" s="814" t="s">
        <v>1798</v>
      </c>
    </row>
    <row r="122" spans="1:7" ht="15.75" x14ac:dyDescent="0.25">
      <c r="A122" s="2311" t="e">
        <f>#REF!</f>
        <v>#REF!</v>
      </c>
      <c r="B122" s="2312"/>
      <c r="C122" s="1696"/>
      <c r="D122" s="1693" t="s">
        <v>66</v>
      </c>
      <c r="E122" s="1693" t="s">
        <v>65</v>
      </c>
      <c r="F122" s="1693" t="s">
        <v>64</v>
      </c>
    </row>
    <row r="123" spans="1:7" x14ac:dyDescent="0.25">
      <c r="A123" s="132" t="s">
        <v>1744</v>
      </c>
      <c r="B123" s="905" t="s">
        <v>33</v>
      </c>
      <c r="C123" s="1696"/>
      <c r="D123" s="1381"/>
      <c r="E123" s="814" t="s">
        <v>1799</v>
      </c>
      <c r="F123" s="814" t="s">
        <v>1800</v>
      </c>
    </row>
    <row r="124" spans="1:7" x14ac:dyDescent="0.25">
      <c r="A124" s="132" t="s">
        <v>1743</v>
      </c>
      <c r="B124" s="905" t="s">
        <v>34</v>
      </c>
      <c r="C124" s="1696"/>
      <c r="D124" s="1381"/>
      <c r="E124" s="814" t="s">
        <v>1799</v>
      </c>
      <c r="F124" s="814" t="s">
        <v>1801</v>
      </c>
    </row>
    <row r="125" spans="1:7" ht="15.75" x14ac:dyDescent="0.25">
      <c r="A125" s="2311" t="e">
        <f>#REF!</f>
        <v>#REF!</v>
      </c>
      <c r="B125" s="2312"/>
      <c r="C125" s="1696"/>
      <c r="D125" s="1693" t="s">
        <v>66</v>
      </c>
      <c r="E125" s="1693" t="s">
        <v>65</v>
      </c>
      <c r="F125" s="1693" t="s">
        <v>64</v>
      </c>
    </row>
    <row r="126" spans="1:7" x14ac:dyDescent="0.25">
      <c r="A126" s="132" t="s">
        <v>1742</v>
      </c>
      <c r="B126" s="905" t="s">
        <v>33</v>
      </c>
      <c r="C126" s="1696"/>
      <c r="D126" s="1381"/>
      <c r="E126" s="1381"/>
      <c r="F126" s="1381"/>
    </row>
    <row r="127" spans="1:7" x14ac:dyDescent="0.25">
      <c r="A127" s="132" t="s">
        <v>1741</v>
      </c>
      <c r="B127" s="905" t="s">
        <v>34</v>
      </c>
      <c r="C127" s="1696"/>
      <c r="D127" s="1381"/>
      <c r="E127" s="1381"/>
      <c r="F127" s="1381"/>
    </row>
    <row r="128" spans="1:7" ht="15.75" x14ac:dyDescent="0.25">
      <c r="A128" s="2311" t="e">
        <f>#REF!</f>
        <v>#REF!</v>
      </c>
      <c r="B128" s="2312"/>
      <c r="C128" s="1696"/>
      <c r="D128" s="1693" t="s">
        <v>66</v>
      </c>
      <c r="E128" s="1693" t="s">
        <v>65</v>
      </c>
      <c r="F128" s="1693" t="s">
        <v>64</v>
      </c>
    </row>
    <row r="129" spans="1:6" x14ac:dyDescent="0.25">
      <c r="A129" s="132" t="s">
        <v>1739</v>
      </c>
      <c r="B129" s="905" t="s">
        <v>33</v>
      </c>
      <c r="C129" s="1696"/>
      <c r="D129" s="814" t="s">
        <v>1804</v>
      </c>
      <c r="E129" s="1381"/>
      <c r="F129" s="814" t="s">
        <v>1796</v>
      </c>
    </row>
    <row r="130" spans="1:6" x14ac:dyDescent="0.25">
      <c r="A130" s="132" t="s">
        <v>1740</v>
      </c>
      <c r="B130" s="905" t="s">
        <v>34</v>
      </c>
      <c r="C130" s="1696"/>
      <c r="D130" s="814" t="s">
        <v>1804</v>
      </c>
      <c r="E130" s="1381"/>
      <c r="F130" s="814" t="s">
        <v>1796</v>
      </c>
    </row>
    <row r="131" spans="1:6" ht="15.75" x14ac:dyDescent="0.25">
      <c r="A131" s="2311" t="e">
        <f>#REF!</f>
        <v>#REF!</v>
      </c>
      <c r="B131" s="2312"/>
      <c r="C131" s="1696"/>
      <c r="D131" s="1693" t="s">
        <v>66</v>
      </c>
      <c r="E131" s="1693" t="s">
        <v>65</v>
      </c>
      <c r="F131" s="1693" t="s">
        <v>64</v>
      </c>
    </row>
    <row r="132" spans="1:6" x14ac:dyDescent="0.25">
      <c r="A132" s="132" t="s">
        <v>1747</v>
      </c>
      <c r="B132" s="905" t="s">
        <v>33</v>
      </c>
      <c r="C132" s="1696"/>
      <c r="D132" s="1381"/>
      <c r="E132" s="1381"/>
      <c r="F132" s="1381"/>
    </row>
    <row r="133" spans="1:6" x14ac:dyDescent="0.25">
      <c r="A133" s="132" t="s">
        <v>1748</v>
      </c>
      <c r="B133" s="905" t="s">
        <v>34</v>
      </c>
      <c r="C133" s="1696"/>
      <c r="D133" s="1381"/>
      <c r="E133" s="1381"/>
      <c r="F133" s="1381"/>
    </row>
    <row r="134" spans="1:6" ht="15.75" x14ac:dyDescent="0.25">
      <c r="A134" s="2311" t="e">
        <f>#REF!</f>
        <v>#REF!</v>
      </c>
      <c r="B134" s="2312"/>
      <c r="C134" s="1696"/>
      <c r="D134" s="1693" t="s">
        <v>66</v>
      </c>
      <c r="E134" s="1693" t="s">
        <v>65</v>
      </c>
      <c r="F134" s="1693" t="s">
        <v>64</v>
      </c>
    </row>
    <row r="135" spans="1:6" x14ac:dyDescent="0.25">
      <c r="A135" s="132" t="s">
        <v>1749</v>
      </c>
      <c r="B135" s="905" t="s">
        <v>33</v>
      </c>
      <c r="C135" s="1696"/>
      <c r="D135" s="1381"/>
      <c r="E135" s="1381"/>
      <c r="F135" s="1381"/>
    </row>
    <row r="136" spans="1:6" x14ac:dyDescent="0.25">
      <c r="A136" s="132" t="s">
        <v>1750</v>
      </c>
      <c r="B136" s="905" t="s">
        <v>34</v>
      </c>
      <c r="C136" s="1696"/>
      <c r="D136" s="1381"/>
      <c r="E136" s="1381"/>
      <c r="F136" s="1381"/>
    </row>
    <row r="137" spans="1:6" ht="15.75" x14ac:dyDescent="0.25">
      <c r="A137" s="2311" t="e">
        <f>#REF!</f>
        <v>#REF!</v>
      </c>
      <c r="B137" s="2312"/>
      <c r="C137" s="1696"/>
      <c r="D137" s="1693" t="s">
        <v>66</v>
      </c>
      <c r="E137" s="1693" t="s">
        <v>65</v>
      </c>
      <c r="F137" s="1693" t="s">
        <v>64</v>
      </c>
    </row>
    <row r="138" spans="1:6" x14ac:dyDescent="0.25">
      <c r="A138" s="132" t="s">
        <v>1751</v>
      </c>
      <c r="B138" s="905" t="s">
        <v>33</v>
      </c>
      <c r="C138" s="1696"/>
      <c r="D138" s="814" t="s">
        <v>1794</v>
      </c>
      <c r="E138" s="1381"/>
      <c r="F138" s="814" t="s">
        <v>1796</v>
      </c>
    </row>
    <row r="139" spans="1:6" x14ac:dyDescent="0.25">
      <c r="A139" s="132" t="s">
        <v>1752</v>
      </c>
      <c r="B139" s="905" t="s">
        <v>34</v>
      </c>
      <c r="C139" s="1696"/>
      <c r="D139" s="814" t="s">
        <v>1794</v>
      </c>
      <c r="E139" s="1381"/>
      <c r="F139" s="814" t="s">
        <v>1796</v>
      </c>
    </row>
    <row r="140" spans="1:6" ht="15.75" x14ac:dyDescent="0.25">
      <c r="A140" s="2311" t="e">
        <f>#REF!</f>
        <v>#REF!</v>
      </c>
      <c r="B140" s="2312"/>
      <c r="C140" s="1696"/>
      <c r="D140" s="1693" t="s">
        <v>66</v>
      </c>
      <c r="E140" s="1693" t="s">
        <v>65</v>
      </c>
      <c r="F140" s="1693" t="s">
        <v>64</v>
      </c>
    </row>
    <row r="141" spans="1:6" x14ac:dyDescent="0.25">
      <c r="A141" s="132" t="s">
        <v>1753</v>
      </c>
      <c r="B141" s="905" t="s">
        <v>33</v>
      </c>
      <c r="C141" s="1696"/>
      <c r="D141" s="814" t="s">
        <v>1794</v>
      </c>
      <c r="E141" s="1381"/>
      <c r="F141" s="814" t="s">
        <v>1796</v>
      </c>
    </row>
    <row r="142" spans="1:6" x14ac:dyDescent="0.25">
      <c r="A142" s="132" t="s">
        <v>1754</v>
      </c>
      <c r="B142" s="905" t="s">
        <v>34</v>
      </c>
      <c r="C142" s="1696"/>
      <c r="D142" s="814" t="s">
        <v>1794</v>
      </c>
      <c r="E142" s="1381"/>
      <c r="F142" s="814" t="s">
        <v>1796</v>
      </c>
    </row>
    <row r="143" spans="1:6" ht="15.75" x14ac:dyDescent="0.25">
      <c r="A143" s="2311" t="e">
        <f>#REF!</f>
        <v>#REF!</v>
      </c>
      <c r="B143" s="2312"/>
      <c r="C143" s="1696"/>
      <c r="D143" s="1693" t="s">
        <v>66</v>
      </c>
      <c r="E143" s="1693" t="s">
        <v>65</v>
      </c>
      <c r="F143" s="1693" t="s">
        <v>64</v>
      </c>
    </row>
    <row r="144" spans="1:6" x14ac:dyDescent="0.25">
      <c r="A144" s="132" t="s">
        <v>1755</v>
      </c>
      <c r="B144" s="905" t="s">
        <v>33</v>
      </c>
      <c r="C144" s="1696"/>
      <c r="D144" s="814" t="s">
        <v>1804</v>
      </c>
      <c r="E144" s="1381"/>
      <c r="F144" s="814" t="s">
        <v>1796</v>
      </c>
    </row>
    <row r="145" spans="1:6" x14ac:dyDescent="0.25">
      <c r="A145" s="132" t="s">
        <v>1756</v>
      </c>
      <c r="B145" s="905" t="s">
        <v>34</v>
      </c>
      <c r="C145" s="1696"/>
      <c r="D145" s="814" t="s">
        <v>1804</v>
      </c>
      <c r="E145" s="1381"/>
      <c r="F145" s="814" t="s">
        <v>1796</v>
      </c>
    </row>
    <row r="146" spans="1:6" ht="15.75" x14ac:dyDescent="0.25">
      <c r="A146" s="2311" t="e">
        <f>#REF!</f>
        <v>#REF!</v>
      </c>
      <c r="B146" s="2312"/>
      <c r="C146" s="1696"/>
      <c r="D146" s="1693" t="s">
        <v>66</v>
      </c>
      <c r="E146" s="1693" t="s">
        <v>65</v>
      </c>
      <c r="F146" s="1693" t="s">
        <v>64</v>
      </c>
    </row>
    <row r="147" spans="1:6" x14ac:dyDescent="0.25">
      <c r="A147" s="132" t="s">
        <v>1757</v>
      </c>
      <c r="B147" s="905" t="s">
        <v>33</v>
      </c>
      <c r="C147" s="1696"/>
      <c r="D147" s="1381"/>
      <c r="E147" s="1381"/>
      <c r="F147" s="1381"/>
    </row>
    <row r="148" spans="1:6" x14ac:dyDescent="0.25">
      <c r="A148" s="132" t="s">
        <v>1758</v>
      </c>
      <c r="B148" s="905" t="s">
        <v>34</v>
      </c>
      <c r="C148" s="1696"/>
      <c r="D148" s="1381"/>
      <c r="E148" s="1381"/>
      <c r="F148" s="1381"/>
    </row>
    <row r="149" spans="1:6" ht="15.75" x14ac:dyDescent="0.25">
      <c r="A149" s="2311" t="e">
        <f>#REF!</f>
        <v>#REF!</v>
      </c>
      <c r="B149" s="2312"/>
      <c r="C149" s="1696"/>
      <c r="D149" s="1693" t="s">
        <v>66</v>
      </c>
      <c r="E149" s="1693" t="s">
        <v>65</v>
      </c>
      <c r="F149" s="1693" t="s">
        <v>64</v>
      </c>
    </row>
    <row r="150" spans="1:6" x14ac:dyDescent="0.25">
      <c r="A150" s="132" t="s">
        <v>1759</v>
      </c>
      <c r="B150" s="905" t="s">
        <v>33</v>
      </c>
      <c r="C150" s="1696"/>
      <c r="D150" s="1381"/>
      <c r="E150" s="814" t="s">
        <v>1791</v>
      </c>
      <c r="F150" s="814" t="s">
        <v>1805</v>
      </c>
    </row>
    <row r="151" spans="1:6" x14ac:dyDescent="0.25">
      <c r="A151" s="132" t="s">
        <v>1760</v>
      </c>
      <c r="B151" s="905" t="s">
        <v>34</v>
      </c>
      <c r="C151" s="1696"/>
      <c r="D151" s="1381"/>
      <c r="E151" s="814" t="s">
        <v>1791</v>
      </c>
      <c r="F151" s="814" t="s">
        <v>1806</v>
      </c>
    </row>
    <row r="152" spans="1:6" ht="15.75" x14ac:dyDescent="0.25">
      <c r="A152" s="2311" t="e">
        <f>#REF!</f>
        <v>#REF!</v>
      </c>
      <c r="B152" s="2312"/>
      <c r="C152" s="1696"/>
      <c r="D152" s="1693" t="s">
        <v>66</v>
      </c>
      <c r="E152" s="1693" t="s">
        <v>65</v>
      </c>
      <c r="F152" s="1693" t="s">
        <v>64</v>
      </c>
    </row>
    <row r="153" spans="1:6" x14ac:dyDescent="0.25">
      <c r="A153" s="132" t="s">
        <v>1761</v>
      </c>
      <c r="B153" s="905" t="s">
        <v>33</v>
      </c>
      <c r="C153" s="1696"/>
      <c r="D153" s="1381"/>
      <c r="E153" s="1381"/>
      <c r="F153" s="814" t="s">
        <v>1801</v>
      </c>
    </row>
    <row r="154" spans="1:6" x14ac:dyDescent="0.25">
      <c r="A154" s="132" t="s">
        <v>1762</v>
      </c>
      <c r="B154" s="905" t="s">
        <v>34</v>
      </c>
      <c r="C154" s="1696"/>
      <c r="D154" s="1381"/>
      <c r="E154" s="1381"/>
      <c r="F154" s="814" t="s">
        <v>1807</v>
      </c>
    </row>
    <row r="155" spans="1:6" ht="15.75" x14ac:dyDescent="0.25">
      <c r="A155" s="2311" t="e">
        <f>#REF!</f>
        <v>#REF!</v>
      </c>
      <c r="B155" s="2312"/>
      <c r="C155" s="1696"/>
      <c r="D155" s="1693" t="s">
        <v>66</v>
      </c>
      <c r="E155" s="1693" t="s">
        <v>65</v>
      </c>
      <c r="F155" s="1693" t="s">
        <v>64</v>
      </c>
    </row>
    <row r="156" spans="1:6" x14ac:dyDescent="0.25">
      <c r="A156" s="132" t="s">
        <v>1763</v>
      </c>
      <c r="B156" s="905" t="s">
        <v>33</v>
      </c>
      <c r="C156" s="1696"/>
      <c r="D156" s="814" t="s">
        <v>1808</v>
      </c>
      <c r="E156" s="1381"/>
      <c r="F156" s="814" t="s">
        <v>1805</v>
      </c>
    </row>
    <row r="157" spans="1:6" x14ac:dyDescent="0.25">
      <c r="A157" s="132" t="s">
        <v>1764</v>
      </c>
      <c r="B157" s="905" t="s">
        <v>34</v>
      </c>
      <c r="C157" s="1696"/>
      <c r="D157" s="814" t="s">
        <v>1809</v>
      </c>
      <c r="E157" s="1381"/>
      <c r="F157" s="814" t="s">
        <v>1806</v>
      </c>
    </row>
    <row r="158" spans="1:6" ht="15.75" x14ac:dyDescent="0.25">
      <c r="A158" s="2311" t="e">
        <f>#REF!</f>
        <v>#REF!</v>
      </c>
      <c r="B158" s="2312"/>
      <c r="C158" s="1696"/>
      <c r="D158" s="1693" t="s">
        <v>66</v>
      </c>
      <c r="E158" s="1693" t="s">
        <v>65</v>
      </c>
      <c r="F158" s="1693" t="s">
        <v>64</v>
      </c>
    </row>
    <row r="159" spans="1:6" x14ac:dyDescent="0.25">
      <c r="A159" s="132" t="s">
        <v>1765</v>
      </c>
      <c r="B159" s="905" t="s">
        <v>33</v>
      </c>
      <c r="C159" s="1696"/>
      <c r="D159" s="814" t="s">
        <v>1808</v>
      </c>
      <c r="E159" s="1381"/>
      <c r="F159" s="814" t="s">
        <v>1805</v>
      </c>
    </row>
    <row r="160" spans="1:6" x14ac:dyDescent="0.25">
      <c r="A160" s="132" t="s">
        <v>1766</v>
      </c>
      <c r="B160" s="905" t="s">
        <v>34</v>
      </c>
      <c r="C160" s="1696"/>
      <c r="D160" s="814" t="s">
        <v>1809</v>
      </c>
      <c r="E160" s="1381"/>
      <c r="F160" s="814" t="s">
        <v>1806</v>
      </c>
    </row>
    <row r="161" spans="1:6" ht="15.75" x14ac:dyDescent="0.25">
      <c r="A161" s="2311" t="e">
        <f>#REF!</f>
        <v>#REF!</v>
      </c>
      <c r="B161" s="2312"/>
      <c r="C161" s="1696"/>
      <c r="D161" s="1693" t="s">
        <v>66</v>
      </c>
      <c r="E161" s="1693" t="s">
        <v>65</v>
      </c>
      <c r="F161" s="1693" t="s">
        <v>64</v>
      </c>
    </row>
    <row r="162" spans="1:6" x14ac:dyDescent="0.25">
      <c r="A162" s="132" t="s">
        <v>1767</v>
      </c>
      <c r="B162" s="905" t="s">
        <v>33</v>
      </c>
      <c r="C162" s="1696"/>
      <c r="D162" s="1381"/>
      <c r="E162" s="1381"/>
      <c r="F162" s="814" t="s">
        <v>1805</v>
      </c>
    </row>
    <row r="163" spans="1:6" x14ac:dyDescent="0.25">
      <c r="A163" s="132" t="s">
        <v>1768</v>
      </c>
      <c r="B163" s="905" t="s">
        <v>34</v>
      </c>
      <c r="C163" s="1696"/>
      <c r="D163" s="1381"/>
      <c r="E163" s="1381"/>
      <c r="F163" s="814" t="s">
        <v>1806</v>
      </c>
    </row>
  </sheetData>
  <autoFilter ref="A2:K66" xr:uid="{00000000-0001-0000-4B00-000000000000}"/>
  <customSheetViews>
    <customSheetView guid="{18A094BB-EA3E-4938-9069-21F549B37E23}"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B91A3F61-3B23-46E3-9B55-19B17EB6638A}" state="hidden" topLeftCell="D1">
      <selection activeCell="D2" sqref="D2"/>
      <pageMargins left="0.7" right="0.7" top="0.75" bottom="0.75" header="0.3" footer="0.3"/>
    </customSheetView>
  </customSheetViews>
  <mergeCells count="73">
    <mergeCell ref="A60:A61"/>
    <mergeCell ref="A62:A63"/>
    <mergeCell ref="A64:A65"/>
    <mergeCell ref="A66:A67"/>
    <mergeCell ref="A50:A51"/>
    <mergeCell ref="A52:A53"/>
    <mergeCell ref="A54:A55"/>
    <mergeCell ref="A56:A57"/>
    <mergeCell ref="A58:A59"/>
    <mergeCell ref="C24:C25"/>
    <mergeCell ref="C26:C55"/>
    <mergeCell ref="C56:C67"/>
    <mergeCell ref="A18:A19"/>
    <mergeCell ref="A20:A21"/>
    <mergeCell ref="A22:A23"/>
    <mergeCell ref="A24:A25"/>
    <mergeCell ref="A26:A27"/>
    <mergeCell ref="A28:A29"/>
    <mergeCell ref="A30:A31"/>
    <mergeCell ref="A32:A33"/>
    <mergeCell ref="A34:A35"/>
    <mergeCell ref="A36:A37"/>
    <mergeCell ref="A38:A39"/>
    <mergeCell ref="A40:A41"/>
    <mergeCell ref="A42:A43"/>
    <mergeCell ref="A149:B149"/>
    <mergeCell ref="A152:B152"/>
    <mergeCell ref="A155:B155"/>
    <mergeCell ref="A158:B158"/>
    <mergeCell ref="A161:B161"/>
    <mergeCell ref="A134:B134"/>
    <mergeCell ref="A137:B137"/>
    <mergeCell ref="A140:B140"/>
    <mergeCell ref="A143:B143"/>
    <mergeCell ref="A146:B146"/>
    <mergeCell ref="A119:B119"/>
    <mergeCell ref="A122:B122"/>
    <mergeCell ref="A125:B125"/>
    <mergeCell ref="A128:B128"/>
    <mergeCell ref="A131:B131"/>
    <mergeCell ref="A104:B104"/>
    <mergeCell ref="A107:B107"/>
    <mergeCell ref="A110:B110"/>
    <mergeCell ref="A113:B113"/>
    <mergeCell ref="A116:B116"/>
    <mergeCell ref="A89:B89"/>
    <mergeCell ref="A92:B92"/>
    <mergeCell ref="A95:B95"/>
    <mergeCell ref="A98:B98"/>
    <mergeCell ref="A101:B101"/>
    <mergeCell ref="A74:B74"/>
    <mergeCell ref="A77:B77"/>
    <mergeCell ref="A80:B80"/>
    <mergeCell ref="A83:B83"/>
    <mergeCell ref="A86:B86"/>
    <mergeCell ref="A10:A11"/>
    <mergeCell ref="D1:G1"/>
    <mergeCell ref="C2:C3"/>
    <mergeCell ref="G2:G3"/>
    <mergeCell ref="A6:A7"/>
    <mergeCell ref="A8:A9"/>
    <mergeCell ref="A4:A5"/>
    <mergeCell ref="C4:C7"/>
    <mergeCell ref="C8:C9"/>
    <mergeCell ref="C10:C23"/>
    <mergeCell ref="A44:A45"/>
    <mergeCell ref="A46:A47"/>
    <mergeCell ref="A48:A49"/>
    <mergeCell ref="H1:K1"/>
    <mergeCell ref="K2:K3"/>
    <mergeCell ref="A12:A13"/>
    <mergeCell ref="A14:A15"/>
    <mergeCell ref="A16:A17"/>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79" t="s">
        <v>380</v>
      </c>
      <c r="E1" s="1969"/>
      <c r="F1" s="1969"/>
      <c r="G1" s="1969"/>
      <c r="H1" s="1979" t="s">
        <v>381</v>
      </c>
      <c r="I1" s="1969"/>
      <c r="J1" s="1969"/>
      <c r="K1" s="1969"/>
      <c r="L1" s="1979" t="s">
        <v>384</v>
      </c>
      <c r="M1" s="2313"/>
      <c r="N1" s="2313"/>
      <c r="O1" s="294"/>
      <c r="P1" s="1979" t="s">
        <v>382</v>
      </c>
      <c r="Q1" s="1969"/>
      <c r="R1" s="1969"/>
      <c r="S1" s="1969"/>
    </row>
    <row r="2" spans="1:19" s="118" customFormat="1" ht="47.25" x14ac:dyDescent="0.25">
      <c r="B2" s="119" t="s">
        <v>37</v>
      </c>
      <c r="C2" s="120" t="s">
        <v>35</v>
      </c>
      <c r="D2" s="547" t="s">
        <v>585</v>
      </c>
      <c r="E2" s="548" t="s">
        <v>584</v>
      </c>
      <c r="F2" s="548" t="s">
        <v>536</v>
      </c>
      <c r="G2" s="121" t="s">
        <v>38</v>
      </c>
      <c r="H2" s="547" t="s">
        <v>585</v>
      </c>
      <c r="I2" s="548" t="s">
        <v>584</v>
      </c>
      <c r="J2" s="548" t="s">
        <v>536</v>
      </c>
      <c r="K2" s="121" t="s">
        <v>38</v>
      </c>
      <c r="L2" s="547" t="s">
        <v>585</v>
      </c>
      <c r="M2" s="548" t="s">
        <v>584</v>
      </c>
      <c r="N2" s="548" t="s">
        <v>536</v>
      </c>
      <c r="O2" s="121" t="s">
        <v>38</v>
      </c>
      <c r="P2" s="547" t="s">
        <v>585</v>
      </c>
      <c r="Q2" s="548" t="s">
        <v>584</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4"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15"/>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16"/>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15"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15"/>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17"/>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4"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15"/>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17"/>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14"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15"/>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16"/>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18"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15"/>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16"/>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18"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15"/>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16"/>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18"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15"/>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16"/>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18"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15"/>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16"/>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18"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15"/>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16"/>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18"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15"/>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15"/>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5"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15"/>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15"/>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5"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15"/>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15"/>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71"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71"/>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71"/>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71"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71"/>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71"/>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71"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71"/>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71"/>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71"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71"/>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71"/>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71"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71"/>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71"/>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71"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71"/>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71"/>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71"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71"/>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71"/>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71"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71"/>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71"/>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74"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74"/>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74"/>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71"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71"/>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71"/>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71"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71"/>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71"/>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71"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71"/>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71"/>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71"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71"/>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71"/>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41"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41"/>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41"/>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5"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15"/>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15"/>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71"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71"/>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71"/>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71"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71"/>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71"/>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71"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71"/>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71"/>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71"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71"/>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71"/>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15"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15"/>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17"/>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A91:A93"/>
    <mergeCell ref="A94:A96"/>
    <mergeCell ref="A97:A99"/>
    <mergeCell ref="A100:A102"/>
    <mergeCell ref="A103:A105"/>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79" t="s">
        <v>383</v>
      </c>
      <c r="E1" s="1969"/>
      <c r="F1" s="1969"/>
      <c r="G1" s="1969"/>
      <c r="H1" s="2319" t="s">
        <v>285</v>
      </c>
      <c r="I1" s="1969"/>
      <c r="J1" s="1969"/>
      <c r="K1" s="1969"/>
      <c r="L1" s="1979" t="s">
        <v>286</v>
      </c>
      <c r="M1" s="1969"/>
      <c r="N1" s="1969"/>
      <c r="O1" s="1969"/>
      <c r="P1" s="1979" t="s">
        <v>287</v>
      </c>
      <c r="Q1" s="1969"/>
      <c r="R1" s="1969"/>
      <c r="S1" s="1969"/>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5"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15"/>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16"/>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18"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15"/>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15"/>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4"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15"/>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15"/>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20"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20"/>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21"/>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18"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15"/>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16"/>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18"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15"/>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16"/>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18"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15"/>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16"/>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18"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15"/>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16"/>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18"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15"/>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16"/>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18"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15"/>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15"/>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4"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15"/>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17"/>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4"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15"/>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15"/>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71"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71"/>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71"/>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71"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71"/>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71"/>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71"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71"/>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71"/>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71"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71"/>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71"/>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71"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71"/>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71"/>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71"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71"/>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71"/>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71"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71"/>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71"/>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71"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71"/>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71"/>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74"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74"/>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74"/>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71"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71"/>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71"/>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71"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71"/>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71"/>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71"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71"/>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71"/>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71"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71"/>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71"/>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41"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41"/>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41"/>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5"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15"/>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15"/>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71"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71"/>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71"/>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71"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71"/>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71"/>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71"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71"/>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71"/>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71"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71"/>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71"/>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15"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15"/>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17"/>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 ref="A42:A44"/>
    <mergeCell ref="A45:A47"/>
    <mergeCell ref="A48:A50"/>
    <mergeCell ref="A51:A53"/>
    <mergeCell ref="A54:A5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69" t="str">
        <f>'Служебный АСУТП'!Q2</f>
        <v>vGate</v>
      </c>
      <c r="E1" s="1969"/>
      <c r="F1" s="1969"/>
      <c r="G1" s="1969"/>
      <c r="H1" s="1969" t="str">
        <f>'Служебный АСУТП'!Q3</f>
        <v>Базис.Virtual Security</v>
      </c>
      <c r="I1" s="1969"/>
      <c r="J1" s="1969"/>
      <c r="K1" s="1969"/>
      <c r="L1" s="1969" t="str">
        <f>'Служебный АСУТП'!Q4</f>
        <v>СЗИ ВИ Dallas Lock</v>
      </c>
      <c r="M1" s="1969"/>
      <c r="N1" s="1969"/>
      <c r="O1" s="1969"/>
    </row>
    <row r="2" spans="1:15" ht="15.75" x14ac:dyDescent="0.25">
      <c r="B2" s="41" t="s">
        <v>37</v>
      </c>
      <c r="C2" s="1932" t="s">
        <v>35</v>
      </c>
      <c r="D2" s="684" t="s">
        <v>397</v>
      </c>
      <c r="E2" s="645" t="s">
        <v>575</v>
      </c>
      <c r="F2" s="645" t="s">
        <v>576</v>
      </c>
      <c r="G2" s="1925" t="s">
        <v>38</v>
      </c>
      <c r="H2" s="684" t="s">
        <v>397</v>
      </c>
      <c r="I2" s="645" t="s">
        <v>575</v>
      </c>
      <c r="J2" s="645" t="s">
        <v>576</v>
      </c>
      <c r="K2" s="1925" t="s">
        <v>38</v>
      </c>
      <c r="L2" s="684" t="s">
        <v>397</v>
      </c>
      <c r="M2" s="645" t="s">
        <v>575</v>
      </c>
      <c r="N2" s="645" t="s">
        <v>576</v>
      </c>
      <c r="O2" s="1925" t="s">
        <v>38</v>
      </c>
    </row>
    <row r="3" spans="1:15"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row>
    <row r="4" spans="1:15" ht="16.5" thickBot="1" x14ac:dyDescent="0.3">
      <c r="A4" s="326" t="s">
        <v>448</v>
      </c>
      <c r="B4" s="327"/>
      <c r="C4" s="327"/>
      <c r="D4" s="327"/>
      <c r="E4" s="327"/>
      <c r="F4" s="327"/>
      <c r="G4" s="327"/>
      <c r="H4" s="327"/>
      <c r="I4" s="327"/>
      <c r="J4" s="327"/>
      <c r="K4" s="327"/>
      <c r="L4" s="327"/>
      <c r="M4" s="327"/>
      <c r="N4" s="327"/>
      <c r="O4" s="396"/>
    </row>
    <row r="5" spans="1:15" x14ac:dyDescent="0.25">
      <c r="A5" s="1940"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40"/>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75"/>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40"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40"/>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40"/>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40"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40"/>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40"/>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36"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72"/>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72"/>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72"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72"/>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72"/>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72"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72"/>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72"/>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72"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72"/>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72"/>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72"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72"/>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72"/>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72"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72"/>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72"/>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72"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72"/>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39"/>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12"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912"/>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912"/>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40"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40"/>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40"/>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70"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70"/>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70"/>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70"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70"/>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70"/>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70"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70"/>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70"/>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70"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70"/>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70"/>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70"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70"/>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70"/>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70"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70"/>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70"/>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70"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70"/>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70"/>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70"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70"/>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70"/>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86"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86"/>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86"/>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70"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70"/>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70"/>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70"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70"/>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70"/>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70"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70"/>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70"/>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70"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70"/>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70"/>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87"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87"/>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87"/>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40"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40"/>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40"/>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70"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70"/>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70"/>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70"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70"/>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70"/>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70"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70"/>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70"/>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70"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70"/>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70"/>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912"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912"/>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73"/>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D1:G1"/>
    <mergeCell ref="H1:K1"/>
    <mergeCell ref="L1:O1"/>
    <mergeCell ref="C2:C3"/>
    <mergeCell ref="O2:O3"/>
    <mergeCell ref="G2:G3"/>
    <mergeCell ref="K2:K3"/>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22" t="str">
        <f>'Служебный АСУТП'!AF2</f>
        <v>Vmware</v>
      </c>
      <c r="E1" s="1923"/>
      <c r="F1" s="1923"/>
      <c r="G1" s="1924"/>
      <c r="H1" s="1922" t="str">
        <f>'Служебный АСУТП'!AF3</f>
        <v>Брест</v>
      </c>
      <c r="I1" s="1923"/>
      <c r="J1" s="1923"/>
      <c r="K1" s="1924"/>
      <c r="L1" s="1922" t="str">
        <f>'Служебный АСУТП'!AF4</f>
        <v xml:space="preserve">zVirt </v>
      </c>
      <c r="M1" s="1923"/>
      <c r="N1" s="1923"/>
      <c r="O1" s="1924"/>
      <c r="P1" s="1922" t="str">
        <f>'Служебный АСУТП'!AF5</f>
        <v>РЕД Виртуализация</v>
      </c>
      <c r="Q1" s="1923"/>
      <c r="R1" s="1923"/>
      <c r="S1" s="1924"/>
      <c r="T1" s="1922" t="str">
        <f>'Служебный АСУТП'!AF6</f>
        <v>SpaceVM</v>
      </c>
      <c r="U1" s="1923"/>
      <c r="V1" s="1923"/>
      <c r="W1" s="1924"/>
      <c r="X1" s="1969" t="str">
        <f>'Служебный АСУТП'!AF7</f>
        <v>Горизонт-ВС</v>
      </c>
      <c r="Y1" s="1969"/>
      <c r="Z1" s="1969"/>
      <c r="AA1" s="1969"/>
    </row>
    <row r="2" spans="1:27" ht="15.75" x14ac:dyDescent="0.25">
      <c r="B2" s="41" t="s">
        <v>37</v>
      </c>
      <c r="C2" s="1932" t="s">
        <v>35</v>
      </c>
      <c r="D2" s="718" t="s">
        <v>612</v>
      </c>
      <c r="E2" s="717" t="s">
        <v>613</v>
      </c>
      <c r="F2" s="717" t="s">
        <v>614</v>
      </c>
      <c r="G2" s="1925" t="s">
        <v>38</v>
      </c>
      <c r="H2" s="718" t="s">
        <v>612</v>
      </c>
      <c r="I2" s="717" t="s">
        <v>613</v>
      </c>
      <c r="J2" s="717" t="s">
        <v>614</v>
      </c>
      <c r="K2" s="1925" t="s">
        <v>38</v>
      </c>
      <c r="L2" s="718" t="s">
        <v>612</v>
      </c>
      <c r="M2" s="717" t="s">
        <v>613</v>
      </c>
      <c r="N2" s="717" t="s">
        <v>614</v>
      </c>
      <c r="O2" s="1925" t="s">
        <v>38</v>
      </c>
      <c r="P2" s="718" t="s">
        <v>612</v>
      </c>
      <c r="Q2" s="717" t="s">
        <v>613</v>
      </c>
      <c r="R2" s="717" t="s">
        <v>614</v>
      </c>
      <c r="S2" s="1925" t="s">
        <v>38</v>
      </c>
      <c r="T2" s="718" t="s">
        <v>612</v>
      </c>
      <c r="U2" s="717" t="s">
        <v>613</v>
      </c>
      <c r="V2" s="717" t="s">
        <v>614</v>
      </c>
      <c r="W2" s="1925" t="s">
        <v>38</v>
      </c>
      <c r="X2" s="718" t="s">
        <v>612</v>
      </c>
      <c r="Y2" s="717" t="s">
        <v>613</v>
      </c>
      <c r="Z2" s="717" t="s">
        <v>614</v>
      </c>
      <c r="AA2" s="1925" t="s">
        <v>38</v>
      </c>
    </row>
    <row r="3" spans="1:27" ht="16.5" thickBot="1" x14ac:dyDescent="0.3">
      <c r="A3" s="12" t="s">
        <v>36</v>
      </c>
      <c r="B3" s="768">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c r="P3" s="37">
        <f>INDEX(ТрЗ_ОП!$P$11:$P$102,MATCH(P2,ТрЗ_ОП!$O$11:$O$102,0))</f>
        <v>0</v>
      </c>
      <c r="Q3" s="37">
        <f>INDEX(ТрЗ_ОП!$P$11:$P$102,MATCH(Q2,ТрЗ_ОП!$O$11:$O$102,0))</f>
        <v>0</v>
      </c>
      <c r="R3" s="37">
        <f>INDEX(ТрЗ_ОП!$P$11:$P$102,MATCH(R2,ТрЗ_ОП!$O$11:$O$102,0))</f>
        <v>0</v>
      </c>
      <c r="S3" s="1925"/>
      <c r="T3" s="37">
        <f>INDEX(ТрЗ_ОП!$P$11:$P$102,MATCH(T2,ТрЗ_ОП!$O$11:$O$102,0))</f>
        <v>0</v>
      </c>
      <c r="U3" s="37">
        <f>INDEX(ТрЗ_ОП!$P$11:$P$102,MATCH(U2,ТрЗ_ОП!$O$11:$O$102,0))</f>
        <v>0</v>
      </c>
      <c r="V3" s="37">
        <f>INDEX(ТрЗ_ОП!$P$11:$P$102,MATCH(V2,ТрЗ_ОП!$O$11:$O$102,0))</f>
        <v>0</v>
      </c>
      <c r="W3" s="1925"/>
      <c r="X3" s="37">
        <f>INDEX(ТрЗ_ОП!$P$11:$P$102,MATCH(X2,ТрЗ_ОП!$O$11:$O$102,0))</f>
        <v>0</v>
      </c>
      <c r="Y3" s="37">
        <f>INDEX(ТрЗ_ОП!$P$11:$P$102,MATCH(Y2,ТрЗ_ОП!$O$11:$O$102,0))</f>
        <v>0</v>
      </c>
      <c r="Z3" s="37">
        <f>INDEX(ТрЗ_ОП!$P$11:$P$102,MATCH(Z2,ТрЗ_ОП!$O$11:$O$102,0))</f>
        <v>0</v>
      </c>
      <c r="AA3" s="1925"/>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40"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40"/>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75"/>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40"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40"/>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40"/>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40"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40"/>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40"/>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36"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72"/>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72"/>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72"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72"/>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72"/>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72"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72"/>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72"/>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72"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72"/>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72"/>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72"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72"/>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72"/>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72"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72"/>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72"/>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72"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72"/>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39"/>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912"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912"/>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912"/>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40"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40"/>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40"/>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70"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70"/>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70"/>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70"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70"/>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70"/>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70"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70"/>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70"/>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70"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70"/>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70"/>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70"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70"/>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70"/>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70"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70"/>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70"/>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70"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70"/>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70"/>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70"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70"/>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70"/>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86"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86"/>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86"/>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70"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70"/>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70"/>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70"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70"/>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70"/>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70"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70"/>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70"/>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70"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70"/>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70"/>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87"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87"/>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87"/>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40"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40"/>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40"/>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70"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70"/>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70"/>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70"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70"/>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70"/>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70"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70"/>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70"/>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70"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70"/>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70"/>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912"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912"/>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73"/>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A91:A93"/>
    <mergeCell ref="A94:A96"/>
    <mergeCell ref="A97:A99"/>
    <mergeCell ref="A100:A102"/>
    <mergeCell ref="A103:A105"/>
    <mergeCell ref="A88:A90"/>
    <mergeCell ref="A54:A56"/>
    <mergeCell ref="A57:A59"/>
    <mergeCell ref="A60:A62"/>
    <mergeCell ref="A63:A65"/>
    <mergeCell ref="A66:A68"/>
    <mergeCell ref="A69:A71"/>
    <mergeCell ref="A72:A74"/>
    <mergeCell ref="A75:A77"/>
    <mergeCell ref="A78:A80"/>
    <mergeCell ref="A81:A83"/>
    <mergeCell ref="A84:A86"/>
    <mergeCell ref="A51:A53"/>
    <mergeCell ref="A16:A18"/>
    <mergeCell ref="A19:A21"/>
    <mergeCell ref="A22:A24"/>
    <mergeCell ref="A25:A27"/>
    <mergeCell ref="A28:A30"/>
    <mergeCell ref="A31:A33"/>
    <mergeCell ref="A34:A36"/>
    <mergeCell ref="A38:A40"/>
    <mergeCell ref="A42:A44"/>
    <mergeCell ref="A45:A47"/>
    <mergeCell ref="A48:A50"/>
    <mergeCell ref="A5:A7"/>
    <mergeCell ref="A8:A10"/>
    <mergeCell ref="A12:A14"/>
    <mergeCell ref="C2:C3"/>
    <mergeCell ref="G2:G3"/>
    <mergeCell ref="K2:K3"/>
    <mergeCell ref="O2:O3"/>
    <mergeCell ref="S2:S3"/>
    <mergeCell ref="W2:W3"/>
    <mergeCell ref="AA2:AA3"/>
    <mergeCell ref="X1:AA1"/>
    <mergeCell ref="D1:G1"/>
    <mergeCell ref="H1:K1"/>
    <mergeCell ref="L1:O1"/>
    <mergeCell ref="P1:S1"/>
    <mergeCell ref="T1:W1"/>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22" t="str">
        <f>'Служебный АСУТП'!I2</f>
        <v>Vipnet Coordinator HW</v>
      </c>
      <c r="E1" s="1923"/>
      <c r="F1" s="1923"/>
      <c r="G1" s="1924"/>
      <c r="H1" s="1922" t="str">
        <f>'Служебный АСУТП'!I3</f>
        <v>Vipnet Coordinator IG</v>
      </c>
      <c r="I1" s="1923"/>
      <c r="J1" s="1923"/>
      <c r="K1" s="1924"/>
      <c r="L1" s="1922" t="str">
        <f>'Служебный АСУТП'!I4</f>
        <v>C-TERRA ШЛЮЗ</v>
      </c>
      <c r="M1" s="1923"/>
      <c r="N1" s="1923"/>
      <c r="O1" s="1924"/>
      <c r="P1" s="1922" t="str">
        <f>'Служебный АСУТП'!I5</f>
        <v>АПКШ Континент</v>
      </c>
      <c r="Q1" s="1923"/>
      <c r="R1" s="1923"/>
      <c r="S1" s="1924"/>
      <c r="T1" s="1922" t="str">
        <f>'Служебный АСУТП'!I6</f>
        <v>ЗАСТАВА</v>
      </c>
      <c r="U1" s="1923"/>
      <c r="V1" s="1923"/>
      <c r="W1" s="1924"/>
    </row>
    <row r="2" spans="1:23" ht="31.5" customHeight="1" x14ac:dyDescent="0.25">
      <c r="B2" s="41" t="s">
        <v>37</v>
      </c>
      <c r="C2" s="1932" t="s">
        <v>35</v>
      </c>
      <c r="D2" s="434" t="s">
        <v>204</v>
      </c>
      <c r="E2" s="438" t="s">
        <v>93</v>
      </c>
      <c r="F2" s="438" t="s">
        <v>205</v>
      </c>
      <c r="G2" s="1925" t="s">
        <v>38</v>
      </c>
      <c r="H2" s="547" t="s">
        <v>204</v>
      </c>
      <c r="I2" s="548" t="s">
        <v>93</v>
      </c>
      <c r="J2" s="548" t="s">
        <v>205</v>
      </c>
      <c r="K2" s="1925" t="s">
        <v>38</v>
      </c>
      <c r="L2" s="547" t="s">
        <v>204</v>
      </c>
      <c r="M2" s="548" t="s">
        <v>93</v>
      </c>
      <c r="N2" s="548" t="s">
        <v>205</v>
      </c>
      <c r="O2" s="1925" t="s">
        <v>38</v>
      </c>
      <c r="P2" s="547" t="s">
        <v>204</v>
      </c>
      <c r="Q2" s="548" t="s">
        <v>93</v>
      </c>
      <c r="R2" s="548" t="s">
        <v>205</v>
      </c>
      <c r="S2" s="1925" t="s">
        <v>38</v>
      </c>
      <c r="T2" s="547" t="s">
        <v>204</v>
      </c>
      <c r="U2" s="548" t="s">
        <v>93</v>
      </c>
      <c r="V2" s="548" t="s">
        <v>205</v>
      </c>
      <c r="W2" s="1925" t="s">
        <v>38</v>
      </c>
    </row>
    <row r="3" spans="1:23" ht="16.5" thickBot="1" x14ac:dyDescent="0.3">
      <c r="A3" s="12" t="s">
        <v>36</v>
      </c>
      <c r="B3" s="42">
        <f>ТрЗ_ОП!F5</f>
        <v>1</v>
      </c>
      <c r="C3" s="2322"/>
      <c r="D3" s="37">
        <f>INDEX(ТрЗ_ОП!$P$11:$P$102,MATCH(D2,ТрЗ_ОП!$O$11:$O$102,0))</f>
        <v>0</v>
      </c>
      <c r="E3" s="37">
        <f>INDEX(ТрЗ_ОП!$P$11:$P$102,MATCH(E2,ТрЗ_ОП!$O$11:$O$102,0))</f>
        <v>0</v>
      </c>
      <c r="F3" s="37">
        <f>INDEX(ТрЗ_ОП!$P$11:$P$102,MATCH(F2,ТрЗ_ОП!$O$11:$O$102,0))</f>
        <v>0</v>
      </c>
      <c r="G3" s="1976"/>
      <c r="H3" s="37">
        <f>INDEX(ТрЗ_ОП!$P$11:$P$102,MATCH(H2,ТрЗ_ОП!$O$11:$O$102,0))</f>
        <v>0</v>
      </c>
      <c r="I3" s="37">
        <f>INDEX(ТрЗ_ОП!$P$11:$P$102,MATCH(I2,ТрЗ_ОП!$O$11:$O$102,0))</f>
        <v>0</v>
      </c>
      <c r="J3" s="37">
        <f>INDEX(ТрЗ_ОП!$P$11:$P$102,MATCH(J2,ТрЗ_ОП!$O$11:$O$102,0))</f>
        <v>0</v>
      </c>
      <c r="K3" s="1976"/>
      <c r="L3" s="37">
        <f>INDEX(ТрЗ_ОП!$P$11:$P$102,MATCH(L2,ТрЗ_ОП!$O$11:$O$102,0))</f>
        <v>0</v>
      </c>
      <c r="M3" s="37">
        <f>INDEX(ТрЗ_ОП!$P$11:$P$102,MATCH(M2,ТрЗ_ОП!$O$11:$O$102,0))</f>
        <v>0</v>
      </c>
      <c r="N3" s="37">
        <f>INDEX(ТрЗ_ОП!$P$11:$P$102,MATCH(N2,ТрЗ_ОП!$O$11:$O$102,0))</f>
        <v>0</v>
      </c>
      <c r="O3" s="1976"/>
      <c r="P3" s="37">
        <f>INDEX(ТрЗ_ОП!$P$11:$P$102,MATCH(P2,ТрЗ_ОП!$O$11:$O$102,0))</f>
        <v>0</v>
      </c>
      <c r="Q3" s="37">
        <f>INDEX(ТрЗ_ОП!$P$11:$P$102,MATCH(Q2,ТрЗ_ОП!$O$11:$O$102,0))</f>
        <v>0</v>
      </c>
      <c r="R3" s="37">
        <f>INDEX(ТрЗ_ОП!$P$11:$P$102,MATCH(R2,ТрЗ_ОП!$O$11:$O$102,0))</f>
        <v>0</v>
      </c>
      <c r="S3" s="1976"/>
      <c r="T3" s="37">
        <f>INDEX(ТрЗ_ОП!$P$11:$P$102,MATCH(T2,ТрЗ_ОП!$O$11:$O$102,0))</f>
        <v>0</v>
      </c>
      <c r="U3" s="37">
        <f>INDEX(ТрЗ_ОП!$P$11:$P$102,MATCH(U2,ТрЗ_ОП!$O$11:$O$102,0))</f>
        <v>0</v>
      </c>
      <c r="V3" s="37">
        <f>INDEX(ТрЗ_ОП!$P$11:$P$102,MATCH(V2,ТрЗ_ОП!$O$11:$O$102,0))</f>
        <v>0</v>
      </c>
      <c r="W3" s="1976"/>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37"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40"/>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75"/>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40"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40"/>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40"/>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40"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40"/>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40"/>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36"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72"/>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72"/>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72"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72"/>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72"/>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72"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72"/>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72"/>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72"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72"/>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72"/>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72"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72"/>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72"/>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72"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72"/>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72"/>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72"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72"/>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39"/>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40"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40"/>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40"/>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40"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40"/>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40"/>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71"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71"/>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71"/>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71"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71"/>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71"/>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71"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71"/>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71"/>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71"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71"/>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71"/>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71"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71"/>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71"/>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71"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71"/>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71"/>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71"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71"/>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71"/>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74"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74"/>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74"/>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71"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71"/>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71"/>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71"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71"/>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71"/>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71"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71"/>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71"/>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71"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71"/>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71"/>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71"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71"/>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71"/>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41"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41"/>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41"/>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40"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40"/>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40"/>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70"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70"/>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70"/>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70"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70"/>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70"/>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70"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70"/>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70"/>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70"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70"/>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70"/>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912"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912"/>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73"/>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18A094BB-EA3E-4938-9069-21F549B37E23}"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B91A3F61-3B23-46E3-9B55-19B17EB6638A}" state="hidden" topLeftCell="B1">
      <pageMargins left="0.7" right="0.7" top="0.75" bottom="0.75" header="0.3" footer="0.3"/>
    </customSheetView>
  </customSheetViews>
  <mergeCells count="43">
    <mergeCell ref="A16:A18"/>
    <mergeCell ref="D1:G1"/>
    <mergeCell ref="C2:C3"/>
    <mergeCell ref="G2:G3"/>
    <mergeCell ref="A8:A10"/>
    <mergeCell ref="A12:A14"/>
    <mergeCell ref="A5:A7"/>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54:A56"/>
    <mergeCell ref="A19:A21"/>
    <mergeCell ref="A22:A24"/>
    <mergeCell ref="A25:A27"/>
    <mergeCell ref="A28:A30"/>
    <mergeCell ref="A31:A33"/>
    <mergeCell ref="A34:A36"/>
    <mergeCell ref="A38:A40"/>
    <mergeCell ref="A42:A44"/>
    <mergeCell ref="A45:A47"/>
    <mergeCell ref="A48:A50"/>
    <mergeCell ref="A51:A53"/>
    <mergeCell ref="K2:K3"/>
    <mergeCell ref="H1:K1"/>
    <mergeCell ref="T1:W1"/>
    <mergeCell ref="W2:W3"/>
    <mergeCell ref="L1:O1"/>
    <mergeCell ref="O2:O3"/>
    <mergeCell ref="P1:S1"/>
    <mergeCell ref="S2:S3"/>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22" t="str">
        <f>'Служебный АСУТП'!S2</f>
        <v>Базис.WorkPlace</v>
      </c>
      <c r="E1" s="1923"/>
      <c r="F1" s="1923"/>
      <c r="G1" s="1924"/>
      <c r="H1" s="1979" t="str">
        <f>'Служебный АСУТП'!S3</f>
        <v>Termidesk VDI</v>
      </c>
      <c r="I1" s="1969"/>
      <c r="J1" s="1969"/>
      <c r="K1" s="1969"/>
      <c r="L1" s="1969" t="str">
        <f>'Служебный АСУТП'!S4</f>
        <v>Space VDI</v>
      </c>
      <c r="M1" s="1969"/>
      <c r="N1" s="1969"/>
      <c r="O1" s="1969"/>
      <c r="P1" s="1969" t="str">
        <f>'Служебный АСУТП'!S5</f>
        <v>Горизонт-ВС VDI</v>
      </c>
      <c r="Q1" s="1969"/>
      <c r="R1" s="1969"/>
      <c r="S1" s="1969"/>
      <c r="T1" s="1969" t="str">
        <f>'Служебный АСУТП'!S6</f>
        <v>РУСТЭК.VDI</v>
      </c>
      <c r="U1" s="1969"/>
      <c r="V1" s="1969"/>
      <c r="W1" s="1969"/>
    </row>
    <row r="2" spans="1:23" ht="15.75" x14ac:dyDescent="0.25">
      <c r="B2" s="41" t="s">
        <v>37</v>
      </c>
      <c r="C2" s="1932" t="s">
        <v>35</v>
      </c>
      <c r="D2" s="684" t="s">
        <v>579</v>
      </c>
      <c r="E2" s="645" t="s">
        <v>577</v>
      </c>
      <c r="F2" s="645" t="s">
        <v>578</v>
      </c>
      <c r="G2" s="1925" t="s">
        <v>38</v>
      </c>
      <c r="H2" s="684" t="s">
        <v>579</v>
      </c>
      <c r="I2" s="645" t="s">
        <v>577</v>
      </c>
      <c r="J2" s="645" t="s">
        <v>578</v>
      </c>
      <c r="K2" s="1925" t="s">
        <v>38</v>
      </c>
      <c r="L2" s="684" t="s">
        <v>579</v>
      </c>
      <c r="M2" s="645" t="s">
        <v>577</v>
      </c>
      <c r="N2" s="645" t="s">
        <v>578</v>
      </c>
      <c r="O2" s="1925" t="s">
        <v>38</v>
      </c>
      <c r="P2" s="684" t="s">
        <v>579</v>
      </c>
      <c r="Q2" s="645" t="s">
        <v>577</v>
      </c>
      <c r="R2" s="645" t="s">
        <v>578</v>
      </c>
      <c r="S2" s="1925" t="s">
        <v>38</v>
      </c>
      <c r="T2" s="684" t="s">
        <v>579</v>
      </c>
      <c r="U2" s="645" t="s">
        <v>577</v>
      </c>
      <c r="V2" s="645" t="s">
        <v>578</v>
      </c>
      <c r="W2" s="1925" t="s">
        <v>38</v>
      </c>
    </row>
    <row r="3" spans="1:23"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c r="P3" s="37">
        <f>INDEX(ТрЗ_ОП!$P$11:$P$102,MATCH(P2,ТрЗ_ОП!$O$11:$O$102,0))</f>
        <v>0</v>
      </c>
      <c r="Q3" s="37">
        <f>INDEX(ТрЗ_ОП!$P$11:$P$102,MATCH(Q2,ТрЗ_ОП!$O$11:$O$102,0))</f>
        <v>0</v>
      </c>
      <c r="R3" s="37">
        <f>INDEX(ТрЗ_ОП!$P$11:$P$102,MATCH(R2,ТрЗ_ОП!$O$11:$O$102,0))</f>
        <v>0</v>
      </c>
      <c r="S3" s="1925"/>
      <c r="T3" s="37">
        <f>INDEX(ТрЗ_ОП!$P$11:$P$102,MATCH(T2,ТрЗ_ОП!$O$11:$O$102,0))</f>
        <v>0</v>
      </c>
      <c r="U3" s="37">
        <f>INDEX(ТрЗ_ОП!$P$11:$P$102,MATCH(U2,ТрЗ_ОП!$O$11:$O$102,0))</f>
        <v>0</v>
      </c>
      <c r="V3" s="37">
        <f>INDEX(ТрЗ_ОП!$P$11:$P$102,MATCH(V2,ТрЗ_ОП!$O$11:$O$102,0))</f>
        <v>0</v>
      </c>
      <c r="W3" s="1925"/>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40"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40"/>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75"/>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40"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40"/>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40"/>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40"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40"/>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40"/>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36"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72"/>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72"/>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72"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72"/>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72"/>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72"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72"/>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72"/>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72"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72"/>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72"/>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72"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72"/>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72"/>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72"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72"/>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72"/>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72"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72"/>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39"/>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912"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912"/>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912"/>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912"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912"/>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912"/>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70"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70"/>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70"/>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70"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70"/>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70"/>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70"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70"/>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70"/>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70"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70"/>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70"/>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70"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70"/>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70"/>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70"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70"/>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70"/>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70"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70"/>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70"/>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70"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70"/>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70"/>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86"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86"/>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86"/>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70"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70"/>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70"/>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70"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70"/>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70"/>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70"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70"/>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70"/>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70"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70"/>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70"/>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87"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87"/>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87"/>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912"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912"/>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912"/>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70"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70"/>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70"/>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70"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70"/>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70"/>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70"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70"/>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70"/>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70"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70"/>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70"/>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912"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912"/>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73"/>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 ref="A8:A10"/>
    <mergeCell ref="A12:A14"/>
    <mergeCell ref="A16:A18"/>
    <mergeCell ref="A19:A21"/>
    <mergeCell ref="A5:A7"/>
    <mergeCell ref="A60:A62"/>
    <mergeCell ref="A25:A27"/>
    <mergeCell ref="A28:A30"/>
    <mergeCell ref="A31:A33"/>
    <mergeCell ref="A34:A36"/>
    <mergeCell ref="A38:A40"/>
    <mergeCell ref="A42:A44"/>
    <mergeCell ref="A45:A47"/>
    <mergeCell ref="A48:A50"/>
    <mergeCell ref="A51:A53"/>
    <mergeCell ref="A54:A56"/>
    <mergeCell ref="A57:A59"/>
    <mergeCell ref="A94:A96"/>
    <mergeCell ref="A97:A99"/>
    <mergeCell ref="A100:A102"/>
    <mergeCell ref="A103:A105"/>
    <mergeCell ref="A75:A77"/>
    <mergeCell ref="A78:A80"/>
    <mergeCell ref="A81:A83"/>
    <mergeCell ref="A84:A86"/>
    <mergeCell ref="A88:A90"/>
    <mergeCell ref="A91:A93"/>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645</v>
      </c>
      <c r="O1" t="s">
        <v>535</v>
      </c>
      <c r="P1" t="s">
        <v>532</v>
      </c>
      <c r="Q1" t="s">
        <v>110</v>
      </c>
      <c r="R1" t="s">
        <v>394</v>
      </c>
      <c r="S1" t="s">
        <v>398</v>
      </c>
      <c r="T1" t="s">
        <v>618</v>
      </c>
      <c r="U1" t="s">
        <v>399</v>
      </c>
      <c r="V1" t="s">
        <v>400</v>
      </c>
      <c r="W1" t="s">
        <v>401</v>
      </c>
      <c r="X1" t="s">
        <v>402</v>
      </c>
      <c r="Y1" t="s">
        <v>403</v>
      </c>
      <c r="Z1" t="s">
        <v>404</v>
      </c>
      <c r="AA1" t="s">
        <v>405</v>
      </c>
      <c r="AB1" t="s">
        <v>406</v>
      </c>
      <c r="AC1" t="s">
        <v>407</v>
      </c>
      <c r="AD1" t="s">
        <v>408</v>
      </c>
      <c r="AE1" t="s">
        <v>100</v>
      </c>
      <c r="AF1" t="s">
        <v>602</v>
      </c>
      <c r="AG1" t="s">
        <v>603</v>
      </c>
      <c r="AH1" t="s">
        <v>604</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817</v>
      </c>
      <c r="S2" t="s">
        <v>409</v>
      </c>
      <c r="T2" t="s">
        <v>414</v>
      </c>
      <c r="U2" t="s">
        <v>418</v>
      </c>
      <c r="V2" t="s">
        <v>420</v>
      </c>
      <c r="W2" t="s">
        <v>422</v>
      </c>
      <c r="X2" t="s">
        <v>1845</v>
      </c>
      <c r="Y2" t="s">
        <v>425</v>
      </c>
      <c r="Z2" t="s">
        <v>429</v>
      </c>
      <c r="AA2" t="s">
        <v>430</v>
      </c>
      <c r="AB2" t="s">
        <v>433</v>
      </c>
      <c r="AC2" t="s">
        <v>434</v>
      </c>
      <c r="AD2" t="s">
        <v>436</v>
      </c>
      <c r="AE2" t="s">
        <v>538</v>
      </c>
      <c r="AF2" t="s">
        <v>385</v>
      </c>
      <c r="AG2" t="s">
        <v>605</v>
      </c>
      <c r="AH2" t="s">
        <v>607</v>
      </c>
      <c r="AI2" s="108" t="s">
        <v>566</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1828</v>
      </c>
      <c r="S3" t="s">
        <v>410</v>
      </c>
      <c r="T3" t="s">
        <v>415</v>
      </c>
      <c r="U3" t="s">
        <v>419</v>
      </c>
      <c r="V3" t="s">
        <v>421</v>
      </c>
      <c r="W3" t="s">
        <v>423</v>
      </c>
      <c r="Y3" t="s">
        <v>426</v>
      </c>
      <c r="AA3" t="s">
        <v>431</v>
      </c>
      <c r="AB3" s="118"/>
      <c r="AC3" s="118" t="s">
        <v>435</v>
      </c>
      <c r="AD3" s="118" t="s">
        <v>437</v>
      </c>
      <c r="AE3" s="118" t="s">
        <v>537</v>
      </c>
      <c r="AF3" t="s">
        <v>386</v>
      </c>
      <c r="AG3" t="s">
        <v>606</v>
      </c>
      <c r="AH3" s="118" t="s">
        <v>608</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22" t="s">
        <v>1829</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700</v>
      </c>
    </row>
    <row r="28" spans="3:5" x14ac:dyDescent="0.25">
      <c r="C28" s="884" t="s">
        <v>629</v>
      </c>
      <c r="D28" s="403">
        <v>1</v>
      </c>
    </row>
    <row r="29" spans="3:5" x14ac:dyDescent="0.25">
      <c r="C29" s="884" t="s">
        <v>630</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631</v>
      </c>
      <c r="D33" s="403">
        <v>1</v>
      </c>
    </row>
    <row r="34" spans="3:4" x14ac:dyDescent="0.25">
      <c r="C34" s="884" t="s">
        <v>630</v>
      </c>
      <c r="D34" s="403">
        <v>2</v>
      </c>
    </row>
    <row r="35" spans="3:4" ht="45.75" thickBot="1" x14ac:dyDescent="0.3">
      <c r="C35" s="885" t="s">
        <v>338</v>
      </c>
      <c r="D35" s="886">
        <v>3</v>
      </c>
    </row>
    <row r="36" spans="3:4" ht="15.75" thickBot="1" x14ac:dyDescent="0.3"/>
    <row r="37" spans="3:4" ht="30" x14ac:dyDescent="0.25">
      <c r="C37" s="888" t="s">
        <v>633</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671</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636</v>
      </c>
      <c r="D47" s="517"/>
    </row>
    <row r="48" spans="3:4" x14ac:dyDescent="0.25">
      <c r="C48" s="884" t="s">
        <v>642</v>
      </c>
      <c r="D48" s="403">
        <v>1</v>
      </c>
    </row>
    <row r="49" spans="3:4" x14ac:dyDescent="0.25">
      <c r="C49" s="884" t="s">
        <v>643</v>
      </c>
      <c r="D49" s="403">
        <v>2</v>
      </c>
    </row>
    <row r="50" spans="3:4" x14ac:dyDescent="0.25">
      <c r="C50" s="884" t="s">
        <v>644</v>
      </c>
      <c r="D50" s="403">
        <v>3</v>
      </c>
    </row>
    <row r="51" spans="3:4" ht="15.75" thickBot="1" x14ac:dyDescent="0.3">
      <c r="C51" s="885"/>
      <c r="D51" s="886"/>
    </row>
    <row r="52" spans="3:4" ht="15.75" thickBot="1" x14ac:dyDescent="0.3"/>
    <row r="53" spans="3:4" x14ac:dyDescent="0.25">
      <c r="C53" s="888" t="s">
        <v>637</v>
      </c>
      <c r="D53" s="517"/>
    </row>
    <row r="54" spans="3:4" x14ac:dyDescent="0.25">
      <c r="C54" s="884" t="s">
        <v>647</v>
      </c>
      <c r="D54" s="403">
        <v>1</v>
      </c>
    </row>
    <row r="55" spans="3:4" x14ac:dyDescent="0.25">
      <c r="C55" s="884" t="s">
        <v>648</v>
      </c>
      <c r="D55" s="403">
        <v>2</v>
      </c>
    </row>
    <row r="56" spans="3:4" x14ac:dyDescent="0.25">
      <c r="C56" s="884" t="s">
        <v>649</v>
      </c>
      <c r="D56" s="403">
        <v>3</v>
      </c>
    </row>
    <row r="57" spans="3:4" ht="15.75" thickBot="1" x14ac:dyDescent="0.3">
      <c r="C57" s="885" t="s">
        <v>650</v>
      </c>
      <c r="D57" s="886">
        <v>4</v>
      </c>
    </row>
    <row r="58" spans="3:4" ht="15.75" thickBot="1" x14ac:dyDescent="0.3"/>
    <row r="59" spans="3:4" x14ac:dyDescent="0.25">
      <c r="C59" s="888" t="s">
        <v>638</v>
      </c>
      <c r="D59" s="517"/>
    </row>
    <row r="60" spans="3:4" x14ac:dyDescent="0.25">
      <c r="C60" s="884" t="s">
        <v>651</v>
      </c>
      <c r="D60" s="403">
        <v>1</v>
      </c>
    </row>
    <row r="61" spans="3:4" x14ac:dyDescent="0.25">
      <c r="C61" s="884" t="s">
        <v>652</v>
      </c>
      <c r="D61" s="403">
        <v>2</v>
      </c>
    </row>
    <row r="62" spans="3:4" x14ac:dyDescent="0.25">
      <c r="C62" s="884" t="s">
        <v>653</v>
      </c>
      <c r="D62" s="403">
        <v>3</v>
      </c>
    </row>
    <row r="63" spans="3:4" ht="15.75" thickBot="1" x14ac:dyDescent="0.3">
      <c r="C63" s="885"/>
      <c r="D63" s="886"/>
    </row>
    <row r="64" spans="3:4" ht="15.75" thickBot="1" x14ac:dyDescent="0.3"/>
    <row r="65" spans="3:4" ht="30" x14ac:dyDescent="0.25">
      <c r="C65" s="888" t="s">
        <v>1678</v>
      </c>
      <c r="D65" s="517"/>
    </row>
    <row r="66" spans="3:4" x14ac:dyDescent="0.25">
      <c r="C66" s="884" t="s">
        <v>1679</v>
      </c>
      <c r="D66" s="403">
        <v>1</v>
      </c>
    </row>
    <row r="67" spans="3:4" x14ac:dyDescent="0.25">
      <c r="C67" s="884" t="s">
        <v>1680</v>
      </c>
      <c r="D67" s="403">
        <v>2</v>
      </c>
    </row>
    <row r="68" spans="3:4" x14ac:dyDescent="0.25">
      <c r="C68" s="884" t="s">
        <v>1681</v>
      </c>
      <c r="D68" s="403">
        <v>3</v>
      </c>
    </row>
    <row r="69" spans="3:4" ht="15.75" thickBot="1" x14ac:dyDescent="0.3">
      <c r="C69" s="885"/>
      <c r="D69" s="886"/>
    </row>
  </sheetData>
  <customSheetViews>
    <customSheetView guid="{18A094BB-EA3E-4938-9069-21F549B37E23}"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B91A3F61-3B23-46E3-9B55-19B17EB6638A}" state="hidden" topLeftCell="C1">
      <pageMargins left="0.7" right="0.7" top="0.75" bottom="0.75" header="0.3" footer="0.3"/>
    </customSheetView>
  </customSheetView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zoomScale="70" zoomScaleNormal="70" workbookViewId="0">
      <selection activeCell="H19" sqref="H19"/>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22" t="str">
        <f>'Служебный АСУТП'!T2</f>
        <v xml:space="preserve">PGSQL Pro </v>
      </c>
      <c r="E1" s="1923"/>
      <c r="F1" s="1923"/>
      <c r="G1" s="1924"/>
      <c r="H1" s="1922" t="str">
        <f>'Служебный АСУТП'!T3</f>
        <v xml:space="preserve">СУБД ЛИНТЕР БАСТИОН </v>
      </c>
      <c r="I1" s="1923"/>
      <c r="J1" s="1923"/>
      <c r="K1" s="1924"/>
    </row>
    <row r="2" spans="1:11" ht="15.75" x14ac:dyDescent="0.25">
      <c r="B2" s="41" t="s">
        <v>37</v>
      </c>
      <c r="C2" s="1932" t="s">
        <v>35</v>
      </c>
      <c r="D2" s="439" t="s">
        <v>617</v>
      </c>
      <c r="E2" s="718" t="s">
        <v>617</v>
      </c>
      <c r="F2" s="718" t="s">
        <v>617</v>
      </c>
      <c r="G2" s="1925" t="s">
        <v>38</v>
      </c>
      <c r="H2" s="718" t="s">
        <v>617</v>
      </c>
      <c r="I2" s="718" t="s">
        <v>617</v>
      </c>
      <c r="J2" s="718" t="s">
        <v>617</v>
      </c>
      <c r="K2" s="1925" t="s">
        <v>38</v>
      </c>
    </row>
    <row r="3" spans="1:11"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row>
    <row r="4" spans="1:11" ht="16.5" thickBot="1" x14ac:dyDescent="0.3">
      <c r="A4" s="326" t="s">
        <v>448</v>
      </c>
      <c r="B4" s="327"/>
      <c r="C4" s="327"/>
      <c r="D4" s="327"/>
      <c r="E4" s="327"/>
      <c r="F4" s="327"/>
      <c r="G4" s="327"/>
      <c r="H4" s="327"/>
      <c r="I4" s="327"/>
      <c r="J4" s="327"/>
      <c r="K4" s="327"/>
    </row>
    <row r="5" spans="1:11" x14ac:dyDescent="0.25">
      <c r="A5" s="1940" t="s">
        <v>0</v>
      </c>
      <c r="B5" s="1697" t="s">
        <v>32</v>
      </c>
      <c r="C5" s="1698"/>
      <c r="D5" s="1699">
        <v>1</v>
      </c>
      <c r="E5" s="1699">
        <v>0</v>
      </c>
      <c r="F5" s="1699">
        <v>0</v>
      </c>
      <c r="G5" s="1701">
        <f xml:space="preserve"> SUM(D5:F5) + $C5</f>
        <v>1</v>
      </c>
      <c r="H5" s="1699">
        <v>1</v>
      </c>
      <c r="I5" s="1699">
        <v>0</v>
      </c>
      <c r="J5" s="1699">
        <v>0</v>
      </c>
      <c r="K5" s="1701">
        <f t="shared" ref="K5:K10" si="0" xml:space="preserve"> SUM(H5:J5) + $C5</f>
        <v>1</v>
      </c>
    </row>
    <row r="6" spans="1:11" x14ac:dyDescent="0.25">
      <c r="A6" s="1940"/>
      <c r="B6" s="19" t="s">
        <v>33</v>
      </c>
      <c r="C6" s="22"/>
      <c r="D6" s="11">
        <v>0.5</v>
      </c>
      <c r="E6" s="11">
        <v>0</v>
      </c>
      <c r="F6" s="11">
        <v>0</v>
      </c>
      <c r="G6" s="21">
        <f xml:space="preserve"> SUM(D6:F6) + $C6</f>
        <v>0.5</v>
      </c>
      <c r="H6" s="813">
        <v>0.5</v>
      </c>
      <c r="I6" s="813">
        <v>0</v>
      </c>
      <c r="J6" s="813">
        <v>0</v>
      </c>
      <c r="K6" s="21">
        <f t="shared" si="0"/>
        <v>0.5</v>
      </c>
    </row>
    <row r="7" spans="1:11" x14ac:dyDescent="0.25">
      <c r="A7" s="1975"/>
      <c r="B7" s="19" t="s">
        <v>34</v>
      </c>
      <c r="C7" s="22"/>
      <c r="D7" s="11">
        <v>1</v>
      </c>
      <c r="E7" s="11">
        <v>0</v>
      </c>
      <c r="F7" s="11">
        <v>0</v>
      </c>
      <c r="G7" s="21">
        <f xml:space="preserve"> SUM(D7:F7) + $C7</f>
        <v>1</v>
      </c>
      <c r="H7" s="813">
        <v>1</v>
      </c>
      <c r="I7" s="813">
        <v>0</v>
      </c>
      <c r="J7" s="813">
        <v>0</v>
      </c>
      <c r="K7" s="21">
        <f t="shared" si="0"/>
        <v>1</v>
      </c>
    </row>
    <row r="8" spans="1:11" x14ac:dyDescent="0.25">
      <c r="A8" s="1940" t="s">
        <v>449</v>
      </c>
      <c r="B8" s="1697" t="s">
        <v>32</v>
      </c>
      <c r="C8" s="1698"/>
      <c r="D8" s="1699">
        <v>1</v>
      </c>
      <c r="E8" s="1711">
        <v>0</v>
      </c>
      <c r="F8" s="1711">
        <v>0</v>
      </c>
      <c r="G8" s="1704">
        <f xml:space="preserve"> SUM(D8:F8) + $C8</f>
        <v>1</v>
      </c>
      <c r="H8" s="1699">
        <v>1</v>
      </c>
      <c r="I8" s="1711">
        <v>0</v>
      </c>
      <c r="J8" s="1711">
        <v>0</v>
      </c>
      <c r="K8" s="1704">
        <f t="shared" si="0"/>
        <v>1</v>
      </c>
    </row>
    <row r="9" spans="1:11" x14ac:dyDescent="0.25">
      <c r="A9" s="1940"/>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40"/>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40" t="s">
        <v>2</v>
      </c>
      <c r="B12" s="1697" t="s">
        <v>32</v>
      </c>
      <c r="C12" s="1698"/>
      <c r="D12" s="1699">
        <v>4</v>
      </c>
      <c r="E12" s="1699">
        <v>0</v>
      </c>
      <c r="F12" s="1699">
        <v>0</v>
      </c>
      <c r="G12" s="1701">
        <f t="shared" si="1"/>
        <v>4</v>
      </c>
      <c r="H12" s="1699">
        <v>4</v>
      </c>
      <c r="I12" s="1699">
        <v>0</v>
      </c>
      <c r="J12" s="1699">
        <v>0</v>
      </c>
      <c r="K12" s="1701">
        <f xml:space="preserve"> SUM(H12:J12) + $C12</f>
        <v>4</v>
      </c>
    </row>
    <row r="13" spans="1:11" x14ac:dyDescent="0.25">
      <c r="A13" s="1940"/>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40"/>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36" t="s">
        <v>4</v>
      </c>
      <c r="B16" s="1705" t="s">
        <v>32</v>
      </c>
      <c r="C16" s="1698"/>
      <c r="D16" s="1728">
        <v>0</v>
      </c>
      <c r="E16" s="1728">
        <v>0</v>
      </c>
      <c r="F16" s="1729">
        <v>0</v>
      </c>
      <c r="G16" s="1701">
        <f t="shared" si="1"/>
        <v>0</v>
      </c>
      <c r="H16" s="1728">
        <v>0</v>
      </c>
      <c r="I16" s="1728">
        <v>0</v>
      </c>
      <c r="J16" s="1729">
        <v>0</v>
      </c>
      <c r="K16" s="1701">
        <f t="shared" ref="K16:K36" si="2" xml:space="preserve"> SUM(H16:J16) + $C16</f>
        <v>0</v>
      </c>
    </row>
    <row r="17" spans="1:11" x14ac:dyDescent="0.25">
      <c r="A17" s="1972"/>
      <c r="B17" s="18" t="s">
        <v>33</v>
      </c>
      <c r="C17" s="22"/>
      <c r="D17" s="533">
        <v>0</v>
      </c>
      <c r="E17" s="15">
        <v>0</v>
      </c>
      <c r="F17" s="33">
        <v>0</v>
      </c>
      <c r="G17" s="21">
        <f t="shared" si="1"/>
        <v>0</v>
      </c>
      <c r="H17" s="918">
        <v>0</v>
      </c>
      <c r="I17" s="814">
        <v>0</v>
      </c>
      <c r="J17" s="819">
        <v>0</v>
      </c>
      <c r="K17" s="21">
        <f t="shared" si="2"/>
        <v>0</v>
      </c>
    </row>
    <row r="18" spans="1:11" x14ac:dyDescent="0.25">
      <c r="A18" s="1972"/>
      <c r="B18" s="18" t="s">
        <v>34</v>
      </c>
      <c r="C18" s="22"/>
      <c r="D18" s="533">
        <v>0</v>
      </c>
      <c r="E18" s="15">
        <v>0</v>
      </c>
      <c r="F18" s="33">
        <v>0</v>
      </c>
      <c r="G18" s="21">
        <f t="shared" si="1"/>
        <v>0</v>
      </c>
      <c r="H18" s="918">
        <v>0</v>
      </c>
      <c r="I18" s="814">
        <v>0</v>
      </c>
      <c r="J18" s="819">
        <v>0</v>
      </c>
      <c r="K18" s="21">
        <f t="shared" si="2"/>
        <v>0</v>
      </c>
    </row>
    <row r="19" spans="1:11" x14ac:dyDescent="0.25">
      <c r="A19" s="1972" t="s">
        <v>5</v>
      </c>
      <c r="B19" s="1702" t="s">
        <v>32</v>
      </c>
      <c r="C19" s="1703"/>
      <c r="D19" s="1709">
        <v>1</v>
      </c>
      <c r="E19" s="1710">
        <v>0</v>
      </c>
      <c r="F19" s="1712">
        <v>0</v>
      </c>
      <c r="G19" s="1704">
        <f t="shared" si="1"/>
        <v>1</v>
      </c>
      <c r="H19" s="1709">
        <v>1</v>
      </c>
      <c r="I19" s="1710">
        <v>0</v>
      </c>
      <c r="J19" s="1712">
        <v>0</v>
      </c>
      <c r="K19" s="1704">
        <f t="shared" si="2"/>
        <v>1</v>
      </c>
    </row>
    <row r="20" spans="1:11" x14ac:dyDescent="0.25">
      <c r="A20" s="1972"/>
      <c r="B20" s="19" t="s">
        <v>33</v>
      </c>
      <c r="C20" s="22"/>
      <c r="D20" s="38">
        <v>0.5</v>
      </c>
      <c r="E20" s="15">
        <v>0</v>
      </c>
      <c r="F20" s="33">
        <v>0</v>
      </c>
      <c r="G20" s="21">
        <f t="shared" si="1"/>
        <v>0.5</v>
      </c>
      <c r="H20" s="821">
        <v>0.5</v>
      </c>
      <c r="I20" s="814">
        <v>0</v>
      </c>
      <c r="J20" s="819">
        <v>0</v>
      </c>
      <c r="K20" s="21">
        <f t="shared" si="2"/>
        <v>0.5</v>
      </c>
    </row>
    <row r="21" spans="1:11" x14ac:dyDescent="0.25">
      <c r="A21" s="1972"/>
      <c r="B21" s="19" t="s">
        <v>34</v>
      </c>
      <c r="C21" s="22"/>
      <c r="D21" s="821">
        <v>0.5</v>
      </c>
      <c r="E21" s="15">
        <v>0</v>
      </c>
      <c r="F21" s="33">
        <v>0</v>
      </c>
      <c r="G21" s="21">
        <f t="shared" si="1"/>
        <v>0.5</v>
      </c>
      <c r="H21" s="821">
        <v>0.5</v>
      </c>
      <c r="I21" s="814">
        <v>0</v>
      </c>
      <c r="J21" s="819">
        <v>0</v>
      </c>
      <c r="K21" s="21">
        <f t="shared" si="2"/>
        <v>0.5</v>
      </c>
    </row>
    <row r="22" spans="1:11" x14ac:dyDescent="0.25">
      <c r="A22" s="1972" t="s">
        <v>6</v>
      </c>
      <c r="B22" s="1702" t="s">
        <v>32</v>
      </c>
      <c r="C22" s="1703"/>
      <c r="D22" s="1711">
        <v>4</v>
      </c>
      <c r="E22" s="1711">
        <v>0</v>
      </c>
      <c r="F22" s="1711">
        <v>0</v>
      </c>
      <c r="G22" s="1704">
        <f t="shared" si="1"/>
        <v>4</v>
      </c>
      <c r="H22" s="1711">
        <v>4</v>
      </c>
      <c r="I22" s="1711">
        <v>0</v>
      </c>
      <c r="J22" s="1711">
        <v>0</v>
      </c>
      <c r="K22" s="1704">
        <f t="shared" si="2"/>
        <v>4</v>
      </c>
    </row>
    <row r="23" spans="1:11" x14ac:dyDescent="0.25">
      <c r="A23" s="1972"/>
      <c r="B23" s="19" t="s">
        <v>33</v>
      </c>
      <c r="C23" s="22"/>
      <c r="D23" s="11">
        <v>1</v>
      </c>
      <c r="E23" s="186">
        <v>0</v>
      </c>
      <c r="F23" s="11">
        <v>0</v>
      </c>
      <c r="G23" s="21">
        <f t="shared" si="1"/>
        <v>1</v>
      </c>
      <c r="H23" s="813">
        <v>1</v>
      </c>
      <c r="I23" s="634">
        <v>0</v>
      </c>
      <c r="J23" s="813">
        <v>0</v>
      </c>
      <c r="K23" s="21">
        <f t="shared" si="2"/>
        <v>1</v>
      </c>
    </row>
    <row r="24" spans="1:11" x14ac:dyDescent="0.25">
      <c r="A24" s="1972"/>
      <c r="B24" s="19" t="s">
        <v>34</v>
      </c>
      <c r="C24" s="22"/>
      <c r="D24" s="11">
        <v>2</v>
      </c>
      <c r="E24" s="186">
        <v>0</v>
      </c>
      <c r="F24" s="11">
        <v>0</v>
      </c>
      <c r="G24" s="21">
        <f t="shared" si="1"/>
        <v>2</v>
      </c>
      <c r="H24" s="813">
        <v>2</v>
      </c>
      <c r="I24" s="634">
        <v>0</v>
      </c>
      <c r="J24" s="813">
        <v>0</v>
      </c>
      <c r="K24" s="21">
        <f t="shared" si="2"/>
        <v>2</v>
      </c>
    </row>
    <row r="25" spans="1:11" x14ac:dyDescent="0.25">
      <c r="A25" s="1972" t="s">
        <v>7</v>
      </c>
      <c r="B25" s="1702" t="s">
        <v>32</v>
      </c>
      <c r="C25" s="1703"/>
      <c r="D25" s="1709">
        <v>0</v>
      </c>
      <c r="E25" s="1710">
        <v>0</v>
      </c>
      <c r="F25" s="1712">
        <v>0</v>
      </c>
      <c r="G25" s="1704">
        <f t="shared" si="1"/>
        <v>0</v>
      </c>
      <c r="H25" s="1709">
        <v>0</v>
      </c>
      <c r="I25" s="1710">
        <v>0</v>
      </c>
      <c r="J25" s="1712">
        <v>0</v>
      </c>
      <c r="K25" s="1704">
        <f t="shared" si="2"/>
        <v>0</v>
      </c>
    </row>
    <row r="26" spans="1:11" x14ac:dyDescent="0.25">
      <c r="A26" s="1972"/>
      <c r="B26" s="19" t="s">
        <v>33</v>
      </c>
      <c r="C26" s="22"/>
      <c r="D26" s="38">
        <v>0</v>
      </c>
      <c r="E26" s="15">
        <v>0</v>
      </c>
      <c r="F26" s="33">
        <v>0</v>
      </c>
      <c r="G26" s="21">
        <f t="shared" si="1"/>
        <v>0</v>
      </c>
      <c r="H26" s="821">
        <v>0</v>
      </c>
      <c r="I26" s="814">
        <v>0</v>
      </c>
      <c r="J26" s="819">
        <v>0</v>
      </c>
      <c r="K26" s="21">
        <f t="shared" si="2"/>
        <v>0</v>
      </c>
    </row>
    <row r="27" spans="1:11" x14ac:dyDescent="0.25">
      <c r="A27" s="1972"/>
      <c r="B27" s="19" t="s">
        <v>34</v>
      </c>
      <c r="C27" s="22"/>
      <c r="D27" s="38">
        <v>0</v>
      </c>
      <c r="E27" s="15">
        <v>0</v>
      </c>
      <c r="F27" s="33">
        <v>0</v>
      </c>
      <c r="G27" s="21">
        <f t="shared" si="1"/>
        <v>0</v>
      </c>
      <c r="H27" s="821">
        <v>0</v>
      </c>
      <c r="I27" s="814">
        <v>0</v>
      </c>
      <c r="J27" s="819">
        <v>0</v>
      </c>
      <c r="K27" s="21">
        <f t="shared" si="2"/>
        <v>0</v>
      </c>
    </row>
    <row r="28" spans="1:11" x14ac:dyDescent="0.25">
      <c r="A28" s="1972" t="s">
        <v>8</v>
      </c>
      <c r="B28" s="1702" t="s">
        <v>32</v>
      </c>
      <c r="C28" s="1703"/>
      <c r="D28" s="1709">
        <v>2</v>
      </c>
      <c r="E28" s="1710">
        <v>0</v>
      </c>
      <c r="F28" s="1712">
        <v>0</v>
      </c>
      <c r="G28" s="1704">
        <f t="shared" si="1"/>
        <v>2</v>
      </c>
      <c r="H28" s="1709">
        <v>2</v>
      </c>
      <c r="I28" s="1710">
        <v>0</v>
      </c>
      <c r="J28" s="1712">
        <v>0</v>
      </c>
      <c r="K28" s="1704">
        <f t="shared" si="2"/>
        <v>2</v>
      </c>
    </row>
    <row r="29" spans="1:11" x14ac:dyDescent="0.25">
      <c r="A29" s="1972"/>
      <c r="B29" s="19" t="s">
        <v>33</v>
      </c>
      <c r="C29" s="22"/>
      <c r="D29" s="38">
        <v>0.5</v>
      </c>
      <c r="E29" s="15">
        <v>0</v>
      </c>
      <c r="F29" s="33">
        <v>0</v>
      </c>
      <c r="G29" s="21">
        <f t="shared" si="1"/>
        <v>0.5</v>
      </c>
      <c r="H29" s="821">
        <v>0.5</v>
      </c>
      <c r="I29" s="814">
        <v>0</v>
      </c>
      <c r="J29" s="819">
        <v>0</v>
      </c>
      <c r="K29" s="21">
        <f t="shared" si="2"/>
        <v>0.5</v>
      </c>
    </row>
    <row r="30" spans="1:11" x14ac:dyDescent="0.25">
      <c r="A30" s="1972"/>
      <c r="B30" s="19" t="s">
        <v>34</v>
      </c>
      <c r="C30" s="22"/>
      <c r="D30" s="38">
        <v>1.5</v>
      </c>
      <c r="E30" s="15">
        <v>0</v>
      </c>
      <c r="F30" s="33">
        <v>0</v>
      </c>
      <c r="G30" s="21">
        <f t="shared" si="1"/>
        <v>1.5</v>
      </c>
      <c r="H30" s="821">
        <v>1.5</v>
      </c>
      <c r="I30" s="814">
        <v>0</v>
      </c>
      <c r="J30" s="819">
        <v>0</v>
      </c>
      <c r="K30" s="21">
        <f t="shared" si="2"/>
        <v>1.5</v>
      </c>
    </row>
    <row r="31" spans="1:11" x14ac:dyDescent="0.25">
      <c r="A31" s="2323" t="s">
        <v>9</v>
      </c>
      <c r="B31" s="1702" t="s">
        <v>32</v>
      </c>
      <c r="C31" s="1703"/>
      <c r="D31" s="1709">
        <v>0</v>
      </c>
      <c r="E31" s="1710">
        <v>0</v>
      </c>
      <c r="F31" s="1710">
        <v>0</v>
      </c>
      <c r="G31" s="1704">
        <f t="shared" si="1"/>
        <v>0</v>
      </c>
      <c r="H31" s="1709">
        <v>0</v>
      </c>
      <c r="I31" s="1710">
        <v>0</v>
      </c>
      <c r="J31" s="1710">
        <v>0</v>
      </c>
      <c r="K31" s="1704">
        <f t="shared" si="2"/>
        <v>0</v>
      </c>
    </row>
    <row r="32" spans="1:11" x14ac:dyDescent="0.25">
      <c r="A32" s="2323"/>
      <c r="B32" s="19" t="s">
        <v>33</v>
      </c>
      <c r="C32" s="22"/>
      <c r="D32" s="523">
        <v>0</v>
      </c>
      <c r="E32" s="15">
        <v>0</v>
      </c>
      <c r="F32" s="15">
        <v>0</v>
      </c>
      <c r="G32" s="21">
        <f t="shared" si="1"/>
        <v>0</v>
      </c>
      <c r="H32" s="837">
        <v>0</v>
      </c>
      <c r="I32" s="814">
        <v>0</v>
      </c>
      <c r="J32" s="814">
        <v>0</v>
      </c>
      <c r="K32" s="21">
        <f t="shared" si="2"/>
        <v>0</v>
      </c>
    </row>
    <row r="33" spans="1:11" x14ac:dyDescent="0.25">
      <c r="A33" s="2323"/>
      <c r="B33" s="19" t="s">
        <v>34</v>
      </c>
      <c r="C33" s="22"/>
      <c r="D33" s="523">
        <v>0</v>
      </c>
      <c r="E33" s="15">
        <v>0</v>
      </c>
      <c r="F33" s="15">
        <v>0</v>
      </c>
      <c r="G33" s="21">
        <f t="shared" si="1"/>
        <v>0</v>
      </c>
      <c r="H33" s="837">
        <v>0</v>
      </c>
      <c r="I33" s="814">
        <v>0</v>
      </c>
      <c r="J33" s="814">
        <v>0</v>
      </c>
      <c r="K33" s="21">
        <f t="shared" si="2"/>
        <v>0</v>
      </c>
    </row>
    <row r="34" spans="1:11" x14ac:dyDescent="0.25">
      <c r="A34" s="1972" t="s">
        <v>10</v>
      </c>
      <c r="B34" s="1702" t="s">
        <v>32</v>
      </c>
      <c r="C34" s="1703"/>
      <c r="D34" s="1709">
        <v>0</v>
      </c>
      <c r="E34" s="1710">
        <v>0</v>
      </c>
      <c r="F34" s="1710">
        <v>0</v>
      </c>
      <c r="G34" s="1704">
        <f t="shared" si="1"/>
        <v>0</v>
      </c>
      <c r="H34" s="1709">
        <v>0</v>
      </c>
      <c r="I34" s="1710">
        <v>0</v>
      </c>
      <c r="J34" s="1710">
        <v>0</v>
      </c>
      <c r="K34" s="1704">
        <f t="shared" si="2"/>
        <v>0</v>
      </c>
    </row>
    <row r="35" spans="1:11" x14ac:dyDescent="0.25">
      <c r="A35" s="1972"/>
      <c r="B35" s="19" t="s">
        <v>33</v>
      </c>
      <c r="C35" s="22"/>
      <c r="D35" s="523">
        <v>0.5</v>
      </c>
      <c r="E35" s="15">
        <v>0</v>
      </c>
      <c r="F35" s="15">
        <v>0</v>
      </c>
      <c r="G35" s="21">
        <f t="shared" si="1"/>
        <v>0.5</v>
      </c>
      <c r="H35" s="837">
        <v>0.5</v>
      </c>
      <c r="I35" s="814">
        <v>0</v>
      </c>
      <c r="J35" s="814">
        <v>0</v>
      </c>
      <c r="K35" s="21">
        <f t="shared" si="2"/>
        <v>0.5</v>
      </c>
    </row>
    <row r="36" spans="1:11" ht="15.75" thickBot="1" x14ac:dyDescent="0.3">
      <c r="A36" s="1939"/>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40" t="s">
        <v>12</v>
      </c>
      <c r="B38" s="1697" t="s">
        <v>32</v>
      </c>
      <c r="C38" s="1698"/>
      <c r="D38" s="1699">
        <v>6</v>
      </c>
      <c r="E38" s="1699">
        <v>0</v>
      </c>
      <c r="F38" s="1699">
        <v>0</v>
      </c>
      <c r="G38" s="1701">
        <f t="shared" si="1"/>
        <v>6</v>
      </c>
      <c r="H38" s="1699">
        <v>6</v>
      </c>
      <c r="I38" s="1699">
        <v>0</v>
      </c>
      <c r="J38" s="1699">
        <v>0</v>
      </c>
      <c r="K38" s="1701">
        <f xml:space="preserve"> SUM(H38:J38) + $C38</f>
        <v>6</v>
      </c>
    </row>
    <row r="39" spans="1:11" x14ac:dyDescent="0.25">
      <c r="A39" s="1940"/>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40"/>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40" t="s">
        <v>14</v>
      </c>
      <c r="B42" s="1697" t="s">
        <v>32</v>
      </c>
      <c r="C42" s="1698"/>
      <c r="D42" s="1709">
        <v>1</v>
      </c>
      <c r="E42" s="1710">
        <v>0</v>
      </c>
      <c r="F42" s="1712">
        <v>0</v>
      </c>
      <c r="G42" s="1701">
        <f t="shared" si="1"/>
        <v>1</v>
      </c>
      <c r="H42" s="1709">
        <v>1</v>
      </c>
      <c r="I42" s="1710">
        <v>0</v>
      </c>
      <c r="J42" s="1712">
        <v>0</v>
      </c>
      <c r="K42" s="1701">
        <f t="shared" ref="K42:K86" si="3" xml:space="preserve"> SUM(H42:J42) + $C42</f>
        <v>1</v>
      </c>
    </row>
    <row r="43" spans="1:11" x14ac:dyDescent="0.25">
      <c r="A43" s="1940"/>
      <c r="B43" s="19" t="s">
        <v>33</v>
      </c>
      <c r="C43" s="22"/>
      <c r="D43" s="821">
        <v>0.5</v>
      </c>
      <c r="E43" s="15">
        <v>0</v>
      </c>
      <c r="F43" s="33">
        <v>0</v>
      </c>
      <c r="G43" s="21">
        <f t="shared" si="1"/>
        <v>0.5</v>
      </c>
      <c r="H43" s="821">
        <v>0.5</v>
      </c>
      <c r="I43" s="814">
        <v>0</v>
      </c>
      <c r="J43" s="819">
        <v>0</v>
      </c>
      <c r="K43" s="21">
        <f t="shared" si="3"/>
        <v>0.5</v>
      </c>
    </row>
    <row r="44" spans="1:11" x14ac:dyDescent="0.25">
      <c r="A44" s="1940"/>
      <c r="B44" s="19" t="s">
        <v>34</v>
      </c>
      <c r="C44" s="22"/>
      <c r="D44" s="821">
        <v>0.5</v>
      </c>
      <c r="E44" s="15">
        <v>0</v>
      </c>
      <c r="F44" s="33">
        <v>0</v>
      </c>
      <c r="G44" s="21">
        <f t="shared" si="1"/>
        <v>0.5</v>
      </c>
      <c r="H44" s="821">
        <v>0.5</v>
      </c>
      <c r="I44" s="814">
        <v>0</v>
      </c>
      <c r="J44" s="819">
        <v>0</v>
      </c>
      <c r="K44" s="21">
        <f t="shared" si="3"/>
        <v>0.5</v>
      </c>
    </row>
    <row r="45" spans="1:11" x14ac:dyDescent="0.25">
      <c r="A45" s="1971" t="s">
        <v>15</v>
      </c>
      <c r="B45" s="1702" t="s">
        <v>32</v>
      </c>
      <c r="C45" s="1703"/>
      <c r="D45" s="1709">
        <v>16</v>
      </c>
      <c r="E45" s="1710">
        <v>0</v>
      </c>
      <c r="F45" s="1710">
        <v>0</v>
      </c>
      <c r="G45" s="1704">
        <f t="shared" si="1"/>
        <v>16</v>
      </c>
      <c r="H45" s="1709">
        <v>16</v>
      </c>
      <c r="I45" s="1710">
        <v>0</v>
      </c>
      <c r="J45" s="1710">
        <v>0</v>
      </c>
      <c r="K45" s="1704">
        <f t="shared" si="3"/>
        <v>16</v>
      </c>
    </row>
    <row r="46" spans="1:11" x14ac:dyDescent="0.25">
      <c r="A46" s="1971"/>
      <c r="B46" s="19" t="s">
        <v>33</v>
      </c>
      <c r="C46" s="22"/>
      <c r="D46" s="38">
        <v>8</v>
      </c>
      <c r="E46" s="15">
        <v>0</v>
      </c>
      <c r="F46" s="15">
        <v>0</v>
      </c>
      <c r="G46" s="21">
        <f t="shared" si="1"/>
        <v>8</v>
      </c>
      <c r="H46" s="821">
        <v>8</v>
      </c>
      <c r="I46" s="814">
        <v>0</v>
      </c>
      <c r="J46" s="814">
        <v>0</v>
      </c>
      <c r="K46" s="21">
        <f t="shared" si="3"/>
        <v>8</v>
      </c>
    </row>
    <row r="47" spans="1:11" x14ac:dyDescent="0.25">
      <c r="A47" s="1971"/>
      <c r="B47" s="19" t="s">
        <v>34</v>
      </c>
      <c r="C47" s="22"/>
      <c r="D47" s="38">
        <v>12</v>
      </c>
      <c r="E47" s="15">
        <v>0</v>
      </c>
      <c r="F47" s="15">
        <v>0</v>
      </c>
      <c r="G47" s="21">
        <f t="shared" si="1"/>
        <v>12</v>
      </c>
      <c r="H47" s="821">
        <v>12</v>
      </c>
      <c r="I47" s="814">
        <v>0</v>
      </c>
      <c r="J47" s="814">
        <v>0</v>
      </c>
      <c r="K47" s="21">
        <f t="shared" si="3"/>
        <v>12</v>
      </c>
    </row>
    <row r="48" spans="1:11" x14ac:dyDescent="0.25">
      <c r="A48" s="1971" t="s">
        <v>16</v>
      </c>
      <c r="B48" s="1702" t="s">
        <v>32</v>
      </c>
      <c r="C48" s="1703"/>
      <c r="D48" s="1710">
        <v>0</v>
      </c>
      <c r="E48" s="1710">
        <v>0</v>
      </c>
      <c r="F48" s="1712">
        <v>0</v>
      </c>
      <c r="G48" s="1704">
        <f t="shared" si="1"/>
        <v>0</v>
      </c>
      <c r="H48" s="1710">
        <v>0</v>
      </c>
      <c r="I48" s="1710">
        <v>0</v>
      </c>
      <c r="J48" s="1712">
        <v>0</v>
      </c>
      <c r="K48" s="1704">
        <f t="shared" si="3"/>
        <v>0</v>
      </c>
    </row>
    <row r="49" spans="1:11" x14ac:dyDescent="0.25">
      <c r="A49" s="1971"/>
      <c r="B49" s="19" t="s">
        <v>33</v>
      </c>
      <c r="C49" s="22"/>
      <c r="D49" s="15">
        <v>0</v>
      </c>
      <c r="E49" s="15">
        <v>0</v>
      </c>
      <c r="F49" s="33">
        <v>0</v>
      </c>
      <c r="G49" s="21">
        <f t="shared" si="1"/>
        <v>0</v>
      </c>
      <c r="H49" s="814">
        <v>0</v>
      </c>
      <c r="I49" s="814">
        <v>0</v>
      </c>
      <c r="J49" s="819">
        <v>0</v>
      </c>
      <c r="K49" s="21">
        <f t="shared" si="3"/>
        <v>0</v>
      </c>
    </row>
    <row r="50" spans="1:11" x14ac:dyDescent="0.25">
      <c r="A50" s="1971"/>
      <c r="B50" s="19" t="s">
        <v>34</v>
      </c>
      <c r="C50" s="22"/>
      <c r="D50" s="15">
        <v>0</v>
      </c>
      <c r="E50" s="15">
        <v>0</v>
      </c>
      <c r="F50" s="33">
        <v>0</v>
      </c>
      <c r="G50" s="21">
        <f t="shared" si="1"/>
        <v>0</v>
      </c>
      <c r="H50" s="814">
        <v>0</v>
      </c>
      <c r="I50" s="814">
        <v>0</v>
      </c>
      <c r="J50" s="819">
        <v>0</v>
      </c>
      <c r="K50" s="21">
        <f t="shared" si="3"/>
        <v>0</v>
      </c>
    </row>
    <row r="51" spans="1:11" x14ac:dyDescent="0.25">
      <c r="A51" s="1971" t="s">
        <v>17</v>
      </c>
      <c r="B51" s="1702" t="s">
        <v>32</v>
      </c>
      <c r="C51" s="1703"/>
      <c r="D51" s="1710">
        <v>0</v>
      </c>
      <c r="E51" s="1710">
        <v>0</v>
      </c>
      <c r="F51" s="1710">
        <v>0</v>
      </c>
      <c r="G51" s="1704">
        <f t="shared" si="1"/>
        <v>0</v>
      </c>
      <c r="H51" s="1710">
        <v>0</v>
      </c>
      <c r="I51" s="1710">
        <v>0</v>
      </c>
      <c r="J51" s="1710">
        <v>0</v>
      </c>
      <c r="K51" s="1704">
        <f t="shared" si="3"/>
        <v>0</v>
      </c>
    </row>
    <row r="52" spans="1:11" x14ac:dyDescent="0.25">
      <c r="A52" s="1971"/>
      <c r="B52" s="19" t="s">
        <v>33</v>
      </c>
      <c r="C52" s="22"/>
      <c r="D52" s="15">
        <v>0</v>
      </c>
      <c r="E52" s="15">
        <v>0</v>
      </c>
      <c r="F52" s="15">
        <v>0</v>
      </c>
      <c r="G52" s="21">
        <f t="shared" si="1"/>
        <v>0</v>
      </c>
      <c r="H52" s="814">
        <v>0</v>
      </c>
      <c r="I52" s="814">
        <v>0</v>
      </c>
      <c r="J52" s="814">
        <v>0</v>
      </c>
      <c r="K52" s="21">
        <f t="shared" si="3"/>
        <v>0</v>
      </c>
    </row>
    <row r="53" spans="1:11" x14ac:dyDescent="0.25">
      <c r="A53" s="1971"/>
      <c r="B53" s="19" t="s">
        <v>34</v>
      </c>
      <c r="C53" s="22"/>
      <c r="D53" s="15">
        <v>0</v>
      </c>
      <c r="E53" s="15">
        <v>0</v>
      </c>
      <c r="F53" s="15">
        <v>0</v>
      </c>
      <c r="G53" s="21">
        <f t="shared" si="1"/>
        <v>0</v>
      </c>
      <c r="H53" s="814">
        <v>0</v>
      </c>
      <c r="I53" s="814">
        <v>0</v>
      </c>
      <c r="J53" s="814">
        <v>0</v>
      </c>
      <c r="K53" s="21">
        <f t="shared" si="3"/>
        <v>0</v>
      </c>
    </row>
    <row r="54" spans="1:11" x14ac:dyDescent="0.25">
      <c r="A54" s="1971" t="s">
        <v>18</v>
      </c>
      <c r="B54" s="1702" t="s">
        <v>32</v>
      </c>
      <c r="C54" s="1703"/>
      <c r="D54" s="1710">
        <v>0</v>
      </c>
      <c r="E54" s="1710">
        <v>0</v>
      </c>
      <c r="F54" s="1710">
        <v>0</v>
      </c>
      <c r="G54" s="1704">
        <f t="shared" si="1"/>
        <v>0</v>
      </c>
      <c r="H54" s="1710">
        <v>0</v>
      </c>
      <c r="I54" s="1710">
        <v>0</v>
      </c>
      <c r="J54" s="1710">
        <v>0</v>
      </c>
      <c r="K54" s="1704">
        <f t="shared" si="3"/>
        <v>0</v>
      </c>
    </row>
    <row r="55" spans="1:11" x14ac:dyDescent="0.25">
      <c r="A55" s="1971"/>
      <c r="B55" s="19" t="s">
        <v>33</v>
      </c>
      <c r="C55" s="22"/>
      <c r="D55" s="15">
        <v>0</v>
      </c>
      <c r="E55" s="15">
        <v>0</v>
      </c>
      <c r="F55" s="15">
        <v>0</v>
      </c>
      <c r="G55" s="21">
        <f t="shared" si="1"/>
        <v>0</v>
      </c>
      <c r="H55" s="814">
        <v>0</v>
      </c>
      <c r="I55" s="814">
        <v>0</v>
      </c>
      <c r="J55" s="814">
        <v>0</v>
      </c>
      <c r="K55" s="21">
        <f t="shared" si="3"/>
        <v>0</v>
      </c>
    </row>
    <row r="56" spans="1:11" x14ac:dyDescent="0.25">
      <c r="A56" s="1971"/>
      <c r="B56" s="19" t="s">
        <v>34</v>
      </c>
      <c r="C56" s="22"/>
      <c r="D56" s="15">
        <v>0</v>
      </c>
      <c r="E56" s="15">
        <v>0</v>
      </c>
      <c r="F56" s="15">
        <v>0</v>
      </c>
      <c r="G56" s="21">
        <f t="shared" si="1"/>
        <v>0</v>
      </c>
      <c r="H56" s="814">
        <v>0</v>
      </c>
      <c r="I56" s="814">
        <v>0</v>
      </c>
      <c r="J56" s="814">
        <v>0</v>
      </c>
      <c r="K56" s="21">
        <f t="shared" si="3"/>
        <v>0</v>
      </c>
    </row>
    <row r="57" spans="1:11" x14ac:dyDescent="0.25">
      <c r="A57" s="1971" t="s">
        <v>19</v>
      </c>
      <c r="B57" s="1702" t="s">
        <v>32</v>
      </c>
      <c r="C57" s="1703"/>
      <c r="D57" s="1709">
        <v>0.5</v>
      </c>
      <c r="E57" s="1710">
        <v>0</v>
      </c>
      <c r="F57" s="1710">
        <v>0</v>
      </c>
      <c r="G57" s="1704">
        <f t="shared" si="1"/>
        <v>0.5</v>
      </c>
      <c r="H57" s="1709">
        <v>0.5</v>
      </c>
      <c r="I57" s="1710">
        <v>0</v>
      </c>
      <c r="J57" s="1710">
        <v>0</v>
      </c>
      <c r="K57" s="1704">
        <f t="shared" si="3"/>
        <v>0.5</v>
      </c>
    </row>
    <row r="58" spans="1:11" x14ac:dyDescent="0.25">
      <c r="A58" s="1971"/>
      <c r="B58" s="19" t="s">
        <v>33</v>
      </c>
      <c r="C58" s="22"/>
      <c r="D58" s="38">
        <v>1</v>
      </c>
      <c r="E58" s="15">
        <v>0</v>
      </c>
      <c r="F58" s="15">
        <v>0</v>
      </c>
      <c r="G58" s="21">
        <f t="shared" si="1"/>
        <v>1</v>
      </c>
      <c r="H58" s="821">
        <v>1</v>
      </c>
      <c r="I58" s="814">
        <v>0</v>
      </c>
      <c r="J58" s="814">
        <v>0</v>
      </c>
      <c r="K58" s="21">
        <f t="shared" si="3"/>
        <v>1</v>
      </c>
    </row>
    <row r="59" spans="1:11" x14ac:dyDescent="0.25">
      <c r="A59" s="1971"/>
      <c r="B59" s="19" t="s">
        <v>34</v>
      </c>
      <c r="C59" s="22"/>
      <c r="D59" s="38">
        <v>2</v>
      </c>
      <c r="E59" s="15">
        <v>0</v>
      </c>
      <c r="F59" s="15">
        <v>0</v>
      </c>
      <c r="G59" s="21">
        <f t="shared" si="1"/>
        <v>2</v>
      </c>
      <c r="H59" s="821">
        <v>2</v>
      </c>
      <c r="I59" s="814">
        <v>0</v>
      </c>
      <c r="J59" s="814">
        <v>0</v>
      </c>
      <c r="K59" s="21">
        <f t="shared" si="3"/>
        <v>2</v>
      </c>
    </row>
    <row r="60" spans="1:11" x14ac:dyDescent="0.25">
      <c r="A60" s="1971" t="s">
        <v>20</v>
      </c>
      <c r="B60" s="1702" t="s">
        <v>32</v>
      </c>
      <c r="C60" s="1703"/>
      <c r="D60" s="1709">
        <v>8</v>
      </c>
      <c r="E60" s="1710">
        <v>0</v>
      </c>
      <c r="F60" s="1712">
        <v>0</v>
      </c>
      <c r="G60" s="1704">
        <f t="shared" si="1"/>
        <v>8</v>
      </c>
      <c r="H60" s="1709">
        <v>8</v>
      </c>
      <c r="I60" s="1710">
        <v>0</v>
      </c>
      <c r="J60" s="1712">
        <v>0</v>
      </c>
      <c r="K60" s="1704">
        <f t="shared" si="3"/>
        <v>8</v>
      </c>
    </row>
    <row r="61" spans="1:11" x14ac:dyDescent="0.25">
      <c r="A61" s="1971"/>
      <c r="B61" s="19" t="s">
        <v>33</v>
      </c>
      <c r="C61" s="22"/>
      <c r="D61" s="38">
        <v>2</v>
      </c>
      <c r="E61" s="15">
        <v>0</v>
      </c>
      <c r="F61" s="33">
        <v>0</v>
      </c>
      <c r="G61" s="21">
        <f t="shared" si="1"/>
        <v>2</v>
      </c>
      <c r="H61" s="821">
        <v>2</v>
      </c>
      <c r="I61" s="814">
        <v>0</v>
      </c>
      <c r="J61" s="819">
        <v>0</v>
      </c>
      <c r="K61" s="21">
        <f t="shared" si="3"/>
        <v>2</v>
      </c>
    </row>
    <row r="62" spans="1:11" x14ac:dyDescent="0.25">
      <c r="A62" s="1971"/>
      <c r="B62" s="19" t="s">
        <v>34</v>
      </c>
      <c r="C62" s="22"/>
      <c r="D62" s="38">
        <v>4</v>
      </c>
      <c r="E62" s="15">
        <v>0</v>
      </c>
      <c r="F62" s="33">
        <v>0</v>
      </c>
      <c r="G62" s="21">
        <f t="shared" si="1"/>
        <v>4</v>
      </c>
      <c r="H62" s="821">
        <v>4</v>
      </c>
      <c r="I62" s="814">
        <v>0</v>
      </c>
      <c r="J62" s="819">
        <v>0</v>
      </c>
      <c r="K62" s="21">
        <f t="shared" si="3"/>
        <v>4</v>
      </c>
    </row>
    <row r="63" spans="1:11" x14ac:dyDescent="0.25">
      <c r="A63" s="1971" t="s">
        <v>451</v>
      </c>
      <c r="B63" s="1702" t="s">
        <v>32</v>
      </c>
      <c r="C63" s="1703"/>
      <c r="D63" s="1710">
        <v>0</v>
      </c>
      <c r="E63" s="1710">
        <v>0</v>
      </c>
      <c r="F63" s="1710">
        <v>0</v>
      </c>
      <c r="G63" s="1704">
        <f t="shared" si="1"/>
        <v>0</v>
      </c>
      <c r="H63" s="1710">
        <v>0</v>
      </c>
      <c r="I63" s="1710">
        <v>0</v>
      </c>
      <c r="J63" s="1710">
        <v>0</v>
      </c>
      <c r="K63" s="1704">
        <f t="shared" si="3"/>
        <v>0</v>
      </c>
    </row>
    <row r="64" spans="1:11" x14ac:dyDescent="0.25">
      <c r="A64" s="1971"/>
      <c r="B64" s="19" t="s">
        <v>33</v>
      </c>
      <c r="C64" s="22"/>
      <c r="D64" s="15">
        <v>0</v>
      </c>
      <c r="E64" s="15">
        <v>0</v>
      </c>
      <c r="F64" s="15">
        <v>0</v>
      </c>
      <c r="G64" s="21">
        <f t="shared" si="1"/>
        <v>0</v>
      </c>
      <c r="H64" s="814">
        <v>0</v>
      </c>
      <c r="I64" s="814">
        <v>0</v>
      </c>
      <c r="J64" s="814">
        <v>0</v>
      </c>
      <c r="K64" s="21">
        <f t="shared" si="3"/>
        <v>0</v>
      </c>
    </row>
    <row r="65" spans="1:11" x14ac:dyDescent="0.25">
      <c r="A65" s="1971"/>
      <c r="B65" s="19" t="s">
        <v>34</v>
      </c>
      <c r="C65" s="22"/>
      <c r="D65" s="15">
        <v>0</v>
      </c>
      <c r="E65" s="15">
        <v>0</v>
      </c>
      <c r="F65" s="15">
        <v>0</v>
      </c>
      <c r="G65" s="21">
        <f t="shared" si="1"/>
        <v>0</v>
      </c>
      <c r="H65" s="814">
        <v>0</v>
      </c>
      <c r="I65" s="814">
        <v>0</v>
      </c>
      <c r="J65" s="814">
        <v>0</v>
      </c>
      <c r="K65" s="21">
        <f t="shared" si="3"/>
        <v>0</v>
      </c>
    </row>
    <row r="66" spans="1:11" x14ac:dyDescent="0.25">
      <c r="A66" s="1971" t="s">
        <v>452</v>
      </c>
      <c r="B66" s="1702" t="s">
        <v>32</v>
      </c>
      <c r="C66" s="1703"/>
      <c r="D66" s="1710">
        <v>0</v>
      </c>
      <c r="E66" s="1710">
        <v>0</v>
      </c>
      <c r="F66" s="1710">
        <v>0</v>
      </c>
      <c r="G66" s="1704">
        <f t="shared" si="1"/>
        <v>0</v>
      </c>
      <c r="H66" s="1710">
        <v>0</v>
      </c>
      <c r="I66" s="1710">
        <v>0</v>
      </c>
      <c r="J66" s="1710">
        <v>0</v>
      </c>
      <c r="K66" s="1704">
        <f t="shared" si="3"/>
        <v>0</v>
      </c>
    </row>
    <row r="67" spans="1:11" x14ac:dyDescent="0.25">
      <c r="A67" s="1971"/>
      <c r="B67" s="19" t="s">
        <v>33</v>
      </c>
      <c r="C67" s="22"/>
      <c r="D67" s="15">
        <v>0</v>
      </c>
      <c r="E67" s="15">
        <v>0</v>
      </c>
      <c r="F67" s="15">
        <v>0</v>
      </c>
      <c r="G67" s="21">
        <f t="shared" si="1"/>
        <v>0</v>
      </c>
      <c r="H67" s="814">
        <v>0</v>
      </c>
      <c r="I67" s="814">
        <v>0</v>
      </c>
      <c r="J67" s="814">
        <v>0</v>
      </c>
      <c r="K67" s="21">
        <f t="shared" si="3"/>
        <v>0</v>
      </c>
    </row>
    <row r="68" spans="1:11" x14ac:dyDescent="0.25">
      <c r="A68" s="1971"/>
      <c r="B68" s="19" t="s">
        <v>34</v>
      </c>
      <c r="C68" s="22"/>
      <c r="D68" s="15">
        <v>0</v>
      </c>
      <c r="E68" s="15">
        <v>0</v>
      </c>
      <c r="F68" s="15">
        <v>0</v>
      </c>
      <c r="G68" s="21">
        <f t="shared" si="1"/>
        <v>0</v>
      </c>
      <c r="H68" s="814">
        <v>0</v>
      </c>
      <c r="I68" s="814">
        <v>0</v>
      </c>
      <c r="J68" s="814">
        <v>0</v>
      </c>
      <c r="K68" s="21">
        <f t="shared" si="3"/>
        <v>0</v>
      </c>
    </row>
    <row r="69" spans="1:11" x14ac:dyDescent="0.25">
      <c r="A69" s="1974" t="s">
        <v>533</v>
      </c>
      <c r="B69" s="1702" t="s">
        <v>32</v>
      </c>
      <c r="C69" s="1703"/>
      <c r="D69" s="1710">
        <v>0</v>
      </c>
      <c r="E69" s="1710">
        <v>0</v>
      </c>
      <c r="F69" s="1710">
        <v>0</v>
      </c>
      <c r="G69" s="1704">
        <f t="shared" si="1"/>
        <v>0</v>
      </c>
      <c r="H69" s="1710">
        <v>0</v>
      </c>
      <c r="I69" s="1710">
        <v>0</v>
      </c>
      <c r="J69" s="1710">
        <v>0</v>
      </c>
      <c r="K69" s="1704">
        <f t="shared" si="3"/>
        <v>0</v>
      </c>
    </row>
    <row r="70" spans="1:11" x14ac:dyDescent="0.25">
      <c r="A70" s="1974"/>
      <c r="B70" s="19" t="s">
        <v>33</v>
      </c>
      <c r="C70" s="22"/>
      <c r="D70" s="15">
        <v>0</v>
      </c>
      <c r="E70" s="15">
        <v>0</v>
      </c>
      <c r="F70" s="15">
        <v>0</v>
      </c>
      <c r="G70" s="21">
        <f t="shared" si="1"/>
        <v>0</v>
      </c>
      <c r="H70" s="814">
        <v>0</v>
      </c>
      <c r="I70" s="814">
        <v>0</v>
      </c>
      <c r="J70" s="814">
        <v>0</v>
      </c>
      <c r="K70" s="21">
        <f t="shared" si="3"/>
        <v>0</v>
      </c>
    </row>
    <row r="71" spans="1:11" x14ac:dyDescent="0.25">
      <c r="A71" s="1974"/>
      <c r="B71" s="19" t="s">
        <v>34</v>
      </c>
      <c r="C71" s="22"/>
      <c r="D71" s="15">
        <v>0</v>
      </c>
      <c r="E71" s="15">
        <v>0</v>
      </c>
      <c r="F71" s="15">
        <v>0</v>
      </c>
      <c r="G71" s="21">
        <f t="shared" si="1"/>
        <v>0</v>
      </c>
      <c r="H71" s="814">
        <v>0</v>
      </c>
      <c r="I71" s="814">
        <v>0</v>
      </c>
      <c r="J71" s="814">
        <v>0</v>
      </c>
      <c r="K71" s="21">
        <f t="shared" si="3"/>
        <v>0</v>
      </c>
    </row>
    <row r="72" spans="1:11" x14ac:dyDescent="0.25">
      <c r="A72" s="1971" t="s">
        <v>534</v>
      </c>
      <c r="B72" s="1702" t="s">
        <v>32</v>
      </c>
      <c r="C72" s="1703"/>
      <c r="D72" s="1710">
        <v>0</v>
      </c>
      <c r="E72" s="1710">
        <v>0</v>
      </c>
      <c r="F72" s="1710">
        <v>0</v>
      </c>
      <c r="G72" s="1704">
        <f t="shared" si="1"/>
        <v>0</v>
      </c>
      <c r="H72" s="1710">
        <v>0</v>
      </c>
      <c r="I72" s="1710">
        <v>0</v>
      </c>
      <c r="J72" s="1710">
        <v>0</v>
      </c>
      <c r="K72" s="1704">
        <f t="shared" si="3"/>
        <v>0</v>
      </c>
    </row>
    <row r="73" spans="1:11" x14ac:dyDescent="0.25">
      <c r="A73" s="1971"/>
      <c r="B73" s="19" t="s">
        <v>33</v>
      </c>
      <c r="C73" s="22"/>
      <c r="D73" s="15">
        <v>0</v>
      </c>
      <c r="E73" s="15">
        <v>0</v>
      </c>
      <c r="F73" s="15">
        <v>0</v>
      </c>
      <c r="G73" s="21">
        <f t="shared" si="1"/>
        <v>0</v>
      </c>
      <c r="H73" s="814">
        <v>0</v>
      </c>
      <c r="I73" s="814">
        <v>0</v>
      </c>
      <c r="J73" s="814">
        <v>0</v>
      </c>
      <c r="K73" s="21">
        <f t="shared" si="3"/>
        <v>0</v>
      </c>
    </row>
    <row r="74" spans="1:11" x14ac:dyDescent="0.25">
      <c r="A74" s="1971"/>
      <c r="B74" s="19" t="s">
        <v>34</v>
      </c>
      <c r="C74" s="22"/>
      <c r="D74" s="15">
        <v>0</v>
      </c>
      <c r="E74" s="15">
        <v>0</v>
      </c>
      <c r="F74" s="15">
        <v>0</v>
      </c>
      <c r="G74" s="21">
        <f t="shared" si="1"/>
        <v>0</v>
      </c>
      <c r="H74" s="814">
        <v>0</v>
      </c>
      <c r="I74" s="814">
        <v>0</v>
      </c>
      <c r="J74" s="814">
        <v>0</v>
      </c>
      <c r="K74" s="21">
        <f t="shared" si="3"/>
        <v>0</v>
      </c>
    </row>
    <row r="75" spans="1:11" x14ac:dyDescent="0.25">
      <c r="A75" s="1971" t="s">
        <v>21</v>
      </c>
      <c r="B75" s="1702" t="s">
        <v>32</v>
      </c>
      <c r="C75" s="1703"/>
      <c r="D75" s="1709" t="s">
        <v>90</v>
      </c>
      <c r="E75" s="1709" t="s">
        <v>90</v>
      </c>
      <c r="F75" s="1709" t="s">
        <v>90</v>
      </c>
      <c r="G75" s="1704">
        <f t="shared" si="1"/>
        <v>0</v>
      </c>
      <c r="H75" s="1709" t="s">
        <v>90</v>
      </c>
      <c r="I75" s="1709" t="s">
        <v>90</v>
      </c>
      <c r="J75" s="1709" t="s">
        <v>90</v>
      </c>
      <c r="K75" s="1704">
        <f t="shared" si="3"/>
        <v>0</v>
      </c>
    </row>
    <row r="76" spans="1:11" x14ac:dyDescent="0.25">
      <c r="A76" s="1971"/>
      <c r="B76" s="19" t="s">
        <v>33</v>
      </c>
      <c r="C76" s="22"/>
      <c r="D76" s="38" t="s">
        <v>90</v>
      </c>
      <c r="E76" s="38" t="s">
        <v>90</v>
      </c>
      <c r="F76" s="38" t="s">
        <v>90</v>
      </c>
      <c r="G76" s="21">
        <f t="shared" si="1"/>
        <v>0</v>
      </c>
      <c r="H76" s="821" t="s">
        <v>90</v>
      </c>
      <c r="I76" s="821" t="s">
        <v>90</v>
      </c>
      <c r="J76" s="821" t="s">
        <v>90</v>
      </c>
      <c r="K76" s="21">
        <f t="shared" si="3"/>
        <v>0</v>
      </c>
    </row>
    <row r="77" spans="1:11" x14ac:dyDescent="0.25">
      <c r="A77" s="1971"/>
      <c r="B77" s="13" t="s">
        <v>34</v>
      </c>
      <c r="C77" s="34"/>
      <c r="D77" s="38" t="s">
        <v>90</v>
      </c>
      <c r="E77" s="38" t="s">
        <v>90</v>
      </c>
      <c r="F77" s="38" t="s">
        <v>90</v>
      </c>
      <c r="G77" s="21">
        <f t="shared" si="1"/>
        <v>0</v>
      </c>
      <c r="H77" s="821" t="s">
        <v>90</v>
      </c>
      <c r="I77" s="821" t="s">
        <v>90</v>
      </c>
      <c r="J77" s="821" t="s">
        <v>90</v>
      </c>
      <c r="K77" s="21">
        <f t="shared" si="3"/>
        <v>0</v>
      </c>
    </row>
    <row r="78" spans="1:11" x14ac:dyDescent="0.25">
      <c r="A78" s="1971" t="s">
        <v>181</v>
      </c>
      <c r="B78" s="1702" t="s">
        <v>32</v>
      </c>
      <c r="C78" s="1730"/>
      <c r="D78" s="1710">
        <v>0</v>
      </c>
      <c r="E78" s="1710">
        <v>0</v>
      </c>
      <c r="F78" s="1710">
        <v>0</v>
      </c>
      <c r="G78" s="1704">
        <f t="shared" si="1"/>
        <v>0</v>
      </c>
      <c r="H78" s="1710">
        <v>0</v>
      </c>
      <c r="I78" s="1710">
        <v>0</v>
      </c>
      <c r="J78" s="1710">
        <v>0</v>
      </c>
      <c r="K78" s="1704">
        <f t="shared" si="3"/>
        <v>0</v>
      </c>
    </row>
    <row r="79" spans="1:11" x14ac:dyDescent="0.25">
      <c r="A79" s="1971"/>
      <c r="B79" s="19" t="s">
        <v>33</v>
      </c>
      <c r="C79" s="198"/>
      <c r="D79" s="15">
        <v>0</v>
      </c>
      <c r="E79" s="15">
        <v>0</v>
      </c>
      <c r="F79" s="15">
        <v>0</v>
      </c>
      <c r="G79" s="21">
        <f t="shared" si="1"/>
        <v>0</v>
      </c>
      <c r="H79" s="814">
        <v>0</v>
      </c>
      <c r="I79" s="814">
        <v>0</v>
      </c>
      <c r="J79" s="814">
        <v>0</v>
      </c>
      <c r="K79" s="21">
        <f t="shared" si="3"/>
        <v>0</v>
      </c>
    </row>
    <row r="80" spans="1:11" x14ac:dyDescent="0.25">
      <c r="A80" s="1971"/>
      <c r="B80" s="19" t="s">
        <v>34</v>
      </c>
      <c r="C80" s="198"/>
      <c r="D80" s="15">
        <v>0</v>
      </c>
      <c r="E80" s="15">
        <v>0</v>
      </c>
      <c r="F80" s="15">
        <v>0</v>
      </c>
      <c r="G80" s="21">
        <f t="shared" si="1"/>
        <v>0</v>
      </c>
      <c r="H80" s="814">
        <v>0</v>
      </c>
      <c r="I80" s="814">
        <v>0</v>
      </c>
      <c r="J80" s="814">
        <v>0</v>
      </c>
      <c r="K80" s="21">
        <f t="shared" si="3"/>
        <v>0</v>
      </c>
    </row>
    <row r="81" spans="1:11" x14ac:dyDescent="0.25">
      <c r="A81" s="1971" t="s">
        <v>182</v>
      </c>
      <c r="B81" s="1702" t="s">
        <v>32</v>
      </c>
      <c r="C81" s="1730"/>
      <c r="D81" s="1710">
        <v>0</v>
      </c>
      <c r="E81" s="1710">
        <v>0</v>
      </c>
      <c r="F81" s="1710">
        <v>0</v>
      </c>
      <c r="G81" s="1704">
        <f t="shared" si="1"/>
        <v>0</v>
      </c>
      <c r="H81" s="1710">
        <v>0</v>
      </c>
      <c r="I81" s="1710">
        <v>0</v>
      </c>
      <c r="J81" s="1710">
        <v>0</v>
      </c>
      <c r="K81" s="1704">
        <f t="shared" si="3"/>
        <v>0</v>
      </c>
    </row>
    <row r="82" spans="1:11" x14ac:dyDescent="0.25">
      <c r="A82" s="1971"/>
      <c r="B82" s="19" t="s">
        <v>33</v>
      </c>
      <c r="C82" s="198"/>
      <c r="D82" s="15">
        <v>0</v>
      </c>
      <c r="E82" s="15">
        <v>0</v>
      </c>
      <c r="F82" s="15">
        <v>0</v>
      </c>
      <c r="G82" s="21">
        <f t="shared" si="1"/>
        <v>0</v>
      </c>
      <c r="H82" s="814">
        <v>0</v>
      </c>
      <c r="I82" s="814">
        <v>0</v>
      </c>
      <c r="J82" s="814">
        <v>0</v>
      </c>
      <c r="K82" s="21">
        <f t="shared" si="3"/>
        <v>0</v>
      </c>
    </row>
    <row r="83" spans="1:11" x14ac:dyDescent="0.25">
      <c r="A83" s="1971"/>
      <c r="B83" s="19" t="s">
        <v>34</v>
      </c>
      <c r="C83" s="198"/>
      <c r="D83" s="15">
        <v>0</v>
      </c>
      <c r="E83" s="15">
        <v>0</v>
      </c>
      <c r="F83" s="15">
        <v>0</v>
      </c>
      <c r="G83" s="21">
        <f t="shared" si="1"/>
        <v>0</v>
      </c>
      <c r="H83" s="814">
        <v>0</v>
      </c>
      <c r="I83" s="814">
        <v>0</v>
      </c>
      <c r="J83" s="814">
        <v>0</v>
      </c>
      <c r="K83" s="21">
        <f t="shared" si="3"/>
        <v>0</v>
      </c>
    </row>
    <row r="84" spans="1:11" x14ac:dyDescent="0.25">
      <c r="A84" s="1941" t="s">
        <v>183</v>
      </c>
      <c r="B84" s="1702" t="s">
        <v>32</v>
      </c>
      <c r="C84" s="1730"/>
      <c r="D84" s="1710">
        <v>0</v>
      </c>
      <c r="E84" s="1710">
        <v>0</v>
      </c>
      <c r="F84" s="1710">
        <v>0</v>
      </c>
      <c r="G84" s="1704">
        <f t="shared" si="1"/>
        <v>0</v>
      </c>
      <c r="H84" s="1710">
        <v>0</v>
      </c>
      <c r="I84" s="1710">
        <v>0</v>
      </c>
      <c r="J84" s="1710">
        <v>0</v>
      </c>
      <c r="K84" s="1704">
        <f t="shared" si="3"/>
        <v>0</v>
      </c>
    </row>
    <row r="85" spans="1:11" x14ac:dyDescent="0.25">
      <c r="A85" s="1941"/>
      <c r="B85" s="19" t="s">
        <v>33</v>
      </c>
      <c r="C85" s="198"/>
      <c r="D85" s="15">
        <v>0</v>
      </c>
      <c r="E85" s="15">
        <v>0</v>
      </c>
      <c r="F85" s="15">
        <v>0</v>
      </c>
      <c r="G85" s="21">
        <f t="shared" si="1"/>
        <v>0</v>
      </c>
      <c r="H85" s="814">
        <v>0</v>
      </c>
      <c r="I85" s="814">
        <v>0</v>
      </c>
      <c r="J85" s="814">
        <v>0</v>
      </c>
      <c r="K85" s="21">
        <f t="shared" si="3"/>
        <v>0</v>
      </c>
    </row>
    <row r="86" spans="1:11" ht="15.75" thickBot="1" x14ac:dyDescent="0.3">
      <c r="A86" s="1941"/>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40" t="s">
        <v>23</v>
      </c>
      <c r="B88" s="1697" t="s">
        <v>32</v>
      </c>
      <c r="C88" s="1698"/>
      <c r="D88" s="1731">
        <v>0</v>
      </c>
      <c r="E88" s="1731">
        <v>0</v>
      </c>
      <c r="F88" s="1732">
        <v>0</v>
      </c>
      <c r="G88" s="1701">
        <f t="shared" si="1"/>
        <v>0</v>
      </c>
      <c r="H88" s="1731">
        <v>0</v>
      </c>
      <c r="I88" s="1731">
        <v>0</v>
      </c>
      <c r="J88" s="1732">
        <v>0</v>
      </c>
      <c r="K88" s="1701">
        <f t="shared" ref="K88:K93" si="4" xml:space="preserve"> SUM(H88:J88) + $C88</f>
        <v>0</v>
      </c>
    </row>
    <row r="89" spans="1:11" x14ac:dyDescent="0.25">
      <c r="A89" s="1940"/>
      <c r="B89" s="19" t="s">
        <v>33</v>
      </c>
      <c r="C89" s="22"/>
      <c r="D89" s="541">
        <v>0</v>
      </c>
      <c r="E89" s="479">
        <v>0</v>
      </c>
      <c r="F89" s="525">
        <v>0</v>
      </c>
      <c r="G89" s="21">
        <f t="shared" si="1"/>
        <v>0</v>
      </c>
      <c r="H89" s="541">
        <v>0</v>
      </c>
      <c r="I89" s="479">
        <v>0</v>
      </c>
      <c r="J89" s="525">
        <v>0</v>
      </c>
      <c r="K89" s="21">
        <f t="shared" si="4"/>
        <v>0</v>
      </c>
    </row>
    <row r="90" spans="1:11" x14ac:dyDescent="0.25">
      <c r="A90" s="1940"/>
      <c r="B90" s="19" t="s">
        <v>34</v>
      </c>
      <c r="C90" s="22"/>
      <c r="D90" s="411">
        <v>0</v>
      </c>
      <c r="E90" s="15">
        <v>0</v>
      </c>
      <c r="F90" s="193">
        <v>0</v>
      </c>
      <c r="G90" s="21">
        <f t="shared" si="1"/>
        <v>0</v>
      </c>
      <c r="H90" s="830">
        <v>0</v>
      </c>
      <c r="I90" s="814">
        <v>0</v>
      </c>
      <c r="J90" s="824">
        <v>0</v>
      </c>
      <c r="K90" s="21">
        <f t="shared" si="4"/>
        <v>0</v>
      </c>
    </row>
    <row r="91" spans="1:11" x14ac:dyDescent="0.25">
      <c r="A91" s="1971" t="s">
        <v>24</v>
      </c>
      <c r="B91" s="1702" t="s">
        <v>32</v>
      </c>
      <c r="C91" s="1703"/>
      <c r="D91" s="1714">
        <v>4</v>
      </c>
      <c r="E91" s="1710">
        <v>0</v>
      </c>
      <c r="F91" s="1715">
        <v>0</v>
      </c>
      <c r="G91" s="1704">
        <f t="shared" si="1"/>
        <v>4</v>
      </c>
      <c r="H91" s="1714">
        <v>4</v>
      </c>
      <c r="I91" s="1710">
        <v>0</v>
      </c>
      <c r="J91" s="1715">
        <v>0</v>
      </c>
      <c r="K91" s="1704">
        <f t="shared" si="4"/>
        <v>4</v>
      </c>
    </row>
    <row r="92" spans="1:11" x14ac:dyDescent="0.25">
      <c r="A92" s="1971"/>
      <c r="B92" s="19" t="s">
        <v>33</v>
      </c>
      <c r="C92" s="22"/>
      <c r="D92" s="190">
        <v>1</v>
      </c>
      <c r="E92" s="15">
        <v>0</v>
      </c>
      <c r="F92" s="193">
        <v>0</v>
      </c>
      <c r="G92" s="21">
        <f t="shared" si="1"/>
        <v>1</v>
      </c>
      <c r="H92" s="823">
        <v>1</v>
      </c>
      <c r="I92" s="814">
        <v>0</v>
      </c>
      <c r="J92" s="824">
        <v>0</v>
      </c>
      <c r="K92" s="21">
        <f t="shared" si="4"/>
        <v>1</v>
      </c>
    </row>
    <row r="93" spans="1:11" x14ac:dyDescent="0.25">
      <c r="A93" s="1971"/>
      <c r="B93" s="19" t="s">
        <v>34</v>
      </c>
      <c r="C93" s="22"/>
      <c r="D93" s="190">
        <v>2</v>
      </c>
      <c r="E93" s="15">
        <v>0</v>
      </c>
      <c r="F93" s="193">
        <v>0</v>
      </c>
      <c r="G93" s="21">
        <f t="shared" si="1"/>
        <v>2</v>
      </c>
      <c r="H93" s="823">
        <v>2</v>
      </c>
      <c r="I93" s="814">
        <v>0</v>
      </c>
      <c r="J93" s="824">
        <v>0</v>
      </c>
      <c r="K93" s="21">
        <f t="shared" si="4"/>
        <v>2</v>
      </c>
    </row>
    <row r="94" spans="1:11" x14ac:dyDescent="0.25">
      <c r="A94" s="1971" t="s">
        <v>25</v>
      </c>
      <c r="B94" s="1702" t="s">
        <v>32</v>
      </c>
      <c r="C94" s="1703"/>
      <c r="D94" s="1714">
        <v>2</v>
      </c>
      <c r="E94" s="1710">
        <v>0</v>
      </c>
      <c r="F94" s="1715">
        <v>0</v>
      </c>
      <c r="G94" s="1704">
        <f t="shared" ref="G94:G105" si="5" xml:space="preserve"> SUM(D94:F94) + $C94</f>
        <v>2</v>
      </c>
      <c r="H94" s="1714">
        <v>2</v>
      </c>
      <c r="I94" s="1710">
        <v>0</v>
      </c>
      <c r="J94" s="1715">
        <v>0</v>
      </c>
      <c r="K94" s="1704">
        <f t="shared" ref="K94:K105" si="6" xml:space="preserve"> SUM(H94:J94) + $C94</f>
        <v>2</v>
      </c>
    </row>
    <row r="95" spans="1:11" x14ac:dyDescent="0.25">
      <c r="A95" s="1971"/>
      <c r="B95" s="19" t="s">
        <v>33</v>
      </c>
      <c r="C95" s="22"/>
      <c r="D95" s="190">
        <v>1</v>
      </c>
      <c r="E95" s="15">
        <v>0</v>
      </c>
      <c r="F95" s="193">
        <v>0</v>
      </c>
      <c r="G95" s="21">
        <f t="shared" si="5"/>
        <v>1</v>
      </c>
      <c r="H95" s="823">
        <v>1</v>
      </c>
      <c r="I95" s="814">
        <v>0</v>
      </c>
      <c r="J95" s="824">
        <v>0</v>
      </c>
      <c r="K95" s="21">
        <f t="shared" si="6"/>
        <v>1</v>
      </c>
    </row>
    <row r="96" spans="1:11" x14ac:dyDescent="0.25">
      <c r="A96" s="1971"/>
      <c r="B96" s="19" t="s">
        <v>34</v>
      </c>
      <c r="C96" s="22"/>
      <c r="D96" s="190">
        <v>2</v>
      </c>
      <c r="E96" s="15">
        <v>0</v>
      </c>
      <c r="F96" s="193">
        <v>0</v>
      </c>
      <c r="G96" s="21">
        <f t="shared" si="5"/>
        <v>2</v>
      </c>
      <c r="H96" s="823">
        <v>2</v>
      </c>
      <c r="I96" s="814">
        <v>0</v>
      </c>
      <c r="J96" s="824">
        <v>0</v>
      </c>
      <c r="K96" s="21">
        <f t="shared" si="6"/>
        <v>2</v>
      </c>
    </row>
    <row r="97" spans="1:11" x14ac:dyDescent="0.25">
      <c r="A97" s="1971" t="s">
        <v>26</v>
      </c>
      <c r="B97" s="1702" t="s">
        <v>32</v>
      </c>
      <c r="C97" s="1703"/>
      <c r="D97" s="1714">
        <v>6</v>
      </c>
      <c r="E97" s="1709">
        <v>0</v>
      </c>
      <c r="F97" s="1719">
        <v>0</v>
      </c>
      <c r="G97" s="1704">
        <f t="shared" si="5"/>
        <v>6</v>
      </c>
      <c r="H97" s="1714">
        <v>6</v>
      </c>
      <c r="I97" s="1709">
        <v>0</v>
      </c>
      <c r="J97" s="1719">
        <v>0</v>
      </c>
      <c r="K97" s="1704">
        <f t="shared" si="6"/>
        <v>6</v>
      </c>
    </row>
    <row r="98" spans="1:11" x14ac:dyDescent="0.25">
      <c r="A98" s="1971"/>
      <c r="B98" s="19" t="s">
        <v>33</v>
      </c>
      <c r="C98" s="22"/>
      <c r="D98" s="542">
        <v>2</v>
      </c>
      <c r="E98" s="38">
        <v>0</v>
      </c>
      <c r="F98" s="16">
        <v>0</v>
      </c>
      <c r="G98" s="21">
        <f t="shared" si="5"/>
        <v>2</v>
      </c>
      <c r="H98" s="838">
        <v>2</v>
      </c>
      <c r="I98" s="821">
        <v>0</v>
      </c>
      <c r="J98" s="815">
        <v>0</v>
      </c>
      <c r="K98" s="21">
        <f t="shared" si="6"/>
        <v>2</v>
      </c>
    </row>
    <row r="99" spans="1:11" x14ac:dyDescent="0.25">
      <c r="A99" s="1971"/>
      <c r="B99" s="19" t="s">
        <v>34</v>
      </c>
      <c r="C99" s="22"/>
      <c r="D99" s="542">
        <v>4</v>
      </c>
      <c r="E99" s="38">
        <v>0</v>
      </c>
      <c r="F99" s="16">
        <v>0</v>
      </c>
      <c r="G99" s="21">
        <f t="shared" si="5"/>
        <v>4</v>
      </c>
      <c r="H99" s="838">
        <v>4</v>
      </c>
      <c r="I99" s="821">
        <v>0</v>
      </c>
      <c r="J99" s="815">
        <v>0</v>
      </c>
      <c r="K99" s="21">
        <f t="shared" si="6"/>
        <v>4</v>
      </c>
    </row>
    <row r="100" spans="1:11" x14ac:dyDescent="0.25">
      <c r="A100" s="1971" t="s">
        <v>27</v>
      </c>
      <c r="B100" s="1702" t="s">
        <v>32</v>
      </c>
      <c r="C100" s="1703"/>
      <c r="D100" s="1714">
        <v>4</v>
      </c>
      <c r="E100" s="1709">
        <v>0</v>
      </c>
      <c r="F100" s="1719">
        <v>0</v>
      </c>
      <c r="G100" s="1704">
        <f t="shared" si="5"/>
        <v>4</v>
      </c>
      <c r="H100" s="1714">
        <v>4</v>
      </c>
      <c r="I100" s="1709">
        <v>0</v>
      </c>
      <c r="J100" s="1719">
        <v>0</v>
      </c>
      <c r="K100" s="1704">
        <f t="shared" si="6"/>
        <v>4</v>
      </c>
    </row>
    <row r="101" spans="1:11" x14ac:dyDescent="0.25">
      <c r="A101" s="1971"/>
      <c r="B101" s="19" t="s">
        <v>33</v>
      </c>
      <c r="C101" s="22"/>
      <c r="D101" s="542">
        <v>2</v>
      </c>
      <c r="E101" s="38">
        <v>0</v>
      </c>
      <c r="F101" s="16">
        <v>0</v>
      </c>
      <c r="G101" s="21">
        <f t="shared" si="5"/>
        <v>2</v>
      </c>
      <c r="H101" s="838">
        <v>2</v>
      </c>
      <c r="I101" s="821">
        <v>0</v>
      </c>
      <c r="J101" s="815">
        <v>0</v>
      </c>
      <c r="K101" s="21">
        <f t="shared" si="6"/>
        <v>2</v>
      </c>
    </row>
    <row r="102" spans="1:11" x14ac:dyDescent="0.25">
      <c r="A102" s="1971"/>
      <c r="B102" s="19" t="s">
        <v>34</v>
      </c>
      <c r="C102" s="22"/>
      <c r="D102" s="542">
        <v>4</v>
      </c>
      <c r="E102" s="38">
        <v>0</v>
      </c>
      <c r="F102" s="16">
        <v>0</v>
      </c>
      <c r="G102" s="21">
        <f t="shared" si="5"/>
        <v>4</v>
      </c>
      <c r="H102" s="838">
        <v>4</v>
      </c>
      <c r="I102" s="821">
        <v>0</v>
      </c>
      <c r="J102" s="815">
        <v>0</v>
      </c>
      <c r="K102" s="21">
        <f t="shared" si="6"/>
        <v>4</v>
      </c>
    </row>
    <row r="103" spans="1:11" x14ac:dyDescent="0.25">
      <c r="A103" s="1940" t="s">
        <v>28</v>
      </c>
      <c r="B103" s="1702" t="s">
        <v>32</v>
      </c>
      <c r="C103" s="1703"/>
      <c r="D103" s="1714">
        <v>2</v>
      </c>
      <c r="E103" s="1709">
        <v>0</v>
      </c>
      <c r="F103" s="1719">
        <v>0</v>
      </c>
      <c r="G103" s="1704">
        <f t="shared" si="5"/>
        <v>2</v>
      </c>
      <c r="H103" s="1714">
        <v>2</v>
      </c>
      <c r="I103" s="1709">
        <v>0</v>
      </c>
      <c r="J103" s="1719">
        <v>0</v>
      </c>
      <c r="K103" s="1704">
        <f t="shared" si="6"/>
        <v>2</v>
      </c>
    </row>
    <row r="104" spans="1:11" x14ac:dyDescent="0.25">
      <c r="A104" s="1940"/>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38"/>
      <c r="B105" s="20" t="s">
        <v>34</v>
      </c>
      <c r="C105" s="23"/>
      <c r="D105" s="196">
        <v>1</v>
      </c>
      <c r="E105" s="408">
        <v>0</v>
      </c>
      <c r="F105" s="17">
        <v>0</v>
      </c>
      <c r="G105" s="24">
        <f t="shared" si="5"/>
        <v>1</v>
      </c>
      <c r="H105" s="826">
        <v>1</v>
      </c>
      <c r="I105" s="829">
        <v>0</v>
      </c>
      <c r="J105" s="816">
        <v>0</v>
      </c>
      <c r="K105" s="24">
        <f t="shared" si="6"/>
        <v>1</v>
      </c>
    </row>
    <row r="107" spans="1:11" ht="15.75" x14ac:dyDescent="0.25">
      <c r="A107" s="1690" t="s">
        <v>1705</v>
      </c>
      <c r="B107" s="1690" t="s">
        <v>1706</v>
      </c>
      <c r="C107" s="1722"/>
      <c r="D107" s="1695"/>
      <c r="E107" s="1722" t="s">
        <v>1707</v>
      </c>
    </row>
    <row r="108" spans="1:11" ht="60" x14ac:dyDescent="0.25">
      <c r="A108" s="1691" t="s">
        <v>617</v>
      </c>
      <c r="B108" s="1691" t="s">
        <v>1810</v>
      </c>
      <c r="C108" s="1722"/>
      <c r="D108" s="1722"/>
      <c r="E108" s="1722"/>
    </row>
    <row r="109" spans="1:11" ht="60" x14ac:dyDescent="0.25">
      <c r="A109" s="1691" t="s">
        <v>617</v>
      </c>
      <c r="B109" s="1691" t="s">
        <v>1810</v>
      </c>
      <c r="C109" s="1722"/>
      <c r="D109" s="1722"/>
      <c r="E109" s="1722"/>
    </row>
    <row r="110" spans="1:11" ht="60" x14ac:dyDescent="0.25">
      <c r="A110" s="1691" t="s">
        <v>617</v>
      </c>
      <c r="B110" s="1691" t="s">
        <v>1810</v>
      </c>
      <c r="C110" s="1722"/>
      <c r="D110" s="1722"/>
      <c r="E110" s="1722"/>
    </row>
    <row r="111" spans="1:11" x14ac:dyDescent="0.25">
      <c r="A111" s="1722"/>
      <c r="B111" s="1722"/>
      <c r="C111" s="1722"/>
      <c r="D111" s="1722"/>
      <c r="E111" s="1722"/>
    </row>
    <row r="112" spans="1:11" x14ac:dyDescent="0.25">
      <c r="A112" s="1692" t="s">
        <v>89</v>
      </c>
      <c r="B112" s="1722" t="s">
        <v>1707</v>
      </c>
      <c r="C112" s="1722"/>
      <c r="D112" s="1722"/>
      <c r="E112" s="1722"/>
    </row>
  </sheetData>
  <autoFilter ref="A2:K105" xr:uid="{00000000-0001-0000-5200-000000000000}"/>
  <mergeCells count="37">
    <mergeCell ref="A25:A27"/>
    <mergeCell ref="D1:G1"/>
    <mergeCell ref="H1:K1"/>
    <mergeCell ref="C2:C3"/>
    <mergeCell ref="G2:G3"/>
    <mergeCell ref="K2:K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22" t="str">
        <f>'Служебный АСУТП'!AG2</f>
        <v>Windows Security Options</v>
      </c>
      <c r="E1" s="1923"/>
      <c r="F1" s="1923"/>
      <c r="G1" s="1924"/>
      <c r="H1" s="1922" t="str">
        <f>'Служебный АСУТП'!AG3</f>
        <v>Linux Security Options</v>
      </c>
      <c r="I1" s="1923"/>
      <c r="J1" s="1923"/>
      <c r="K1" s="1924"/>
      <c r="L1" s="1922" t="str">
        <f>'Служебный АСУТП'!AG4</f>
        <v>Astra Linux</v>
      </c>
      <c r="M1" s="1923"/>
      <c r="N1" s="1923"/>
      <c r="O1" s="1924"/>
      <c r="P1" s="1922" t="str">
        <f>'Служебный АСУТП'!AG5</f>
        <v>РЕД ОС</v>
      </c>
      <c r="Q1" s="1923"/>
      <c r="R1" s="1923"/>
      <c r="S1" s="1924"/>
    </row>
    <row r="2" spans="1:19" ht="15.75" x14ac:dyDescent="0.25">
      <c r="B2" s="41" t="s">
        <v>37</v>
      </c>
      <c r="C2" s="1932" t="s">
        <v>35</v>
      </c>
      <c r="D2" s="718" t="s">
        <v>615</v>
      </c>
      <c r="E2" s="718" t="s">
        <v>615</v>
      </c>
      <c r="F2" s="718" t="s">
        <v>615</v>
      </c>
      <c r="G2" s="1925" t="s">
        <v>38</v>
      </c>
      <c r="H2" s="718" t="s">
        <v>615</v>
      </c>
      <c r="I2" s="718" t="s">
        <v>615</v>
      </c>
      <c r="J2" s="718" t="s">
        <v>615</v>
      </c>
      <c r="K2" s="1925" t="s">
        <v>38</v>
      </c>
      <c r="L2" s="718" t="s">
        <v>615</v>
      </c>
      <c r="M2" s="718" t="s">
        <v>615</v>
      </c>
      <c r="N2" s="718" t="s">
        <v>615</v>
      </c>
      <c r="O2" s="1925" t="s">
        <v>38</v>
      </c>
      <c r="P2" s="718" t="s">
        <v>615</v>
      </c>
      <c r="Q2" s="718" t="s">
        <v>615</v>
      </c>
      <c r="R2" s="718" t="s">
        <v>615</v>
      </c>
      <c r="S2" s="1925" t="s">
        <v>38</v>
      </c>
    </row>
    <row r="3" spans="1:19" ht="16.5" thickBot="1" x14ac:dyDescent="0.3">
      <c r="A3" s="12" t="s">
        <v>36</v>
      </c>
      <c r="B3" s="768">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c r="P3" s="37">
        <f>INDEX(ТрЗ_ОП!$P$11:$P$102,MATCH(P2,ТрЗ_ОП!$O$11:$O$102,0))</f>
        <v>0</v>
      </c>
      <c r="Q3" s="37">
        <f>INDEX(ТрЗ_ОП!$P$11:$P$102,MATCH(Q2,ТрЗ_ОП!$O$11:$O$102,0))</f>
        <v>0</v>
      </c>
      <c r="R3" s="37">
        <f>INDEX(ТрЗ_ОП!$P$11:$P$102,MATCH(R2,ТрЗ_ОП!$O$11:$O$102,0))</f>
        <v>0</v>
      </c>
      <c r="S3" s="1925"/>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40" t="s">
        <v>0</v>
      </c>
      <c r="B5" s="1737" t="s">
        <v>32</v>
      </c>
      <c r="C5" s="1738"/>
      <c r="D5" s="1739">
        <v>1</v>
      </c>
      <c r="E5" s="1739">
        <v>0</v>
      </c>
      <c r="F5" s="1739">
        <v>0</v>
      </c>
      <c r="G5" s="1740">
        <f xml:space="preserve"> SUM(D5:F5) + $C5</f>
        <v>1</v>
      </c>
      <c r="H5" s="1739">
        <v>1</v>
      </c>
      <c r="I5" s="1739">
        <v>0</v>
      </c>
      <c r="J5" s="1739">
        <v>0</v>
      </c>
      <c r="K5" s="1740">
        <f t="shared" ref="K5:K10" si="0" xml:space="preserve"> SUM(H5:J5) + $C5</f>
        <v>1</v>
      </c>
      <c r="L5" s="1739">
        <v>1</v>
      </c>
      <c r="M5" s="1739">
        <v>0</v>
      </c>
      <c r="N5" s="1739">
        <v>0</v>
      </c>
      <c r="O5" s="1740">
        <f t="shared" ref="O5:O10" si="1" xml:space="preserve"> SUM(L5:N5) + $C5</f>
        <v>1</v>
      </c>
      <c r="P5" s="1739">
        <v>1</v>
      </c>
      <c r="Q5" s="1739">
        <v>0</v>
      </c>
      <c r="R5" s="1739">
        <v>0</v>
      </c>
      <c r="S5" s="1740">
        <f t="shared" ref="S5:S10" si="2" xml:space="preserve"> SUM(P5:R5) + $C5</f>
        <v>1</v>
      </c>
    </row>
    <row r="6" spans="1:19" x14ac:dyDescent="0.25">
      <c r="A6" s="1940"/>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75"/>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40" t="s">
        <v>449</v>
      </c>
      <c r="B8" s="1737" t="s">
        <v>32</v>
      </c>
      <c r="C8" s="1738"/>
      <c r="D8" s="1739">
        <v>1</v>
      </c>
      <c r="E8" s="1741">
        <v>0</v>
      </c>
      <c r="F8" s="1741">
        <v>0</v>
      </c>
      <c r="G8" s="1742">
        <f xml:space="preserve"> SUM(D8:F8) + $C8</f>
        <v>1</v>
      </c>
      <c r="H8" s="1739">
        <v>1</v>
      </c>
      <c r="I8" s="1741">
        <v>0</v>
      </c>
      <c r="J8" s="1741">
        <v>0</v>
      </c>
      <c r="K8" s="1742">
        <f t="shared" si="0"/>
        <v>1</v>
      </c>
      <c r="L8" s="1739">
        <v>1</v>
      </c>
      <c r="M8" s="1741">
        <v>0</v>
      </c>
      <c r="N8" s="1741">
        <v>0</v>
      </c>
      <c r="O8" s="1742">
        <f t="shared" si="1"/>
        <v>1</v>
      </c>
      <c r="P8" s="1739">
        <v>1</v>
      </c>
      <c r="Q8" s="1741">
        <v>0</v>
      </c>
      <c r="R8" s="1741">
        <v>0</v>
      </c>
      <c r="S8" s="1742">
        <f t="shared" si="2"/>
        <v>1</v>
      </c>
    </row>
    <row r="9" spans="1:19" x14ac:dyDescent="0.25">
      <c r="A9" s="1940"/>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40"/>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40" t="s">
        <v>2</v>
      </c>
      <c r="B12" s="1737" t="s">
        <v>32</v>
      </c>
      <c r="C12" s="1738"/>
      <c r="D12" s="1739">
        <v>4</v>
      </c>
      <c r="E12" s="1739">
        <v>0</v>
      </c>
      <c r="F12" s="1739">
        <v>0</v>
      </c>
      <c r="G12" s="1740">
        <f t="shared" si="3"/>
        <v>4</v>
      </c>
      <c r="H12" s="1739">
        <v>4</v>
      </c>
      <c r="I12" s="1739">
        <v>0</v>
      </c>
      <c r="J12" s="1739">
        <v>0</v>
      </c>
      <c r="K12" s="1740">
        <f xml:space="preserve"> SUM(H12:J12) + $C12</f>
        <v>4</v>
      </c>
      <c r="L12" s="1739">
        <v>4</v>
      </c>
      <c r="M12" s="1739">
        <v>0</v>
      </c>
      <c r="N12" s="1739">
        <v>0</v>
      </c>
      <c r="O12" s="1740">
        <f xml:space="preserve"> SUM(L12:N12) + $C12</f>
        <v>4</v>
      </c>
      <c r="P12" s="1739">
        <v>4</v>
      </c>
      <c r="Q12" s="1739">
        <v>0</v>
      </c>
      <c r="R12" s="1739">
        <v>0</v>
      </c>
      <c r="S12" s="1740">
        <f xml:space="preserve"> SUM(P12:R12) + $C12</f>
        <v>4</v>
      </c>
    </row>
    <row r="13" spans="1:19" x14ac:dyDescent="0.25">
      <c r="A13" s="1940"/>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40"/>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36" t="s">
        <v>4</v>
      </c>
      <c r="B16" s="1743" t="s">
        <v>32</v>
      </c>
      <c r="C16" s="1738"/>
      <c r="D16" s="1744">
        <v>0</v>
      </c>
      <c r="E16" s="1744">
        <v>0</v>
      </c>
      <c r="F16" s="1745">
        <v>0</v>
      </c>
      <c r="G16" s="1740">
        <f t="shared" si="3"/>
        <v>0</v>
      </c>
      <c r="H16" s="1744">
        <v>0</v>
      </c>
      <c r="I16" s="1744">
        <v>0</v>
      </c>
      <c r="J16" s="1745">
        <v>0</v>
      </c>
      <c r="K16" s="1740">
        <f t="shared" ref="K16:K36" si="4" xml:space="preserve"> SUM(H16:J16) + $C16</f>
        <v>0</v>
      </c>
      <c r="L16" s="1744">
        <v>0</v>
      </c>
      <c r="M16" s="1744">
        <v>0</v>
      </c>
      <c r="N16" s="1745">
        <v>0</v>
      </c>
      <c r="O16" s="1740">
        <f t="shared" ref="O16:O36" si="5" xml:space="preserve"> SUM(L16:N16) + $C16</f>
        <v>0</v>
      </c>
      <c r="P16" s="1744">
        <v>0</v>
      </c>
      <c r="Q16" s="1744">
        <v>0</v>
      </c>
      <c r="R16" s="1745">
        <v>0</v>
      </c>
      <c r="S16" s="1740">
        <f t="shared" ref="S16:S36" si="6" xml:space="preserve"> SUM(P16:R16) + $C16</f>
        <v>0</v>
      </c>
    </row>
    <row r="17" spans="1:19" x14ac:dyDescent="0.25">
      <c r="A17" s="1972"/>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72"/>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72" t="s">
        <v>5</v>
      </c>
      <c r="B19" s="1746" t="s">
        <v>32</v>
      </c>
      <c r="C19" s="1747"/>
      <c r="D19" s="1748">
        <v>1</v>
      </c>
      <c r="E19" s="1749">
        <v>0</v>
      </c>
      <c r="F19" s="1750">
        <v>0</v>
      </c>
      <c r="G19" s="1742">
        <f t="shared" si="3"/>
        <v>1</v>
      </c>
      <c r="H19" s="1748">
        <v>2</v>
      </c>
      <c r="I19" s="1749">
        <v>0</v>
      </c>
      <c r="J19" s="1750">
        <v>0</v>
      </c>
      <c r="K19" s="1742">
        <f t="shared" si="4"/>
        <v>2</v>
      </c>
      <c r="L19" s="1748">
        <v>2</v>
      </c>
      <c r="M19" s="1749">
        <v>0</v>
      </c>
      <c r="N19" s="1750">
        <v>0</v>
      </c>
      <c r="O19" s="1742">
        <f t="shared" si="5"/>
        <v>2</v>
      </c>
      <c r="P19" s="1748">
        <v>4</v>
      </c>
      <c r="Q19" s="1749">
        <v>0</v>
      </c>
      <c r="R19" s="1750">
        <v>0</v>
      </c>
      <c r="S19" s="1742">
        <f t="shared" si="6"/>
        <v>4</v>
      </c>
    </row>
    <row r="20" spans="1:19" x14ac:dyDescent="0.25">
      <c r="A20" s="1972"/>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72"/>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72" t="s">
        <v>6</v>
      </c>
      <c r="B22" s="1746" t="s">
        <v>32</v>
      </c>
      <c r="C22" s="1747"/>
      <c r="D22" s="1741">
        <v>4</v>
      </c>
      <c r="E22" s="1741">
        <v>0</v>
      </c>
      <c r="F22" s="1741">
        <v>0</v>
      </c>
      <c r="G22" s="1742">
        <f t="shared" si="3"/>
        <v>4</v>
      </c>
      <c r="H22" s="1741">
        <v>4</v>
      </c>
      <c r="I22" s="1741">
        <v>0</v>
      </c>
      <c r="J22" s="1741">
        <v>0</v>
      </c>
      <c r="K22" s="1742">
        <f t="shared" si="4"/>
        <v>4</v>
      </c>
      <c r="L22" s="1741">
        <v>4</v>
      </c>
      <c r="M22" s="1741">
        <v>0</v>
      </c>
      <c r="N22" s="1741">
        <v>0</v>
      </c>
      <c r="O22" s="1742">
        <f t="shared" si="5"/>
        <v>4</v>
      </c>
      <c r="P22" s="1741">
        <v>4</v>
      </c>
      <c r="Q22" s="1741">
        <v>0</v>
      </c>
      <c r="R22" s="1741">
        <v>0</v>
      </c>
      <c r="S22" s="1742">
        <f t="shared" si="6"/>
        <v>4</v>
      </c>
    </row>
    <row r="23" spans="1:19" x14ac:dyDescent="0.25">
      <c r="A23" s="1972"/>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72"/>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72" t="s">
        <v>7</v>
      </c>
      <c r="B25" s="1746" t="s">
        <v>32</v>
      </c>
      <c r="C25" s="1747"/>
      <c r="D25" s="1748">
        <v>0</v>
      </c>
      <c r="E25" s="1749">
        <v>0</v>
      </c>
      <c r="F25" s="1750">
        <v>0</v>
      </c>
      <c r="G25" s="1742">
        <f t="shared" si="3"/>
        <v>0</v>
      </c>
      <c r="H25" s="1748">
        <v>0</v>
      </c>
      <c r="I25" s="1749">
        <v>0</v>
      </c>
      <c r="J25" s="1750">
        <v>0</v>
      </c>
      <c r="K25" s="1742">
        <f t="shared" si="4"/>
        <v>0</v>
      </c>
      <c r="L25" s="1748">
        <v>0</v>
      </c>
      <c r="M25" s="1749">
        <v>0</v>
      </c>
      <c r="N25" s="1750">
        <v>0</v>
      </c>
      <c r="O25" s="1742">
        <f t="shared" si="5"/>
        <v>0</v>
      </c>
      <c r="P25" s="1748">
        <v>0</v>
      </c>
      <c r="Q25" s="1749">
        <v>0</v>
      </c>
      <c r="R25" s="1750">
        <v>0</v>
      </c>
      <c r="S25" s="1742">
        <f t="shared" si="6"/>
        <v>0</v>
      </c>
    </row>
    <row r="26" spans="1:19" x14ac:dyDescent="0.25">
      <c r="A26" s="1972"/>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72"/>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72" t="s">
        <v>8</v>
      </c>
      <c r="B28" s="1746" t="s">
        <v>32</v>
      </c>
      <c r="C28" s="1747"/>
      <c r="D28" s="1748">
        <v>2</v>
      </c>
      <c r="E28" s="1749">
        <v>0</v>
      </c>
      <c r="F28" s="1750">
        <v>0</v>
      </c>
      <c r="G28" s="1742">
        <f t="shared" si="3"/>
        <v>2</v>
      </c>
      <c r="H28" s="1748">
        <v>2</v>
      </c>
      <c r="I28" s="1749">
        <v>0</v>
      </c>
      <c r="J28" s="1750">
        <v>0</v>
      </c>
      <c r="K28" s="1742">
        <f t="shared" si="4"/>
        <v>2</v>
      </c>
      <c r="L28" s="1748">
        <v>4</v>
      </c>
      <c r="M28" s="1749">
        <v>0</v>
      </c>
      <c r="N28" s="1750">
        <v>0</v>
      </c>
      <c r="O28" s="1742">
        <f t="shared" si="5"/>
        <v>4</v>
      </c>
      <c r="P28" s="1748">
        <v>4</v>
      </c>
      <c r="Q28" s="1749">
        <v>0</v>
      </c>
      <c r="R28" s="1750">
        <v>0</v>
      </c>
      <c r="S28" s="1742">
        <f t="shared" si="6"/>
        <v>4</v>
      </c>
    </row>
    <row r="29" spans="1:19" x14ac:dyDescent="0.25">
      <c r="A29" s="1972"/>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72"/>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23" t="s">
        <v>9</v>
      </c>
      <c r="B31" s="1746" t="s">
        <v>32</v>
      </c>
      <c r="C31" s="1747"/>
      <c r="D31" s="1748">
        <v>0</v>
      </c>
      <c r="E31" s="1749">
        <v>0</v>
      </c>
      <c r="F31" s="1749">
        <v>0</v>
      </c>
      <c r="G31" s="1742">
        <f t="shared" si="3"/>
        <v>0</v>
      </c>
      <c r="H31" s="1748">
        <v>0</v>
      </c>
      <c r="I31" s="1749">
        <v>0</v>
      </c>
      <c r="J31" s="1749">
        <v>0</v>
      </c>
      <c r="K31" s="1742">
        <f t="shared" si="4"/>
        <v>0</v>
      </c>
      <c r="L31" s="1748">
        <v>0</v>
      </c>
      <c r="M31" s="1749">
        <v>0</v>
      </c>
      <c r="N31" s="1749">
        <v>0</v>
      </c>
      <c r="O31" s="1742">
        <f t="shared" si="5"/>
        <v>0</v>
      </c>
      <c r="P31" s="1748">
        <v>0</v>
      </c>
      <c r="Q31" s="1749">
        <v>0</v>
      </c>
      <c r="R31" s="1749">
        <v>0</v>
      </c>
      <c r="S31" s="1742">
        <f t="shared" si="6"/>
        <v>0</v>
      </c>
    </row>
    <row r="32" spans="1:19" x14ac:dyDescent="0.25">
      <c r="A32" s="2323"/>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23"/>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72" t="s">
        <v>10</v>
      </c>
      <c r="B34" s="1746" t="s">
        <v>32</v>
      </c>
      <c r="C34" s="1747"/>
      <c r="D34" s="1748">
        <v>0</v>
      </c>
      <c r="E34" s="1749">
        <v>0</v>
      </c>
      <c r="F34" s="1749">
        <v>0</v>
      </c>
      <c r="G34" s="1742">
        <f t="shared" si="3"/>
        <v>0</v>
      </c>
      <c r="H34" s="1748">
        <v>0</v>
      </c>
      <c r="I34" s="1749">
        <v>0</v>
      </c>
      <c r="J34" s="1749">
        <v>0</v>
      </c>
      <c r="K34" s="1742">
        <f t="shared" si="4"/>
        <v>0</v>
      </c>
      <c r="L34" s="1748">
        <v>0</v>
      </c>
      <c r="M34" s="1749">
        <v>0</v>
      </c>
      <c r="N34" s="1749">
        <v>0</v>
      </c>
      <c r="O34" s="1742">
        <f t="shared" si="5"/>
        <v>0</v>
      </c>
      <c r="P34" s="1748">
        <v>0</v>
      </c>
      <c r="Q34" s="1749">
        <v>0</v>
      </c>
      <c r="R34" s="1749">
        <v>0</v>
      </c>
      <c r="S34" s="1742">
        <f t="shared" si="6"/>
        <v>0</v>
      </c>
    </row>
    <row r="35" spans="1:19" x14ac:dyDescent="0.25">
      <c r="A35" s="1972"/>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39"/>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40" t="s">
        <v>12</v>
      </c>
      <c r="B38" s="1737" t="s">
        <v>32</v>
      </c>
      <c r="C38" s="1738"/>
      <c r="D38" s="1739">
        <v>4</v>
      </c>
      <c r="E38" s="1739">
        <v>0</v>
      </c>
      <c r="F38" s="1739">
        <v>0</v>
      </c>
      <c r="G38" s="1740">
        <f t="shared" si="3"/>
        <v>4</v>
      </c>
      <c r="H38" s="1739">
        <v>4</v>
      </c>
      <c r="I38" s="1739">
        <v>0</v>
      </c>
      <c r="J38" s="1739">
        <v>0</v>
      </c>
      <c r="K38" s="1740">
        <f xml:space="preserve"> SUM(H38:J38) + $C38</f>
        <v>4</v>
      </c>
      <c r="L38" s="1739">
        <v>8</v>
      </c>
      <c r="M38" s="1739">
        <v>0</v>
      </c>
      <c r="N38" s="1739">
        <v>0</v>
      </c>
      <c r="O38" s="1740">
        <f xml:space="preserve"> SUM(L38:N38) + $C38</f>
        <v>8</v>
      </c>
      <c r="P38" s="1739">
        <v>8</v>
      </c>
      <c r="Q38" s="1739">
        <v>0</v>
      </c>
      <c r="R38" s="1739">
        <v>0</v>
      </c>
      <c r="S38" s="1740">
        <f xml:space="preserve"> SUM(P38:R38) + $C38</f>
        <v>8</v>
      </c>
    </row>
    <row r="39" spans="1:19" x14ac:dyDescent="0.25">
      <c r="A39" s="1940"/>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40"/>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40" t="s">
        <v>14</v>
      </c>
      <c r="B42" s="1737" t="s">
        <v>32</v>
      </c>
      <c r="C42" s="1738"/>
      <c r="D42" s="1748">
        <v>0.5</v>
      </c>
      <c r="E42" s="1749">
        <v>0</v>
      </c>
      <c r="F42" s="1750">
        <v>0</v>
      </c>
      <c r="G42" s="1740">
        <f t="shared" si="3"/>
        <v>0.5</v>
      </c>
      <c r="H42" s="1748">
        <v>0.5</v>
      </c>
      <c r="I42" s="1749">
        <v>0</v>
      </c>
      <c r="J42" s="1750">
        <v>0</v>
      </c>
      <c r="K42" s="1740">
        <f t="shared" ref="K42:K86" si="7" xml:space="preserve"> SUM(H42:J42) + $C42</f>
        <v>0.5</v>
      </c>
      <c r="L42" s="1748">
        <v>2</v>
      </c>
      <c r="M42" s="1749">
        <v>0</v>
      </c>
      <c r="N42" s="1750">
        <v>0</v>
      </c>
      <c r="O42" s="1740">
        <f t="shared" ref="O42:O86" si="8" xml:space="preserve"> SUM(L42:N42) + $C42</f>
        <v>2</v>
      </c>
      <c r="P42" s="1748">
        <v>4</v>
      </c>
      <c r="Q42" s="1749">
        <v>0</v>
      </c>
      <c r="R42" s="1750">
        <v>0</v>
      </c>
      <c r="S42" s="1740">
        <f t="shared" ref="S42:S86" si="9" xml:space="preserve"> SUM(P42:R42) + $C42</f>
        <v>4</v>
      </c>
    </row>
    <row r="43" spans="1:19" x14ac:dyDescent="0.25">
      <c r="A43" s="1940"/>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40"/>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71" t="s">
        <v>15</v>
      </c>
      <c r="B45" s="1746" t="s">
        <v>32</v>
      </c>
      <c r="C45" s="1747"/>
      <c r="D45" s="1748">
        <v>4</v>
      </c>
      <c r="E45" s="1749">
        <v>0</v>
      </c>
      <c r="F45" s="1749">
        <v>0</v>
      </c>
      <c r="G45" s="1742">
        <f t="shared" si="3"/>
        <v>4</v>
      </c>
      <c r="H45" s="1748">
        <v>4</v>
      </c>
      <c r="I45" s="1749">
        <v>0</v>
      </c>
      <c r="J45" s="1749">
        <v>0</v>
      </c>
      <c r="K45" s="1742">
        <f t="shared" si="7"/>
        <v>4</v>
      </c>
      <c r="L45" s="1748">
        <v>20</v>
      </c>
      <c r="M45" s="1749">
        <v>0</v>
      </c>
      <c r="N45" s="1749">
        <v>0</v>
      </c>
      <c r="O45" s="1742">
        <f t="shared" si="8"/>
        <v>20</v>
      </c>
      <c r="P45" s="1748">
        <v>20</v>
      </c>
      <c r="Q45" s="1749">
        <v>0</v>
      </c>
      <c r="R45" s="1749">
        <v>0</v>
      </c>
      <c r="S45" s="1742">
        <f t="shared" si="9"/>
        <v>20</v>
      </c>
    </row>
    <row r="46" spans="1:19" x14ac:dyDescent="0.25">
      <c r="A46" s="1971"/>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71"/>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71" t="s">
        <v>16</v>
      </c>
      <c r="B48" s="1746" t="s">
        <v>32</v>
      </c>
      <c r="C48" s="1747"/>
      <c r="D48" s="1749">
        <v>0</v>
      </c>
      <c r="E48" s="1749">
        <v>0</v>
      </c>
      <c r="F48" s="1750">
        <v>0</v>
      </c>
      <c r="G48" s="1742">
        <f t="shared" si="3"/>
        <v>0</v>
      </c>
      <c r="H48" s="1749">
        <v>0</v>
      </c>
      <c r="I48" s="1749">
        <v>0</v>
      </c>
      <c r="J48" s="1750">
        <v>0</v>
      </c>
      <c r="K48" s="1742">
        <f t="shared" si="7"/>
        <v>0</v>
      </c>
      <c r="L48" s="1749">
        <v>0</v>
      </c>
      <c r="M48" s="1749">
        <v>0</v>
      </c>
      <c r="N48" s="1750">
        <v>0</v>
      </c>
      <c r="O48" s="1742">
        <f t="shared" si="8"/>
        <v>0</v>
      </c>
      <c r="P48" s="1749">
        <v>0</v>
      </c>
      <c r="Q48" s="1749">
        <v>0</v>
      </c>
      <c r="R48" s="1750">
        <v>0</v>
      </c>
      <c r="S48" s="1742">
        <f t="shared" si="9"/>
        <v>0</v>
      </c>
    </row>
    <row r="49" spans="1:19" x14ac:dyDescent="0.25">
      <c r="A49" s="1971"/>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71"/>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71" t="s">
        <v>17</v>
      </c>
      <c r="B51" s="1746" t="s">
        <v>32</v>
      </c>
      <c r="C51" s="1747"/>
      <c r="D51" s="1749">
        <v>0</v>
      </c>
      <c r="E51" s="1749">
        <v>0</v>
      </c>
      <c r="F51" s="1749">
        <v>0</v>
      </c>
      <c r="G51" s="1742">
        <f t="shared" si="3"/>
        <v>0</v>
      </c>
      <c r="H51" s="1749">
        <v>0</v>
      </c>
      <c r="I51" s="1749">
        <v>0</v>
      </c>
      <c r="J51" s="1749">
        <v>0</v>
      </c>
      <c r="K51" s="1742">
        <f t="shared" si="7"/>
        <v>0</v>
      </c>
      <c r="L51" s="1749">
        <v>0</v>
      </c>
      <c r="M51" s="1749">
        <v>0</v>
      </c>
      <c r="N51" s="1749">
        <v>0</v>
      </c>
      <c r="O51" s="1742">
        <f t="shared" si="8"/>
        <v>0</v>
      </c>
      <c r="P51" s="1749">
        <v>0</v>
      </c>
      <c r="Q51" s="1749">
        <v>0</v>
      </c>
      <c r="R51" s="1749">
        <v>0</v>
      </c>
      <c r="S51" s="1742">
        <f t="shared" si="9"/>
        <v>0</v>
      </c>
    </row>
    <row r="52" spans="1:19" x14ac:dyDescent="0.25">
      <c r="A52" s="1971"/>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71"/>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71" t="s">
        <v>18</v>
      </c>
      <c r="B54" s="1746" t="s">
        <v>32</v>
      </c>
      <c r="C54" s="1747"/>
      <c r="D54" s="1749">
        <v>0</v>
      </c>
      <c r="E54" s="1749">
        <v>0</v>
      </c>
      <c r="F54" s="1749">
        <v>0</v>
      </c>
      <c r="G54" s="1742">
        <f t="shared" si="3"/>
        <v>0</v>
      </c>
      <c r="H54" s="1749">
        <v>0</v>
      </c>
      <c r="I54" s="1749">
        <v>0</v>
      </c>
      <c r="J54" s="1749">
        <v>0</v>
      </c>
      <c r="K54" s="1742">
        <f t="shared" si="7"/>
        <v>0</v>
      </c>
      <c r="L54" s="1749">
        <v>0</v>
      </c>
      <c r="M54" s="1749">
        <v>0</v>
      </c>
      <c r="N54" s="1749">
        <v>0</v>
      </c>
      <c r="O54" s="1742">
        <f t="shared" si="8"/>
        <v>0</v>
      </c>
      <c r="P54" s="1749">
        <v>0</v>
      </c>
      <c r="Q54" s="1749">
        <v>0</v>
      </c>
      <c r="R54" s="1749">
        <v>0</v>
      </c>
      <c r="S54" s="1742">
        <f t="shared" si="9"/>
        <v>0</v>
      </c>
    </row>
    <row r="55" spans="1:19" x14ac:dyDescent="0.25">
      <c r="A55" s="1971"/>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71"/>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71" t="s">
        <v>19</v>
      </c>
      <c r="B57" s="1746" t="s">
        <v>32</v>
      </c>
      <c r="C57" s="1747"/>
      <c r="D57" s="1748">
        <v>0.5</v>
      </c>
      <c r="E57" s="1749">
        <v>0</v>
      </c>
      <c r="F57" s="1749">
        <v>0</v>
      </c>
      <c r="G57" s="1742">
        <f t="shared" si="3"/>
        <v>0.5</v>
      </c>
      <c r="H57" s="1748">
        <v>0.5</v>
      </c>
      <c r="I57" s="1749">
        <v>0</v>
      </c>
      <c r="J57" s="1749">
        <v>0</v>
      </c>
      <c r="K57" s="1742">
        <f t="shared" si="7"/>
        <v>0.5</v>
      </c>
      <c r="L57" s="1748">
        <v>0.5</v>
      </c>
      <c r="M57" s="1749">
        <v>0</v>
      </c>
      <c r="N57" s="1749">
        <v>0</v>
      </c>
      <c r="O57" s="1742">
        <f t="shared" si="8"/>
        <v>0.5</v>
      </c>
      <c r="P57" s="1748">
        <v>0.5</v>
      </c>
      <c r="Q57" s="1749">
        <v>0</v>
      </c>
      <c r="R57" s="1749">
        <v>0</v>
      </c>
      <c r="S57" s="1742">
        <f t="shared" si="9"/>
        <v>0.5</v>
      </c>
    </row>
    <row r="58" spans="1:19" x14ac:dyDescent="0.25">
      <c r="A58" s="1971"/>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71"/>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71" t="s">
        <v>20</v>
      </c>
      <c r="B60" s="1746" t="s">
        <v>32</v>
      </c>
      <c r="C60" s="1747"/>
      <c r="D60" s="1748">
        <v>8</v>
      </c>
      <c r="E60" s="1749">
        <v>0</v>
      </c>
      <c r="F60" s="1750">
        <v>0</v>
      </c>
      <c r="G60" s="1742">
        <f t="shared" si="3"/>
        <v>8</v>
      </c>
      <c r="H60" s="1748">
        <v>8</v>
      </c>
      <c r="I60" s="1749">
        <v>0</v>
      </c>
      <c r="J60" s="1750">
        <v>0</v>
      </c>
      <c r="K60" s="1742">
        <f t="shared" si="7"/>
        <v>8</v>
      </c>
      <c r="L60" s="1748">
        <v>10</v>
      </c>
      <c r="M60" s="1749">
        <v>0</v>
      </c>
      <c r="N60" s="1750">
        <v>0</v>
      </c>
      <c r="O60" s="1742">
        <f t="shared" si="8"/>
        <v>10</v>
      </c>
      <c r="P60" s="1748">
        <v>10</v>
      </c>
      <c r="Q60" s="1749">
        <v>0</v>
      </c>
      <c r="R60" s="1750">
        <v>0</v>
      </c>
      <c r="S60" s="1742">
        <f t="shared" si="9"/>
        <v>10</v>
      </c>
    </row>
    <row r="61" spans="1:19" x14ac:dyDescent="0.25">
      <c r="A61" s="1971"/>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71"/>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71" t="s">
        <v>451</v>
      </c>
      <c r="B63" s="1746" t="s">
        <v>32</v>
      </c>
      <c r="C63" s="1747"/>
      <c r="D63" s="1749">
        <v>0</v>
      </c>
      <c r="E63" s="1749">
        <v>0</v>
      </c>
      <c r="F63" s="1749">
        <v>0</v>
      </c>
      <c r="G63" s="1742">
        <f t="shared" si="3"/>
        <v>0</v>
      </c>
      <c r="H63" s="1749">
        <v>0</v>
      </c>
      <c r="I63" s="1749">
        <v>0</v>
      </c>
      <c r="J63" s="1749">
        <v>0</v>
      </c>
      <c r="K63" s="1742">
        <f t="shared" si="7"/>
        <v>0</v>
      </c>
      <c r="L63" s="1749">
        <v>0</v>
      </c>
      <c r="M63" s="1749">
        <v>0</v>
      </c>
      <c r="N63" s="1749">
        <v>0</v>
      </c>
      <c r="O63" s="1742">
        <f t="shared" si="8"/>
        <v>0</v>
      </c>
      <c r="P63" s="1749">
        <v>0</v>
      </c>
      <c r="Q63" s="1749">
        <v>0</v>
      </c>
      <c r="R63" s="1749">
        <v>0</v>
      </c>
      <c r="S63" s="1742">
        <f t="shared" si="9"/>
        <v>0</v>
      </c>
    </row>
    <row r="64" spans="1:19" x14ac:dyDescent="0.25">
      <c r="A64" s="1971"/>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71"/>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71" t="s">
        <v>452</v>
      </c>
      <c r="B66" s="1746" t="s">
        <v>32</v>
      </c>
      <c r="C66" s="1747"/>
      <c r="D66" s="1749">
        <v>0</v>
      </c>
      <c r="E66" s="1749">
        <v>0</v>
      </c>
      <c r="F66" s="1749">
        <v>0</v>
      </c>
      <c r="G66" s="1742">
        <f t="shared" si="3"/>
        <v>0</v>
      </c>
      <c r="H66" s="1749">
        <v>0</v>
      </c>
      <c r="I66" s="1749">
        <v>0</v>
      </c>
      <c r="J66" s="1749">
        <v>0</v>
      </c>
      <c r="K66" s="1742">
        <f t="shared" si="7"/>
        <v>0</v>
      </c>
      <c r="L66" s="1749">
        <v>0</v>
      </c>
      <c r="M66" s="1749">
        <v>0</v>
      </c>
      <c r="N66" s="1749">
        <v>0</v>
      </c>
      <c r="O66" s="1742">
        <f t="shared" si="8"/>
        <v>0</v>
      </c>
      <c r="P66" s="1749">
        <v>0</v>
      </c>
      <c r="Q66" s="1749">
        <v>0</v>
      </c>
      <c r="R66" s="1749">
        <v>0</v>
      </c>
      <c r="S66" s="1742">
        <f t="shared" si="9"/>
        <v>0</v>
      </c>
    </row>
    <row r="67" spans="1:19" x14ac:dyDescent="0.25">
      <c r="A67" s="1971"/>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71"/>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74" t="s">
        <v>533</v>
      </c>
      <c r="B69" s="1746" t="s">
        <v>32</v>
      </c>
      <c r="C69" s="1747"/>
      <c r="D69" s="1749">
        <v>0</v>
      </c>
      <c r="E69" s="1749">
        <v>0</v>
      </c>
      <c r="F69" s="1749">
        <v>0</v>
      </c>
      <c r="G69" s="1742">
        <f t="shared" si="3"/>
        <v>0</v>
      </c>
      <c r="H69" s="1749">
        <v>0</v>
      </c>
      <c r="I69" s="1749">
        <v>0</v>
      </c>
      <c r="J69" s="1749">
        <v>0</v>
      </c>
      <c r="K69" s="1742">
        <f t="shared" si="7"/>
        <v>0</v>
      </c>
      <c r="L69" s="1749">
        <v>0</v>
      </c>
      <c r="M69" s="1749">
        <v>0</v>
      </c>
      <c r="N69" s="1749">
        <v>0</v>
      </c>
      <c r="O69" s="1742">
        <f t="shared" si="8"/>
        <v>0</v>
      </c>
      <c r="P69" s="1749">
        <v>0</v>
      </c>
      <c r="Q69" s="1749">
        <v>0</v>
      </c>
      <c r="R69" s="1749">
        <v>0</v>
      </c>
      <c r="S69" s="1742">
        <f t="shared" si="9"/>
        <v>0</v>
      </c>
    </row>
    <row r="70" spans="1:19" x14ac:dyDescent="0.25">
      <c r="A70" s="1974"/>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74"/>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71" t="s">
        <v>534</v>
      </c>
      <c r="B72" s="1746" t="s">
        <v>32</v>
      </c>
      <c r="C72" s="1747"/>
      <c r="D72" s="1749">
        <v>0</v>
      </c>
      <c r="E72" s="1749">
        <v>0</v>
      </c>
      <c r="F72" s="1749">
        <v>0</v>
      </c>
      <c r="G72" s="1742">
        <f t="shared" si="3"/>
        <v>0</v>
      </c>
      <c r="H72" s="1749">
        <v>0</v>
      </c>
      <c r="I72" s="1749">
        <v>0</v>
      </c>
      <c r="J72" s="1749">
        <v>0</v>
      </c>
      <c r="K72" s="1742">
        <f t="shared" si="7"/>
        <v>0</v>
      </c>
      <c r="L72" s="1749">
        <v>0</v>
      </c>
      <c r="M72" s="1749">
        <v>0</v>
      </c>
      <c r="N72" s="1749">
        <v>0</v>
      </c>
      <c r="O72" s="1742">
        <f t="shared" si="8"/>
        <v>0</v>
      </c>
      <c r="P72" s="1749">
        <v>0</v>
      </c>
      <c r="Q72" s="1749">
        <v>0</v>
      </c>
      <c r="R72" s="1749">
        <v>0</v>
      </c>
      <c r="S72" s="1742">
        <f t="shared" si="9"/>
        <v>0</v>
      </c>
    </row>
    <row r="73" spans="1:19" x14ac:dyDescent="0.25">
      <c r="A73" s="1971"/>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71"/>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71" t="s">
        <v>21</v>
      </c>
      <c r="B75" s="1746" t="s">
        <v>32</v>
      </c>
      <c r="C75" s="1747"/>
      <c r="D75" s="1748" t="s">
        <v>90</v>
      </c>
      <c r="E75" s="1748" t="s">
        <v>90</v>
      </c>
      <c r="F75" s="1748" t="s">
        <v>90</v>
      </c>
      <c r="G75" s="1742">
        <f t="shared" si="3"/>
        <v>0</v>
      </c>
      <c r="H75" s="1748" t="s">
        <v>90</v>
      </c>
      <c r="I75" s="1748" t="s">
        <v>90</v>
      </c>
      <c r="J75" s="1748" t="s">
        <v>90</v>
      </c>
      <c r="K75" s="1742">
        <f t="shared" si="7"/>
        <v>0</v>
      </c>
      <c r="L75" s="1748" t="s">
        <v>90</v>
      </c>
      <c r="M75" s="1748" t="s">
        <v>90</v>
      </c>
      <c r="N75" s="1748" t="s">
        <v>90</v>
      </c>
      <c r="O75" s="1742">
        <f t="shared" si="8"/>
        <v>0</v>
      </c>
      <c r="P75" s="1748" t="s">
        <v>90</v>
      </c>
      <c r="Q75" s="1748" t="s">
        <v>90</v>
      </c>
      <c r="R75" s="1748" t="s">
        <v>90</v>
      </c>
      <c r="S75" s="1742">
        <f t="shared" si="9"/>
        <v>0</v>
      </c>
    </row>
    <row r="76" spans="1:19" x14ac:dyDescent="0.25">
      <c r="A76" s="1971"/>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71"/>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71" t="s">
        <v>181</v>
      </c>
      <c r="B78" s="1746" t="s">
        <v>32</v>
      </c>
      <c r="C78" s="1751"/>
      <c r="D78" s="1749">
        <v>0</v>
      </c>
      <c r="E78" s="1749">
        <v>0</v>
      </c>
      <c r="F78" s="1749">
        <v>0</v>
      </c>
      <c r="G78" s="1742">
        <f t="shared" si="3"/>
        <v>0</v>
      </c>
      <c r="H78" s="1749">
        <v>0</v>
      </c>
      <c r="I78" s="1749">
        <v>0</v>
      </c>
      <c r="J78" s="1749">
        <v>0</v>
      </c>
      <c r="K78" s="1742">
        <f t="shared" si="7"/>
        <v>0</v>
      </c>
      <c r="L78" s="1749">
        <v>0</v>
      </c>
      <c r="M78" s="1749">
        <v>0</v>
      </c>
      <c r="N78" s="1749">
        <v>0</v>
      </c>
      <c r="O78" s="1742">
        <f t="shared" si="8"/>
        <v>0</v>
      </c>
      <c r="P78" s="1749">
        <v>0</v>
      </c>
      <c r="Q78" s="1749">
        <v>0</v>
      </c>
      <c r="R78" s="1749">
        <v>0</v>
      </c>
      <c r="S78" s="1742">
        <f t="shared" si="9"/>
        <v>0</v>
      </c>
    </row>
    <row r="79" spans="1:19" x14ac:dyDescent="0.25">
      <c r="A79" s="1971"/>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71"/>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71" t="s">
        <v>182</v>
      </c>
      <c r="B81" s="1746" t="s">
        <v>32</v>
      </c>
      <c r="C81" s="1751"/>
      <c r="D81" s="1749">
        <v>0</v>
      </c>
      <c r="E81" s="1749">
        <v>0</v>
      </c>
      <c r="F81" s="1749">
        <v>0</v>
      </c>
      <c r="G81" s="1742">
        <f t="shared" si="3"/>
        <v>0</v>
      </c>
      <c r="H81" s="1749">
        <v>0</v>
      </c>
      <c r="I81" s="1749">
        <v>0</v>
      </c>
      <c r="J81" s="1749">
        <v>0</v>
      </c>
      <c r="K81" s="1742">
        <f t="shared" si="7"/>
        <v>0</v>
      </c>
      <c r="L81" s="1749">
        <v>0</v>
      </c>
      <c r="M81" s="1749">
        <v>0</v>
      </c>
      <c r="N81" s="1749">
        <v>0</v>
      </c>
      <c r="O81" s="1742">
        <f t="shared" si="8"/>
        <v>0</v>
      </c>
      <c r="P81" s="1749">
        <v>0</v>
      </c>
      <c r="Q81" s="1749">
        <v>0</v>
      </c>
      <c r="R81" s="1749">
        <v>0</v>
      </c>
      <c r="S81" s="1742">
        <f t="shared" si="9"/>
        <v>0</v>
      </c>
    </row>
    <row r="82" spans="1:19" x14ac:dyDescent="0.25">
      <c r="A82" s="1971"/>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71"/>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41" t="s">
        <v>183</v>
      </c>
      <c r="B84" s="1746" t="s">
        <v>32</v>
      </c>
      <c r="C84" s="1751"/>
      <c r="D84" s="1749">
        <v>0</v>
      </c>
      <c r="E84" s="1749">
        <v>0</v>
      </c>
      <c r="F84" s="1749">
        <v>0</v>
      </c>
      <c r="G84" s="1742">
        <f t="shared" si="3"/>
        <v>0</v>
      </c>
      <c r="H84" s="1749">
        <v>0</v>
      </c>
      <c r="I84" s="1749">
        <v>0</v>
      </c>
      <c r="J84" s="1749">
        <v>0</v>
      </c>
      <c r="K84" s="1742">
        <f t="shared" si="7"/>
        <v>0</v>
      </c>
      <c r="L84" s="1749">
        <v>0</v>
      </c>
      <c r="M84" s="1749">
        <v>0</v>
      </c>
      <c r="N84" s="1749">
        <v>0</v>
      </c>
      <c r="O84" s="1742">
        <f t="shared" si="8"/>
        <v>0</v>
      </c>
      <c r="P84" s="1749">
        <v>0</v>
      </c>
      <c r="Q84" s="1749">
        <v>0</v>
      </c>
      <c r="R84" s="1749">
        <v>0</v>
      </c>
      <c r="S84" s="1742">
        <f t="shared" si="9"/>
        <v>0</v>
      </c>
    </row>
    <row r="85" spans="1:19" x14ac:dyDescent="0.25">
      <c r="A85" s="1941"/>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41"/>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40" t="s">
        <v>23</v>
      </c>
      <c r="B88" s="1737" t="s">
        <v>32</v>
      </c>
      <c r="C88" s="1738"/>
      <c r="D88" s="1752">
        <v>0</v>
      </c>
      <c r="E88" s="1752">
        <v>0</v>
      </c>
      <c r="F88" s="1753">
        <v>0</v>
      </c>
      <c r="G88" s="1740">
        <f t="shared" si="3"/>
        <v>0</v>
      </c>
      <c r="H88" s="1744">
        <v>0</v>
      </c>
      <c r="I88" s="1744">
        <v>0</v>
      </c>
      <c r="J88" s="1745">
        <v>0</v>
      </c>
      <c r="K88" s="1740">
        <f t="shared" ref="K88:K105" si="10" xml:space="preserve"> SUM(H88:J88) + $C88</f>
        <v>0</v>
      </c>
      <c r="L88" s="1744">
        <v>0</v>
      </c>
      <c r="M88" s="1744">
        <v>0</v>
      </c>
      <c r="N88" s="1745">
        <v>0</v>
      </c>
      <c r="O88" s="1740">
        <f t="shared" ref="O88:O105" si="11" xml:space="preserve"> SUM(L88:N88) + $C88</f>
        <v>0</v>
      </c>
      <c r="P88" s="1744">
        <v>0</v>
      </c>
      <c r="Q88" s="1744">
        <v>0</v>
      </c>
      <c r="R88" s="1745">
        <v>0</v>
      </c>
      <c r="S88" s="1740">
        <f t="shared" ref="S88:S105" si="12" xml:space="preserve"> SUM(P88:R88) + $C88</f>
        <v>0</v>
      </c>
    </row>
    <row r="89" spans="1:19" x14ac:dyDescent="0.25">
      <c r="A89" s="1940"/>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40"/>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71" t="s">
        <v>24</v>
      </c>
      <c r="B91" s="1746" t="s">
        <v>32</v>
      </c>
      <c r="C91" s="1747"/>
      <c r="D91" s="1754">
        <v>4</v>
      </c>
      <c r="E91" s="1749">
        <v>0</v>
      </c>
      <c r="F91" s="1755">
        <v>0</v>
      </c>
      <c r="G91" s="1742">
        <f t="shared" si="3"/>
        <v>4</v>
      </c>
      <c r="H91" s="1748">
        <v>4</v>
      </c>
      <c r="I91" s="1749">
        <v>0</v>
      </c>
      <c r="J91" s="1750">
        <v>0</v>
      </c>
      <c r="K91" s="1742">
        <f t="shared" si="10"/>
        <v>4</v>
      </c>
      <c r="L91" s="1748">
        <v>6</v>
      </c>
      <c r="M91" s="1749">
        <v>0</v>
      </c>
      <c r="N91" s="1750">
        <v>0</v>
      </c>
      <c r="O91" s="1742">
        <f t="shared" si="11"/>
        <v>6</v>
      </c>
      <c r="P91" s="1748">
        <v>6</v>
      </c>
      <c r="Q91" s="1749">
        <v>0</v>
      </c>
      <c r="R91" s="1750">
        <v>0</v>
      </c>
      <c r="S91" s="1742">
        <f t="shared" si="12"/>
        <v>6</v>
      </c>
    </row>
    <row r="92" spans="1:19" x14ac:dyDescent="0.25">
      <c r="A92" s="1971"/>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71"/>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71" t="s">
        <v>25</v>
      </c>
      <c r="B94" s="1746" t="s">
        <v>32</v>
      </c>
      <c r="C94" s="1747"/>
      <c r="D94" s="1754">
        <v>2</v>
      </c>
      <c r="E94" s="1749">
        <v>0</v>
      </c>
      <c r="F94" s="1755">
        <v>0</v>
      </c>
      <c r="G94" s="1742">
        <f t="shared" ref="G94:G105" si="13" xml:space="preserve"> SUM(D94:F94) + $C94</f>
        <v>2</v>
      </c>
      <c r="H94" s="1754">
        <v>2</v>
      </c>
      <c r="I94" s="1749">
        <v>0</v>
      </c>
      <c r="J94" s="1755">
        <v>0</v>
      </c>
      <c r="K94" s="1742">
        <f t="shared" si="10"/>
        <v>2</v>
      </c>
      <c r="L94" s="1748">
        <v>4</v>
      </c>
      <c r="M94" s="1749">
        <v>0</v>
      </c>
      <c r="N94" s="1750">
        <v>0</v>
      </c>
      <c r="O94" s="1742">
        <f t="shared" si="11"/>
        <v>4</v>
      </c>
      <c r="P94" s="1748">
        <v>4</v>
      </c>
      <c r="Q94" s="1749">
        <v>0</v>
      </c>
      <c r="R94" s="1750">
        <v>0</v>
      </c>
      <c r="S94" s="1742">
        <f t="shared" si="12"/>
        <v>4</v>
      </c>
    </row>
    <row r="95" spans="1:19" x14ac:dyDescent="0.25">
      <c r="A95" s="1971"/>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71"/>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71" t="s">
        <v>26</v>
      </c>
      <c r="B97" s="1746" t="s">
        <v>32</v>
      </c>
      <c r="C97" s="1747"/>
      <c r="D97" s="1754">
        <v>6</v>
      </c>
      <c r="E97" s="1748">
        <v>0</v>
      </c>
      <c r="F97" s="1756">
        <v>0</v>
      </c>
      <c r="G97" s="1742">
        <f t="shared" si="13"/>
        <v>6</v>
      </c>
      <c r="H97" s="1754">
        <v>6</v>
      </c>
      <c r="I97" s="1748">
        <v>0</v>
      </c>
      <c r="J97" s="1756">
        <v>0</v>
      </c>
      <c r="K97" s="1742">
        <f t="shared" si="10"/>
        <v>6</v>
      </c>
      <c r="L97" s="1754">
        <v>8</v>
      </c>
      <c r="M97" s="1748">
        <v>0</v>
      </c>
      <c r="N97" s="1756">
        <v>0</v>
      </c>
      <c r="O97" s="1742">
        <f t="shared" si="11"/>
        <v>8</v>
      </c>
      <c r="P97" s="1754">
        <v>8</v>
      </c>
      <c r="Q97" s="1748">
        <v>0</v>
      </c>
      <c r="R97" s="1756">
        <v>0</v>
      </c>
      <c r="S97" s="1742">
        <f t="shared" si="12"/>
        <v>8</v>
      </c>
    </row>
    <row r="98" spans="1:19" x14ac:dyDescent="0.25">
      <c r="A98" s="1971"/>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71"/>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71" t="s">
        <v>27</v>
      </c>
      <c r="B100" s="1746" t="s">
        <v>32</v>
      </c>
      <c r="C100" s="1747"/>
      <c r="D100" s="1754">
        <v>4</v>
      </c>
      <c r="E100" s="1748">
        <v>0</v>
      </c>
      <c r="F100" s="1756">
        <v>0</v>
      </c>
      <c r="G100" s="1742">
        <f t="shared" si="13"/>
        <v>4</v>
      </c>
      <c r="H100" s="1748">
        <v>4</v>
      </c>
      <c r="I100" s="1748">
        <v>0</v>
      </c>
      <c r="J100" s="1748">
        <v>0</v>
      </c>
      <c r="K100" s="1742">
        <f t="shared" si="10"/>
        <v>4</v>
      </c>
      <c r="L100" s="1748">
        <v>4</v>
      </c>
      <c r="M100" s="1748">
        <v>0</v>
      </c>
      <c r="N100" s="1748">
        <v>0</v>
      </c>
      <c r="O100" s="1742">
        <f t="shared" si="11"/>
        <v>4</v>
      </c>
      <c r="P100" s="1748">
        <v>4</v>
      </c>
      <c r="Q100" s="1748">
        <v>0</v>
      </c>
      <c r="R100" s="1748">
        <v>0</v>
      </c>
      <c r="S100" s="1742">
        <f t="shared" si="12"/>
        <v>4</v>
      </c>
    </row>
    <row r="101" spans="1:19" x14ac:dyDescent="0.25">
      <c r="A101" s="1971"/>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71"/>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40" t="s">
        <v>28</v>
      </c>
      <c r="B103" s="1746" t="s">
        <v>32</v>
      </c>
      <c r="C103" s="1747"/>
      <c r="D103" s="1754">
        <v>2</v>
      </c>
      <c r="E103" s="1748">
        <v>0</v>
      </c>
      <c r="F103" s="1756">
        <v>0</v>
      </c>
      <c r="G103" s="1742">
        <f t="shared" si="13"/>
        <v>2</v>
      </c>
      <c r="H103" s="1754">
        <v>2</v>
      </c>
      <c r="I103" s="1748">
        <v>0</v>
      </c>
      <c r="J103" s="1756">
        <v>0</v>
      </c>
      <c r="K103" s="1742">
        <f t="shared" si="10"/>
        <v>2</v>
      </c>
      <c r="L103" s="1754">
        <v>4</v>
      </c>
      <c r="M103" s="1748">
        <v>0</v>
      </c>
      <c r="N103" s="1756">
        <v>0</v>
      </c>
      <c r="O103" s="1742">
        <f t="shared" si="11"/>
        <v>4</v>
      </c>
      <c r="P103" s="1754">
        <v>4</v>
      </c>
      <c r="Q103" s="1748">
        <v>0</v>
      </c>
      <c r="R103" s="1756">
        <v>0</v>
      </c>
      <c r="S103" s="1742">
        <f t="shared" si="12"/>
        <v>4</v>
      </c>
    </row>
    <row r="104" spans="1:19" x14ac:dyDescent="0.25">
      <c r="A104" s="1940"/>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38"/>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0" t="s">
        <v>1705</v>
      </c>
      <c r="B107" s="1690" t="s">
        <v>1706</v>
      </c>
      <c r="C107" s="1722"/>
      <c r="D107" s="1695"/>
      <c r="E107" s="1722" t="s">
        <v>1707</v>
      </c>
    </row>
    <row r="108" spans="1:19" ht="60" x14ac:dyDescent="0.25">
      <c r="A108" s="1691" t="s">
        <v>615</v>
      </c>
      <c r="B108" s="1691" t="s">
        <v>1810</v>
      </c>
      <c r="C108" s="1722"/>
      <c r="D108" s="1722"/>
      <c r="E108" s="1722"/>
    </row>
    <row r="109" spans="1:19" ht="60" x14ac:dyDescent="0.25">
      <c r="A109" s="1691" t="s">
        <v>615</v>
      </c>
      <c r="B109" s="1691" t="s">
        <v>1810</v>
      </c>
      <c r="C109" s="1722"/>
      <c r="D109" s="1722"/>
      <c r="E109" s="1722"/>
    </row>
    <row r="110" spans="1:19" ht="60" x14ac:dyDescent="0.25">
      <c r="A110" s="1691" t="s">
        <v>615</v>
      </c>
      <c r="B110" s="1691" t="s">
        <v>1810</v>
      </c>
      <c r="C110" s="1722"/>
      <c r="D110" s="1722"/>
      <c r="E110" s="1722"/>
    </row>
    <row r="111" spans="1:19" x14ac:dyDescent="0.25">
      <c r="A111" s="1722"/>
      <c r="B111" s="1722"/>
      <c r="C111" s="1722"/>
      <c r="D111" s="1722"/>
      <c r="E111" s="1722"/>
    </row>
    <row r="112" spans="1:19" x14ac:dyDescent="0.25">
      <c r="A112" s="1692" t="s">
        <v>89</v>
      </c>
      <c r="B112" s="1722" t="s">
        <v>1707</v>
      </c>
      <c r="C112" s="1722"/>
      <c r="D112" s="1722"/>
      <c r="E112" s="1722"/>
    </row>
  </sheetData>
  <autoFilter ref="A2:S105" xr:uid="{00000000-0001-0000-5300-000000000000}"/>
  <mergeCells count="41">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L1:O1"/>
    <mergeCell ref="P1:S1"/>
    <mergeCell ref="C2:C3"/>
    <mergeCell ref="G2:G3"/>
    <mergeCell ref="K2:K3"/>
    <mergeCell ref="O2:O3"/>
    <mergeCell ref="S2:S3"/>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22" t="s">
        <v>607</v>
      </c>
      <c r="E1" s="1923"/>
      <c r="F1" s="1923"/>
      <c r="G1" s="1924"/>
      <c r="H1" s="1922" t="s">
        <v>608</v>
      </c>
      <c r="I1" s="1923"/>
      <c r="J1" s="1923"/>
      <c r="K1" s="1924"/>
    </row>
    <row r="2" spans="1:11" ht="15.75" x14ac:dyDescent="0.25">
      <c r="B2" s="41" t="s">
        <v>37</v>
      </c>
      <c r="C2" s="1932" t="s">
        <v>35</v>
      </c>
      <c r="D2" s="835" t="s">
        <v>620</v>
      </c>
      <c r="E2" s="835" t="s">
        <v>616</v>
      </c>
      <c r="F2" s="835" t="s">
        <v>616</v>
      </c>
      <c r="G2" s="1925" t="s">
        <v>38</v>
      </c>
      <c r="H2" s="835" t="s">
        <v>620</v>
      </c>
      <c r="I2" s="835" t="s">
        <v>616</v>
      </c>
      <c r="J2" s="835" t="s">
        <v>616</v>
      </c>
      <c r="K2" s="1925" t="s">
        <v>38</v>
      </c>
    </row>
    <row r="3" spans="1:11" ht="16.5" thickBot="1" x14ac:dyDescent="0.3">
      <c r="A3" s="12" t="s">
        <v>36</v>
      </c>
      <c r="B3" s="768">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row>
    <row r="4" spans="1:11" ht="16.5" thickBot="1" x14ac:dyDescent="0.3">
      <c r="A4" s="326" t="s">
        <v>448</v>
      </c>
      <c r="B4" s="327"/>
      <c r="C4" s="327"/>
      <c r="D4" s="327"/>
      <c r="E4" s="327"/>
      <c r="F4" s="327"/>
      <c r="G4" s="327"/>
      <c r="H4" s="327"/>
      <c r="I4" s="327"/>
      <c r="J4" s="327"/>
      <c r="K4" s="327"/>
    </row>
    <row r="5" spans="1:11" x14ac:dyDescent="0.25">
      <c r="A5" s="1940"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40"/>
      <c r="B6" s="19" t="s">
        <v>33</v>
      </c>
      <c r="C6" s="620"/>
      <c r="D6" s="834">
        <f>1*D$3</f>
        <v>0</v>
      </c>
      <c r="E6" s="813">
        <v>0</v>
      </c>
      <c r="F6" s="813">
        <v>0</v>
      </c>
      <c r="G6" s="619">
        <f xml:space="preserve"> SUM(D6:F6) + $C6</f>
        <v>0</v>
      </c>
      <c r="H6" s="834">
        <f>1*H$3</f>
        <v>0</v>
      </c>
      <c r="I6" s="739">
        <v>0</v>
      </c>
      <c r="J6" s="739">
        <v>0</v>
      </c>
      <c r="K6" s="619">
        <f t="shared" si="0"/>
        <v>0</v>
      </c>
    </row>
    <row r="7" spans="1:11" x14ac:dyDescent="0.25">
      <c r="A7" s="1975"/>
      <c r="B7" s="19" t="s">
        <v>34</v>
      </c>
      <c r="C7" s="620"/>
      <c r="D7" s="834">
        <f>2*D$3</f>
        <v>0</v>
      </c>
      <c r="E7" s="813">
        <v>0</v>
      </c>
      <c r="F7" s="813">
        <v>0</v>
      </c>
      <c r="G7" s="619">
        <f xml:space="preserve"> SUM(D7:F7) + $C7</f>
        <v>0</v>
      </c>
      <c r="H7" s="834">
        <f>2*H$3</f>
        <v>0</v>
      </c>
      <c r="I7" s="739">
        <v>0</v>
      </c>
      <c r="J7" s="739">
        <v>0</v>
      </c>
      <c r="K7" s="619">
        <f t="shared" si="0"/>
        <v>0</v>
      </c>
    </row>
    <row r="8" spans="1:11" x14ac:dyDescent="0.25">
      <c r="A8" s="1940"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40"/>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40"/>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40"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40"/>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40"/>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36"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72"/>
      <c r="B17" s="18" t="s">
        <v>33</v>
      </c>
      <c r="C17" s="620"/>
      <c r="D17" s="767">
        <v>0</v>
      </c>
      <c r="E17" s="740">
        <v>0</v>
      </c>
      <c r="F17" s="743">
        <v>0</v>
      </c>
      <c r="G17" s="619">
        <f t="shared" si="1"/>
        <v>0</v>
      </c>
      <c r="H17" s="827">
        <v>0</v>
      </c>
      <c r="I17" s="814">
        <v>0</v>
      </c>
      <c r="J17" s="819">
        <v>0</v>
      </c>
      <c r="K17" s="619">
        <f t="shared" si="2"/>
        <v>0</v>
      </c>
    </row>
    <row r="18" spans="1:11" x14ac:dyDescent="0.25">
      <c r="A18" s="1972"/>
      <c r="B18" s="18" t="s">
        <v>34</v>
      </c>
      <c r="C18" s="620"/>
      <c r="D18" s="767">
        <v>0</v>
      </c>
      <c r="E18" s="740">
        <v>0</v>
      </c>
      <c r="F18" s="743">
        <v>0</v>
      </c>
      <c r="G18" s="619">
        <f t="shared" si="1"/>
        <v>0</v>
      </c>
      <c r="H18" s="827">
        <v>0</v>
      </c>
      <c r="I18" s="814">
        <v>0</v>
      </c>
      <c r="J18" s="819">
        <v>0</v>
      </c>
      <c r="K18" s="619">
        <f t="shared" si="2"/>
        <v>0</v>
      </c>
    </row>
    <row r="19" spans="1:11" x14ac:dyDescent="0.25">
      <c r="A19" s="1972" t="s">
        <v>5</v>
      </c>
      <c r="B19" s="19" t="s">
        <v>32</v>
      </c>
      <c r="C19" s="620"/>
      <c r="D19" s="744">
        <v>0</v>
      </c>
      <c r="E19" s="740">
        <v>0</v>
      </c>
      <c r="F19" s="743">
        <v>0</v>
      </c>
      <c r="G19" s="619">
        <f t="shared" si="1"/>
        <v>0</v>
      </c>
      <c r="H19" s="821">
        <v>0</v>
      </c>
      <c r="I19" s="814">
        <v>0</v>
      </c>
      <c r="J19" s="819">
        <v>0</v>
      </c>
      <c r="K19" s="619">
        <f t="shared" si="2"/>
        <v>0</v>
      </c>
    </row>
    <row r="20" spans="1:11" x14ac:dyDescent="0.25">
      <c r="A20" s="1972"/>
      <c r="B20" s="19" t="s">
        <v>33</v>
      </c>
      <c r="C20" s="620"/>
      <c r="D20" s="744">
        <v>0</v>
      </c>
      <c r="E20" s="740">
        <v>0</v>
      </c>
      <c r="F20" s="743">
        <v>0</v>
      </c>
      <c r="G20" s="619">
        <f t="shared" si="1"/>
        <v>0</v>
      </c>
      <c r="H20" s="821">
        <v>0</v>
      </c>
      <c r="I20" s="814">
        <v>0</v>
      </c>
      <c r="J20" s="819">
        <v>0</v>
      </c>
      <c r="K20" s="619">
        <f t="shared" si="2"/>
        <v>0</v>
      </c>
    </row>
    <row r="21" spans="1:11" x14ac:dyDescent="0.25">
      <c r="A21" s="1972"/>
      <c r="B21" s="19" t="s">
        <v>34</v>
      </c>
      <c r="C21" s="620"/>
      <c r="D21" s="744">
        <v>0</v>
      </c>
      <c r="E21" s="740">
        <v>0</v>
      </c>
      <c r="F21" s="743">
        <v>0</v>
      </c>
      <c r="G21" s="619">
        <f t="shared" si="1"/>
        <v>0</v>
      </c>
      <c r="H21" s="821">
        <v>0</v>
      </c>
      <c r="I21" s="814">
        <v>0</v>
      </c>
      <c r="J21" s="819">
        <v>0</v>
      </c>
      <c r="K21" s="619">
        <f t="shared" si="2"/>
        <v>0</v>
      </c>
    </row>
    <row r="22" spans="1:11" x14ac:dyDescent="0.25">
      <c r="A22" s="1972" t="s">
        <v>6</v>
      </c>
      <c r="B22" s="19" t="s">
        <v>32</v>
      </c>
      <c r="C22" s="620"/>
      <c r="D22" s="834">
        <f>2*D$3</f>
        <v>0</v>
      </c>
      <c r="E22" s="828">
        <v>0</v>
      </c>
      <c r="F22" s="813">
        <v>0</v>
      </c>
      <c r="G22" s="619">
        <f t="shared" si="1"/>
        <v>0</v>
      </c>
      <c r="H22" s="834">
        <f>3*H$3</f>
        <v>0</v>
      </c>
      <c r="I22" s="828">
        <v>0</v>
      </c>
      <c r="J22" s="813">
        <v>0</v>
      </c>
      <c r="K22" s="619">
        <f t="shared" si="2"/>
        <v>0</v>
      </c>
    </row>
    <row r="23" spans="1:11" x14ac:dyDescent="0.25">
      <c r="A23" s="1972"/>
      <c r="B23" s="19" t="s">
        <v>33</v>
      </c>
      <c r="C23" s="620"/>
      <c r="D23" s="834">
        <f>4*D$3</f>
        <v>0</v>
      </c>
      <c r="E23" s="828">
        <v>0</v>
      </c>
      <c r="F23" s="813">
        <v>0</v>
      </c>
      <c r="G23" s="619">
        <f t="shared" si="1"/>
        <v>0</v>
      </c>
      <c r="H23" s="834">
        <f>5*H$3</f>
        <v>0</v>
      </c>
      <c r="I23" s="828">
        <v>0</v>
      </c>
      <c r="J23" s="813">
        <v>0</v>
      </c>
      <c r="K23" s="619">
        <f t="shared" si="2"/>
        <v>0</v>
      </c>
    </row>
    <row r="24" spans="1:11" x14ac:dyDescent="0.25">
      <c r="A24" s="1972"/>
      <c r="B24" s="19" t="s">
        <v>34</v>
      </c>
      <c r="C24" s="620"/>
      <c r="D24" s="834">
        <f>6*D$3</f>
        <v>0</v>
      </c>
      <c r="E24" s="828">
        <v>0</v>
      </c>
      <c r="F24" s="813">
        <v>0</v>
      </c>
      <c r="G24" s="619">
        <f t="shared" si="1"/>
        <v>0</v>
      </c>
      <c r="H24" s="834">
        <f>7*H$3</f>
        <v>0</v>
      </c>
      <c r="I24" s="828">
        <v>0</v>
      </c>
      <c r="J24" s="813">
        <v>0</v>
      </c>
      <c r="K24" s="619">
        <f t="shared" si="2"/>
        <v>0</v>
      </c>
    </row>
    <row r="25" spans="1:11" x14ac:dyDescent="0.25">
      <c r="A25" s="1972" t="s">
        <v>7</v>
      </c>
      <c r="B25" s="19" t="s">
        <v>32</v>
      </c>
      <c r="C25" s="620"/>
      <c r="D25" s="821">
        <v>0</v>
      </c>
      <c r="E25" s="828">
        <v>0</v>
      </c>
      <c r="F25" s="819">
        <v>0</v>
      </c>
      <c r="G25" s="619">
        <f t="shared" si="1"/>
        <v>0</v>
      </c>
      <c r="H25" s="821">
        <v>0</v>
      </c>
      <c r="I25" s="828">
        <v>0</v>
      </c>
      <c r="J25" s="819">
        <v>0</v>
      </c>
      <c r="K25" s="619">
        <f t="shared" si="2"/>
        <v>0</v>
      </c>
    </row>
    <row r="26" spans="1:11" x14ac:dyDescent="0.25">
      <c r="A26" s="1972"/>
      <c r="B26" s="19" t="s">
        <v>33</v>
      </c>
      <c r="C26" s="620"/>
      <c r="D26" s="821">
        <v>0</v>
      </c>
      <c r="E26" s="828">
        <v>0</v>
      </c>
      <c r="F26" s="819">
        <v>0</v>
      </c>
      <c r="G26" s="619">
        <f t="shared" si="1"/>
        <v>0</v>
      </c>
      <c r="H26" s="821">
        <v>0</v>
      </c>
      <c r="I26" s="828">
        <v>0</v>
      </c>
      <c r="J26" s="819">
        <v>0</v>
      </c>
      <c r="K26" s="619">
        <f t="shared" si="2"/>
        <v>0</v>
      </c>
    </row>
    <row r="27" spans="1:11" x14ac:dyDescent="0.25">
      <c r="A27" s="1972"/>
      <c r="B27" s="19" t="s">
        <v>34</v>
      </c>
      <c r="C27" s="620"/>
      <c r="D27" s="821">
        <v>0</v>
      </c>
      <c r="E27" s="828">
        <v>0</v>
      </c>
      <c r="F27" s="819">
        <v>0</v>
      </c>
      <c r="G27" s="619">
        <f t="shared" si="1"/>
        <v>0</v>
      </c>
      <c r="H27" s="821">
        <v>0</v>
      </c>
      <c r="I27" s="828">
        <v>0</v>
      </c>
      <c r="J27" s="819">
        <v>0</v>
      </c>
      <c r="K27" s="619">
        <f t="shared" si="2"/>
        <v>0</v>
      </c>
    </row>
    <row r="28" spans="1:11" x14ac:dyDescent="0.25">
      <c r="A28" s="1972" t="s">
        <v>8</v>
      </c>
      <c r="B28" s="19" t="s">
        <v>32</v>
      </c>
      <c r="C28" s="620"/>
      <c r="D28" s="821">
        <v>0</v>
      </c>
      <c r="E28" s="828">
        <v>0</v>
      </c>
      <c r="F28" s="819">
        <v>0</v>
      </c>
      <c r="G28" s="619">
        <f t="shared" si="1"/>
        <v>0</v>
      </c>
      <c r="H28" s="821">
        <v>0</v>
      </c>
      <c r="I28" s="828">
        <v>0</v>
      </c>
      <c r="J28" s="819">
        <v>0</v>
      </c>
      <c r="K28" s="619">
        <f t="shared" si="2"/>
        <v>0</v>
      </c>
    </row>
    <row r="29" spans="1:11" x14ac:dyDescent="0.25">
      <c r="A29" s="1972"/>
      <c r="B29" s="19" t="s">
        <v>33</v>
      </c>
      <c r="C29" s="620"/>
      <c r="D29" s="821">
        <v>0</v>
      </c>
      <c r="E29" s="828">
        <v>0</v>
      </c>
      <c r="F29" s="819">
        <v>0</v>
      </c>
      <c r="G29" s="619">
        <f t="shared" si="1"/>
        <v>0</v>
      </c>
      <c r="H29" s="821">
        <v>0</v>
      </c>
      <c r="I29" s="828">
        <v>0</v>
      </c>
      <c r="J29" s="819">
        <v>0</v>
      </c>
      <c r="K29" s="619">
        <f t="shared" si="2"/>
        <v>0</v>
      </c>
    </row>
    <row r="30" spans="1:11" x14ac:dyDescent="0.25">
      <c r="A30" s="1972"/>
      <c r="B30" s="19" t="s">
        <v>34</v>
      </c>
      <c r="C30" s="620"/>
      <c r="D30" s="821">
        <v>0</v>
      </c>
      <c r="E30" s="828">
        <v>0</v>
      </c>
      <c r="F30" s="819">
        <v>0</v>
      </c>
      <c r="G30" s="619">
        <f t="shared" si="1"/>
        <v>0</v>
      </c>
      <c r="H30" s="821">
        <v>0</v>
      </c>
      <c r="I30" s="828">
        <v>0</v>
      </c>
      <c r="J30" s="819">
        <v>0</v>
      </c>
      <c r="K30" s="619">
        <f t="shared" si="2"/>
        <v>0</v>
      </c>
    </row>
    <row r="31" spans="1:11" x14ac:dyDescent="0.25">
      <c r="A31" s="2323" t="s">
        <v>9</v>
      </c>
      <c r="B31" s="19" t="s">
        <v>32</v>
      </c>
      <c r="C31" s="620"/>
      <c r="D31" s="837">
        <v>0</v>
      </c>
      <c r="E31" s="828">
        <v>0</v>
      </c>
      <c r="F31" s="814">
        <v>0</v>
      </c>
      <c r="G31" s="619">
        <f t="shared" si="1"/>
        <v>0</v>
      </c>
      <c r="H31" s="837">
        <v>0</v>
      </c>
      <c r="I31" s="828">
        <v>0</v>
      </c>
      <c r="J31" s="814">
        <v>0</v>
      </c>
      <c r="K31" s="619">
        <f t="shared" si="2"/>
        <v>0</v>
      </c>
    </row>
    <row r="32" spans="1:11" x14ac:dyDescent="0.25">
      <c r="A32" s="2323"/>
      <c r="B32" s="19" t="s">
        <v>33</v>
      </c>
      <c r="C32" s="620"/>
      <c r="D32" s="837">
        <v>0</v>
      </c>
      <c r="E32" s="828">
        <v>0</v>
      </c>
      <c r="F32" s="814">
        <v>0</v>
      </c>
      <c r="G32" s="619">
        <f t="shared" si="1"/>
        <v>0</v>
      </c>
      <c r="H32" s="837">
        <v>0</v>
      </c>
      <c r="I32" s="828">
        <v>0</v>
      </c>
      <c r="J32" s="814">
        <v>0</v>
      </c>
      <c r="K32" s="619">
        <f t="shared" si="2"/>
        <v>0</v>
      </c>
    </row>
    <row r="33" spans="1:11" x14ac:dyDescent="0.25">
      <c r="A33" s="2323"/>
      <c r="B33" s="19" t="s">
        <v>34</v>
      </c>
      <c r="C33" s="620"/>
      <c r="D33" s="837">
        <v>0</v>
      </c>
      <c r="E33" s="828">
        <v>0</v>
      </c>
      <c r="F33" s="814">
        <v>0</v>
      </c>
      <c r="G33" s="619">
        <f t="shared" si="1"/>
        <v>0</v>
      </c>
      <c r="H33" s="837">
        <v>0</v>
      </c>
      <c r="I33" s="828">
        <v>0</v>
      </c>
      <c r="J33" s="814">
        <v>0</v>
      </c>
      <c r="K33" s="619">
        <f t="shared" si="2"/>
        <v>0</v>
      </c>
    </row>
    <row r="34" spans="1:11" x14ac:dyDescent="0.25">
      <c r="A34" s="1972" t="s">
        <v>10</v>
      </c>
      <c r="B34" s="19" t="s">
        <v>32</v>
      </c>
      <c r="C34" s="620"/>
      <c r="D34" s="837">
        <v>0</v>
      </c>
      <c r="E34" s="828">
        <v>0</v>
      </c>
      <c r="F34" s="814">
        <v>0</v>
      </c>
      <c r="G34" s="619">
        <f t="shared" si="1"/>
        <v>0</v>
      </c>
      <c r="H34" s="837">
        <v>0</v>
      </c>
      <c r="I34" s="828">
        <v>0</v>
      </c>
      <c r="J34" s="814">
        <v>0</v>
      </c>
      <c r="K34" s="619">
        <f t="shared" si="2"/>
        <v>0</v>
      </c>
    </row>
    <row r="35" spans="1:11" x14ac:dyDescent="0.25">
      <c r="A35" s="1972"/>
      <c r="B35" s="19" t="s">
        <v>33</v>
      </c>
      <c r="C35" s="620"/>
      <c r="D35" s="837">
        <v>0</v>
      </c>
      <c r="E35" s="828">
        <v>0</v>
      </c>
      <c r="F35" s="814">
        <v>0</v>
      </c>
      <c r="G35" s="619">
        <f t="shared" si="1"/>
        <v>0</v>
      </c>
      <c r="H35" s="837">
        <v>0</v>
      </c>
      <c r="I35" s="828">
        <v>0</v>
      </c>
      <c r="J35" s="814">
        <v>0</v>
      </c>
      <c r="K35" s="619">
        <f t="shared" si="2"/>
        <v>0</v>
      </c>
    </row>
    <row r="36" spans="1:11" ht="15.75" thickBot="1" x14ac:dyDescent="0.3">
      <c r="A36" s="1939"/>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40"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40"/>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40"/>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40"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40"/>
      <c r="B43" s="19" t="s">
        <v>33</v>
      </c>
      <c r="C43" s="817"/>
      <c r="D43" s="821">
        <v>0</v>
      </c>
      <c r="E43" s="814">
        <v>0</v>
      </c>
      <c r="F43" s="819">
        <v>0</v>
      </c>
      <c r="G43" s="619">
        <f t="shared" si="1"/>
        <v>0</v>
      </c>
      <c r="H43" s="821">
        <v>0</v>
      </c>
      <c r="I43" s="814">
        <v>0</v>
      </c>
      <c r="J43" s="819">
        <v>0</v>
      </c>
      <c r="K43" s="619">
        <f t="shared" si="3"/>
        <v>0</v>
      </c>
    </row>
    <row r="44" spans="1:11" x14ac:dyDescent="0.25">
      <c r="A44" s="1940"/>
      <c r="B44" s="19" t="s">
        <v>34</v>
      </c>
      <c r="C44" s="817"/>
      <c r="D44" s="821">
        <v>0</v>
      </c>
      <c r="E44" s="814">
        <v>0</v>
      </c>
      <c r="F44" s="819">
        <v>0</v>
      </c>
      <c r="G44" s="619">
        <f t="shared" si="1"/>
        <v>0</v>
      </c>
      <c r="H44" s="821">
        <v>0</v>
      </c>
      <c r="I44" s="814">
        <v>0</v>
      </c>
      <c r="J44" s="819">
        <v>0</v>
      </c>
      <c r="K44" s="619">
        <f t="shared" si="3"/>
        <v>0</v>
      </c>
    </row>
    <row r="45" spans="1:11" x14ac:dyDescent="0.25">
      <c r="A45" s="1971" t="s">
        <v>15</v>
      </c>
      <c r="B45" s="19" t="s">
        <v>32</v>
      </c>
      <c r="C45" s="817"/>
      <c r="D45" s="821">
        <v>2</v>
      </c>
      <c r="E45" s="814">
        <v>0</v>
      </c>
      <c r="F45" s="814">
        <v>0</v>
      </c>
      <c r="G45" s="619">
        <f t="shared" si="1"/>
        <v>2</v>
      </c>
      <c r="H45" s="821">
        <v>4</v>
      </c>
      <c r="I45" s="814">
        <v>0</v>
      </c>
      <c r="J45" s="814">
        <v>0</v>
      </c>
      <c r="K45" s="619">
        <f t="shared" si="3"/>
        <v>4</v>
      </c>
    </row>
    <row r="46" spans="1:11" x14ac:dyDescent="0.25">
      <c r="A46" s="1971"/>
      <c r="B46" s="19" t="s">
        <v>33</v>
      </c>
      <c r="C46" s="817"/>
      <c r="D46" s="821">
        <v>4</v>
      </c>
      <c r="E46" s="814">
        <v>0</v>
      </c>
      <c r="F46" s="814">
        <v>0</v>
      </c>
      <c r="G46" s="619">
        <f t="shared" si="1"/>
        <v>4</v>
      </c>
      <c r="H46" s="821">
        <v>6</v>
      </c>
      <c r="I46" s="814">
        <v>0</v>
      </c>
      <c r="J46" s="814">
        <v>0</v>
      </c>
      <c r="K46" s="619">
        <f t="shared" si="3"/>
        <v>6</v>
      </c>
    </row>
    <row r="47" spans="1:11" x14ac:dyDescent="0.25">
      <c r="A47" s="1971"/>
      <c r="B47" s="19" t="s">
        <v>34</v>
      </c>
      <c r="C47" s="817"/>
      <c r="D47" s="821">
        <v>6</v>
      </c>
      <c r="E47" s="814">
        <v>0</v>
      </c>
      <c r="F47" s="814">
        <v>0</v>
      </c>
      <c r="G47" s="619">
        <f t="shared" si="1"/>
        <v>6</v>
      </c>
      <c r="H47" s="821">
        <v>8</v>
      </c>
      <c r="I47" s="814">
        <v>0</v>
      </c>
      <c r="J47" s="814">
        <v>0</v>
      </c>
      <c r="K47" s="619">
        <f t="shared" si="3"/>
        <v>8</v>
      </c>
    </row>
    <row r="48" spans="1:11" x14ac:dyDescent="0.25">
      <c r="A48" s="1971" t="s">
        <v>16</v>
      </c>
      <c r="B48" s="19" t="s">
        <v>32</v>
      </c>
      <c r="C48" s="817"/>
      <c r="D48" s="821">
        <v>0</v>
      </c>
      <c r="E48" s="814">
        <v>0</v>
      </c>
      <c r="F48" s="819">
        <v>0</v>
      </c>
      <c r="G48" s="619">
        <f t="shared" si="1"/>
        <v>0</v>
      </c>
      <c r="H48" s="814">
        <v>0</v>
      </c>
      <c r="I48" s="814">
        <v>0</v>
      </c>
      <c r="J48" s="819">
        <v>0</v>
      </c>
      <c r="K48" s="619">
        <f t="shared" si="3"/>
        <v>0</v>
      </c>
    </row>
    <row r="49" spans="1:11" x14ac:dyDescent="0.25">
      <c r="A49" s="1971"/>
      <c r="B49" s="19" t="s">
        <v>33</v>
      </c>
      <c r="C49" s="817"/>
      <c r="D49" s="821">
        <v>0</v>
      </c>
      <c r="E49" s="814">
        <v>0</v>
      </c>
      <c r="F49" s="819">
        <v>0</v>
      </c>
      <c r="G49" s="619">
        <f t="shared" si="1"/>
        <v>0</v>
      </c>
      <c r="H49" s="814">
        <v>0</v>
      </c>
      <c r="I49" s="814">
        <v>0</v>
      </c>
      <c r="J49" s="819">
        <v>0</v>
      </c>
      <c r="K49" s="619">
        <f t="shared" si="3"/>
        <v>0</v>
      </c>
    </row>
    <row r="50" spans="1:11" x14ac:dyDescent="0.25">
      <c r="A50" s="1971"/>
      <c r="B50" s="19" t="s">
        <v>34</v>
      </c>
      <c r="C50" s="817"/>
      <c r="D50" s="821">
        <v>0</v>
      </c>
      <c r="E50" s="814">
        <v>0</v>
      </c>
      <c r="F50" s="819">
        <v>0</v>
      </c>
      <c r="G50" s="619">
        <f t="shared" si="1"/>
        <v>0</v>
      </c>
      <c r="H50" s="814">
        <v>0</v>
      </c>
      <c r="I50" s="814">
        <v>0</v>
      </c>
      <c r="J50" s="819">
        <v>0</v>
      </c>
      <c r="K50" s="619">
        <f t="shared" si="3"/>
        <v>0</v>
      </c>
    </row>
    <row r="51" spans="1:11" x14ac:dyDescent="0.25">
      <c r="A51" s="1971" t="s">
        <v>17</v>
      </c>
      <c r="B51" s="19" t="s">
        <v>32</v>
      </c>
      <c r="C51" s="817"/>
      <c r="D51" s="821">
        <v>0</v>
      </c>
      <c r="E51" s="814">
        <v>0</v>
      </c>
      <c r="F51" s="814">
        <v>0</v>
      </c>
      <c r="G51" s="619">
        <f t="shared" si="1"/>
        <v>0</v>
      </c>
      <c r="H51" s="814">
        <v>0</v>
      </c>
      <c r="I51" s="814">
        <v>0</v>
      </c>
      <c r="J51" s="814">
        <v>0</v>
      </c>
      <c r="K51" s="619">
        <f t="shared" si="3"/>
        <v>0</v>
      </c>
    </row>
    <row r="52" spans="1:11" x14ac:dyDescent="0.25">
      <c r="A52" s="1971"/>
      <c r="B52" s="19" t="s">
        <v>33</v>
      </c>
      <c r="C52" s="817"/>
      <c r="D52" s="821">
        <v>0</v>
      </c>
      <c r="E52" s="814">
        <v>0</v>
      </c>
      <c r="F52" s="814">
        <v>0</v>
      </c>
      <c r="G52" s="619">
        <f t="shared" si="1"/>
        <v>0</v>
      </c>
      <c r="H52" s="814">
        <v>0</v>
      </c>
      <c r="I52" s="814">
        <v>0</v>
      </c>
      <c r="J52" s="814">
        <v>0</v>
      </c>
      <c r="K52" s="619">
        <f t="shared" si="3"/>
        <v>0</v>
      </c>
    </row>
    <row r="53" spans="1:11" x14ac:dyDescent="0.25">
      <c r="A53" s="1971"/>
      <c r="B53" s="19" t="s">
        <v>34</v>
      </c>
      <c r="C53" s="817"/>
      <c r="D53" s="821">
        <v>0</v>
      </c>
      <c r="E53" s="814">
        <v>0</v>
      </c>
      <c r="F53" s="814">
        <v>0</v>
      </c>
      <c r="G53" s="619">
        <f t="shared" si="1"/>
        <v>0</v>
      </c>
      <c r="H53" s="814">
        <v>0</v>
      </c>
      <c r="I53" s="814">
        <v>0</v>
      </c>
      <c r="J53" s="814">
        <v>0</v>
      </c>
      <c r="K53" s="619">
        <f t="shared" si="3"/>
        <v>0</v>
      </c>
    </row>
    <row r="54" spans="1:11" x14ac:dyDescent="0.25">
      <c r="A54" s="1971" t="s">
        <v>18</v>
      </c>
      <c r="B54" s="19" t="s">
        <v>32</v>
      </c>
      <c r="C54" s="817"/>
      <c r="D54" s="821">
        <v>0</v>
      </c>
      <c r="E54" s="814">
        <v>0</v>
      </c>
      <c r="F54" s="814">
        <v>0</v>
      </c>
      <c r="G54" s="619">
        <f t="shared" si="1"/>
        <v>0</v>
      </c>
      <c r="H54" s="814">
        <v>0</v>
      </c>
      <c r="I54" s="814">
        <v>0</v>
      </c>
      <c r="J54" s="814">
        <v>0</v>
      </c>
      <c r="K54" s="619">
        <f t="shared" si="3"/>
        <v>0</v>
      </c>
    </row>
    <row r="55" spans="1:11" x14ac:dyDescent="0.25">
      <c r="A55" s="1971"/>
      <c r="B55" s="19" t="s">
        <v>33</v>
      </c>
      <c r="C55" s="817"/>
      <c r="D55" s="821">
        <v>0</v>
      </c>
      <c r="E55" s="814">
        <v>0</v>
      </c>
      <c r="F55" s="814">
        <v>0</v>
      </c>
      <c r="G55" s="619">
        <f t="shared" si="1"/>
        <v>0</v>
      </c>
      <c r="H55" s="814">
        <v>0</v>
      </c>
      <c r="I55" s="814">
        <v>0</v>
      </c>
      <c r="J55" s="814">
        <v>0</v>
      </c>
      <c r="K55" s="619">
        <f t="shared" si="3"/>
        <v>0</v>
      </c>
    </row>
    <row r="56" spans="1:11" x14ac:dyDescent="0.25">
      <c r="A56" s="1971"/>
      <c r="B56" s="19" t="s">
        <v>34</v>
      </c>
      <c r="C56" s="817"/>
      <c r="D56" s="821">
        <v>0</v>
      </c>
      <c r="E56" s="814">
        <v>0</v>
      </c>
      <c r="F56" s="814">
        <v>0</v>
      </c>
      <c r="G56" s="619">
        <f t="shared" si="1"/>
        <v>0</v>
      </c>
      <c r="H56" s="814">
        <v>0</v>
      </c>
      <c r="I56" s="814">
        <v>0</v>
      </c>
      <c r="J56" s="814">
        <v>0</v>
      </c>
      <c r="K56" s="619">
        <f t="shared" si="3"/>
        <v>0</v>
      </c>
    </row>
    <row r="57" spans="1:11" x14ac:dyDescent="0.25">
      <c r="A57" s="1971" t="s">
        <v>19</v>
      </c>
      <c r="B57" s="19" t="s">
        <v>32</v>
      </c>
      <c r="C57" s="817"/>
      <c r="D57" s="821">
        <v>0</v>
      </c>
      <c r="E57" s="814">
        <v>0</v>
      </c>
      <c r="F57" s="814">
        <v>0</v>
      </c>
      <c r="G57" s="619">
        <f t="shared" si="1"/>
        <v>0</v>
      </c>
      <c r="H57" s="821">
        <v>0</v>
      </c>
      <c r="I57" s="814">
        <v>0</v>
      </c>
      <c r="J57" s="814">
        <v>0</v>
      </c>
      <c r="K57" s="619">
        <f t="shared" si="3"/>
        <v>0</v>
      </c>
    </row>
    <row r="58" spans="1:11" x14ac:dyDescent="0.25">
      <c r="A58" s="1971"/>
      <c r="B58" s="19" t="s">
        <v>33</v>
      </c>
      <c r="C58" s="817"/>
      <c r="D58" s="821">
        <v>0</v>
      </c>
      <c r="E58" s="814">
        <v>0</v>
      </c>
      <c r="F58" s="814">
        <v>0</v>
      </c>
      <c r="G58" s="619">
        <f t="shared" si="1"/>
        <v>0</v>
      </c>
      <c r="H58" s="821">
        <v>0</v>
      </c>
      <c r="I58" s="814">
        <v>0</v>
      </c>
      <c r="J58" s="814">
        <v>0</v>
      </c>
      <c r="K58" s="619">
        <f t="shared" si="3"/>
        <v>0</v>
      </c>
    </row>
    <row r="59" spans="1:11" x14ac:dyDescent="0.25">
      <c r="A59" s="1971"/>
      <c r="B59" s="19" t="s">
        <v>34</v>
      </c>
      <c r="C59" s="817"/>
      <c r="D59" s="821">
        <v>0</v>
      </c>
      <c r="E59" s="814">
        <v>0</v>
      </c>
      <c r="F59" s="814">
        <v>0</v>
      </c>
      <c r="G59" s="619">
        <f t="shared" si="1"/>
        <v>0</v>
      </c>
      <c r="H59" s="821">
        <v>0</v>
      </c>
      <c r="I59" s="814">
        <v>0</v>
      </c>
      <c r="J59" s="814">
        <v>0</v>
      </c>
      <c r="K59" s="619">
        <f t="shared" si="3"/>
        <v>0</v>
      </c>
    </row>
    <row r="60" spans="1:11" x14ac:dyDescent="0.25">
      <c r="A60" s="1971" t="s">
        <v>20</v>
      </c>
      <c r="B60" s="19" t="s">
        <v>32</v>
      </c>
      <c r="C60" s="817"/>
      <c r="D60" s="821">
        <v>8</v>
      </c>
      <c r="E60" s="814">
        <v>0</v>
      </c>
      <c r="F60" s="819">
        <v>0</v>
      </c>
      <c r="G60" s="619">
        <f t="shared" si="1"/>
        <v>8</v>
      </c>
      <c r="H60" s="821">
        <v>10</v>
      </c>
      <c r="I60" s="814">
        <v>0</v>
      </c>
      <c r="J60" s="819">
        <v>0</v>
      </c>
      <c r="K60" s="619">
        <f t="shared" si="3"/>
        <v>10</v>
      </c>
    </row>
    <row r="61" spans="1:11" x14ac:dyDescent="0.25">
      <c r="A61" s="1971"/>
      <c r="B61" s="19" t="s">
        <v>33</v>
      </c>
      <c r="C61" s="817"/>
      <c r="D61" s="821">
        <v>12</v>
      </c>
      <c r="E61" s="814">
        <v>0</v>
      </c>
      <c r="F61" s="819">
        <v>0</v>
      </c>
      <c r="G61" s="619">
        <f t="shared" si="1"/>
        <v>12</v>
      </c>
      <c r="H61" s="821">
        <v>14</v>
      </c>
      <c r="I61" s="814">
        <v>0</v>
      </c>
      <c r="J61" s="819">
        <v>0</v>
      </c>
      <c r="K61" s="619">
        <f t="shared" si="3"/>
        <v>14</v>
      </c>
    </row>
    <row r="62" spans="1:11" x14ac:dyDescent="0.25">
      <c r="A62" s="1971"/>
      <c r="B62" s="19" t="s">
        <v>34</v>
      </c>
      <c r="C62" s="817"/>
      <c r="D62" s="821">
        <v>16</v>
      </c>
      <c r="E62" s="814">
        <v>0</v>
      </c>
      <c r="F62" s="819">
        <v>0</v>
      </c>
      <c r="G62" s="619">
        <f t="shared" si="1"/>
        <v>16</v>
      </c>
      <c r="H62" s="821">
        <v>18</v>
      </c>
      <c r="I62" s="814">
        <v>0</v>
      </c>
      <c r="J62" s="819">
        <v>0</v>
      </c>
      <c r="K62" s="619">
        <f t="shared" si="3"/>
        <v>18</v>
      </c>
    </row>
    <row r="63" spans="1:11" x14ac:dyDescent="0.25">
      <c r="A63" s="1971" t="s">
        <v>451</v>
      </c>
      <c r="B63" s="19" t="s">
        <v>32</v>
      </c>
      <c r="C63" s="817"/>
      <c r="D63" s="821">
        <v>0</v>
      </c>
      <c r="E63" s="814">
        <v>0</v>
      </c>
      <c r="F63" s="814">
        <v>0</v>
      </c>
      <c r="G63" s="619">
        <f t="shared" si="1"/>
        <v>0</v>
      </c>
      <c r="H63" s="814">
        <v>0</v>
      </c>
      <c r="I63" s="814">
        <v>0</v>
      </c>
      <c r="J63" s="814">
        <v>0</v>
      </c>
      <c r="K63" s="619">
        <f t="shared" si="3"/>
        <v>0</v>
      </c>
    </row>
    <row r="64" spans="1:11" x14ac:dyDescent="0.25">
      <c r="A64" s="1971"/>
      <c r="B64" s="19" t="s">
        <v>33</v>
      </c>
      <c r="C64" s="817"/>
      <c r="D64" s="821">
        <v>0</v>
      </c>
      <c r="E64" s="814">
        <v>0</v>
      </c>
      <c r="F64" s="814">
        <v>0</v>
      </c>
      <c r="G64" s="619">
        <f t="shared" si="1"/>
        <v>0</v>
      </c>
      <c r="H64" s="814">
        <v>0</v>
      </c>
      <c r="I64" s="814">
        <v>0</v>
      </c>
      <c r="J64" s="814">
        <v>0</v>
      </c>
      <c r="K64" s="619">
        <f t="shared" si="3"/>
        <v>0</v>
      </c>
    </row>
    <row r="65" spans="1:11" x14ac:dyDescent="0.25">
      <c r="A65" s="1971"/>
      <c r="B65" s="19" t="s">
        <v>34</v>
      </c>
      <c r="C65" s="817"/>
      <c r="D65" s="821">
        <v>0</v>
      </c>
      <c r="E65" s="814">
        <v>0</v>
      </c>
      <c r="F65" s="814">
        <v>0</v>
      </c>
      <c r="G65" s="619">
        <f t="shared" si="1"/>
        <v>0</v>
      </c>
      <c r="H65" s="814">
        <v>0</v>
      </c>
      <c r="I65" s="814">
        <v>0</v>
      </c>
      <c r="J65" s="814">
        <v>0</v>
      </c>
      <c r="K65" s="619">
        <f t="shared" si="3"/>
        <v>0</v>
      </c>
    </row>
    <row r="66" spans="1:11" x14ac:dyDescent="0.25">
      <c r="A66" s="1971" t="s">
        <v>452</v>
      </c>
      <c r="B66" s="19" t="s">
        <v>32</v>
      </c>
      <c r="C66" s="817"/>
      <c r="D66" s="821">
        <v>0</v>
      </c>
      <c r="E66" s="814">
        <v>0</v>
      </c>
      <c r="F66" s="814">
        <v>0</v>
      </c>
      <c r="G66" s="619">
        <f t="shared" si="1"/>
        <v>0</v>
      </c>
      <c r="H66" s="814">
        <v>0</v>
      </c>
      <c r="I66" s="814">
        <v>0</v>
      </c>
      <c r="J66" s="814">
        <v>0</v>
      </c>
      <c r="K66" s="619">
        <f t="shared" si="3"/>
        <v>0</v>
      </c>
    </row>
    <row r="67" spans="1:11" x14ac:dyDescent="0.25">
      <c r="A67" s="1971"/>
      <c r="B67" s="19" t="s">
        <v>33</v>
      </c>
      <c r="C67" s="817"/>
      <c r="D67" s="821">
        <v>0</v>
      </c>
      <c r="E67" s="814">
        <v>0</v>
      </c>
      <c r="F67" s="814">
        <v>0</v>
      </c>
      <c r="G67" s="619">
        <f t="shared" si="1"/>
        <v>0</v>
      </c>
      <c r="H67" s="814">
        <v>0</v>
      </c>
      <c r="I67" s="814">
        <v>0</v>
      </c>
      <c r="J67" s="814">
        <v>0</v>
      </c>
      <c r="K67" s="619">
        <f t="shared" si="3"/>
        <v>0</v>
      </c>
    </row>
    <row r="68" spans="1:11" x14ac:dyDescent="0.25">
      <c r="A68" s="1971"/>
      <c r="B68" s="19" t="s">
        <v>34</v>
      </c>
      <c r="C68" s="817"/>
      <c r="D68" s="821">
        <v>0</v>
      </c>
      <c r="E68" s="814">
        <v>0</v>
      </c>
      <c r="F68" s="814">
        <v>0</v>
      </c>
      <c r="G68" s="619">
        <f t="shared" si="1"/>
        <v>0</v>
      </c>
      <c r="H68" s="814">
        <v>0</v>
      </c>
      <c r="I68" s="814">
        <v>0</v>
      </c>
      <c r="J68" s="814">
        <v>0</v>
      </c>
      <c r="K68" s="619">
        <f t="shared" si="3"/>
        <v>0</v>
      </c>
    </row>
    <row r="69" spans="1:11" x14ac:dyDescent="0.25">
      <c r="A69" s="1974" t="s">
        <v>533</v>
      </c>
      <c r="B69" s="19" t="s">
        <v>32</v>
      </c>
      <c r="C69" s="817"/>
      <c r="D69" s="821">
        <v>0</v>
      </c>
      <c r="E69" s="814">
        <v>0</v>
      </c>
      <c r="F69" s="814">
        <v>0</v>
      </c>
      <c r="G69" s="619">
        <f t="shared" si="1"/>
        <v>0</v>
      </c>
      <c r="H69" s="814">
        <v>0</v>
      </c>
      <c r="I69" s="814">
        <v>0</v>
      </c>
      <c r="J69" s="814">
        <v>0</v>
      </c>
      <c r="K69" s="619">
        <f t="shared" si="3"/>
        <v>0</v>
      </c>
    </row>
    <row r="70" spans="1:11" x14ac:dyDescent="0.25">
      <c r="A70" s="1974"/>
      <c r="B70" s="19" t="s">
        <v>33</v>
      </c>
      <c r="C70" s="817"/>
      <c r="D70" s="821">
        <v>0</v>
      </c>
      <c r="E70" s="814">
        <v>0</v>
      </c>
      <c r="F70" s="814">
        <v>0</v>
      </c>
      <c r="G70" s="619">
        <f t="shared" si="1"/>
        <v>0</v>
      </c>
      <c r="H70" s="814">
        <v>0</v>
      </c>
      <c r="I70" s="814">
        <v>0</v>
      </c>
      <c r="J70" s="814">
        <v>0</v>
      </c>
      <c r="K70" s="619">
        <f t="shared" si="3"/>
        <v>0</v>
      </c>
    </row>
    <row r="71" spans="1:11" x14ac:dyDescent="0.25">
      <c r="A71" s="1974"/>
      <c r="B71" s="19" t="s">
        <v>34</v>
      </c>
      <c r="C71" s="817"/>
      <c r="D71" s="821">
        <v>0</v>
      </c>
      <c r="E71" s="814">
        <v>0</v>
      </c>
      <c r="F71" s="814">
        <v>0</v>
      </c>
      <c r="G71" s="619">
        <f t="shared" si="1"/>
        <v>0</v>
      </c>
      <c r="H71" s="814">
        <v>0</v>
      </c>
      <c r="I71" s="814">
        <v>0</v>
      </c>
      <c r="J71" s="814">
        <v>0</v>
      </c>
      <c r="K71" s="619">
        <f t="shared" si="3"/>
        <v>0</v>
      </c>
    </row>
    <row r="72" spans="1:11" x14ac:dyDescent="0.25">
      <c r="A72" s="1971" t="s">
        <v>534</v>
      </c>
      <c r="B72" s="19" t="s">
        <v>32</v>
      </c>
      <c r="C72" s="817"/>
      <c r="D72" s="821">
        <v>0</v>
      </c>
      <c r="E72" s="814">
        <v>0</v>
      </c>
      <c r="F72" s="814">
        <v>0</v>
      </c>
      <c r="G72" s="619">
        <f t="shared" si="1"/>
        <v>0</v>
      </c>
      <c r="H72" s="814">
        <v>0</v>
      </c>
      <c r="I72" s="814">
        <v>0</v>
      </c>
      <c r="J72" s="814">
        <v>0</v>
      </c>
      <c r="K72" s="619">
        <f t="shared" si="3"/>
        <v>0</v>
      </c>
    </row>
    <row r="73" spans="1:11" x14ac:dyDescent="0.25">
      <c r="A73" s="1971"/>
      <c r="B73" s="19" t="s">
        <v>33</v>
      </c>
      <c r="C73" s="817"/>
      <c r="D73" s="821">
        <v>0</v>
      </c>
      <c r="E73" s="814">
        <v>0</v>
      </c>
      <c r="F73" s="814">
        <v>0</v>
      </c>
      <c r="G73" s="619">
        <f t="shared" si="1"/>
        <v>0</v>
      </c>
      <c r="H73" s="814">
        <v>0</v>
      </c>
      <c r="I73" s="814">
        <v>0</v>
      </c>
      <c r="J73" s="814">
        <v>0</v>
      </c>
      <c r="K73" s="619">
        <f t="shared" si="3"/>
        <v>0</v>
      </c>
    </row>
    <row r="74" spans="1:11" x14ac:dyDescent="0.25">
      <c r="A74" s="1971"/>
      <c r="B74" s="19" t="s">
        <v>34</v>
      </c>
      <c r="C74" s="817"/>
      <c r="D74" s="821">
        <v>0</v>
      </c>
      <c r="E74" s="814">
        <v>0</v>
      </c>
      <c r="F74" s="814">
        <v>0</v>
      </c>
      <c r="G74" s="619">
        <f t="shared" si="1"/>
        <v>0</v>
      </c>
      <c r="H74" s="814">
        <v>0</v>
      </c>
      <c r="I74" s="814">
        <v>0</v>
      </c>
      <c r="J74" s="814">
        <v>0</v>
      </c>
      <c r="K74" s="619">
        <f t="shared" si="3"/>
        <v>0</v>
      </c>
    </row>
    <row r="75" spans="1:11" x14ac:dyDescent="0.25">
      <c r="A75" s="1971"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71"/>
      <c r="B76" s="19" t="s">
        <v>33</v>
      </c>
      <c r="C76" s="817"/>
      <c r="D76" s="744" t="s">
        <v>90</v>
      </c>
      <c r="E76" s="744" t="s">
        <v>90</v>
      </c>
      <c r="F76" s="744" t="s">
        <v>90</v>
      </c>
      <c r="G76" s="619">
        <f t="shared" si="1"/>
        <v>0</v>
      </c>
      <c r="H76" s="744" t="s">
        <v>90</v>
      </c>
      <c r="I76" s="744" t="s">
        <v>90</v>
      </c>
      <c r="J76" s="744" t="s">
        <v>90</v>
      </c>
      <c r="K76" s="619">
        <f t="shared" si="3"/>
        <v>0</v>
      </c>
    </row>
    <row r="77" spans="1:11" x14ac:dyDescent="0.25">
      <c r="A77" s="1971"/>
      <c r="B77" s="13" t="s">
        <v>34</v>
      </c>
      <c r="C77" s="820"/>
      <c r="D77" s="744" t="s">
        <v>90</v>
      </c>
      <c r="E77" s="744" t="s">
        <v>90</v>
      </c>
      <c r="F77" s="744" t="s">
        <v>90</v>
      </c>
      <c r="G77" s="619">
        <f t="shared" si="1"/>
        <v>0</v>
      </c>
      <c r="H77" s="744" t="s">
        <v>90</v>
      </c>
      <c r="I77" s="744" t="s">
        <v>90</v>
      </c>
      <c r="J77" s="744" t="s">
        <v>90</v>
      </c>
      <c r="K77" s="619">
        <f t="shared" si="3"/>
        <v>0</v>
      </c>
    </row>
    <row r="78" spans="1:11" x14ac:dyDescent="0.25">
      <c r="A78" s="1971" t="s">
        <v>181</v>
      </c>
      <c r="B78" s="19" t="s">
        <v>32</v>
      </c>
      <c r="C78" s="817"/>
      <c r="D78" s="821">
        <v>0</v>
      </c>
      <c r="E78" s="740">
        <v>0</v>
      </c>
      <c r="F78" s="740">
        <v>0</v>
      </c>
      <c r="G78" s="619">
        <f t="shared" si="1"/>
        <v>0</v>
      </c>
      <c r="H78" s="740">
        <v>0</v>
      </c>
      <c r="I78" s="740">
        <v>0</v>
      </c>
      <c r="J78" s="740">
        <v>0</v>
      </c>
      <c r="K78" s="619">
        <f t="shared" si="3"/>
        <v>0</v>
      </c>
    </row>
    <row r="79" spans="1:11" x14ac:dyDescent="0.25">
      <c r="A79" s="1971"/>
      <c r="B79" s="19" t="s">
        <v>33</v>
      </c>
      <c r="C79" s="817"/>
      <c r="D79" s="821">
        <v>0</v>
      </c>
      <c r="E79" s="740">
        <v>0</v>
      </c>
      <c r="F79" s="740">
        <v>0</v>
      </c>
      <c r="G79" s="619">
        <f t="shared" si="1"/>
        <v>0</v>
      </c>
      <c r="H79" s="740">
        <v>0</v>
      </c>
      <c r="I79" s="740">
        <v>0</v>
      </c>
      <c r="J79" s="740">
        <v>0</v>
      </c>
      <c r="K79" s="619">
        <f t="shared" si="3"/>
        <v>0</v>
      </c>
    </row>
    <row r="80" spans="1:11" x14ac:dyDescent="0.25">
      <c r="A80" s="1971"/>
      <c r="B80" s="19" t="s">
        <v>34</v>
      </c>
      <c r="C80" s="817"/>
      <c r="D80" s="821">
        <v>0</v>
      </c>
      <c r="E80" s="740">
        <v>0</v>
      </c>
      <c r="F80" s="740">
        <v>0</v>
      </c>
      <c r="G80" s="619">
        <f t="shared" si="1"/>
        <v>0</v>
      </c>
      <c r="H80" s="740">
        <v>0</v>
      </c>
      <c r="I80" s="740">
        <v>0</v>
      </c>
      <c r="J80" s="740">
        <v>0</v>
      </c>
      <c r="K80" s="619">
        <f t="shared" si="3"/>
        <v>0</v>
      </c>
    </row>
    <row r="81" spans="1:11" x14ac:dyDescent="0.25">
      <c r="A81" s="1971" t="s">
        <v>182</v>
      </c>
      <c r="B81" s="19" t="s">
        <v>32</v>
      </c>
      <c r="C81" s="817"/>
      <c r="D81" s="821">
        <v>0</v>
      </c>
      <c r="E81" s="740">
        <v>0</v>
      </c>
      <c r="F81" s="740">
        <v>0</v>
      </c>
      <c r="G81" s="619">
        <f t="shared" si="1"/>
        <v>0</v>
      </c>
      <c r="H81" s="740">
        <v>0</v>
      </c>
      <c r="I81" s="740">
        <v>0</v>
      </c>
      <c r="J81" s="740">
        <v>0</v>
      </c>
      <c r="K81" s="619">
        <f t="shared" si="3"/>
        <v>0</v>
      </c>
    </row>
    <row r="82" spans="1:11" x14ac:dyDescent="0.25">
      <c r="A82" s="1971"/>
      <c r="B82" s="19" t="s">
        <v>33</v>
      </c>
      <c r="C82" s="817"/>
      <c r="D82" s="821">
        <v>0</v>
      </c>
      <c r="E82" s="740">
        <v>0</v>
      </c>
      <c r="F82" s="740">
        <v>0</v>
      </c>
      <c r="G82" s="619">
        <f t="shared" si="1"/>
        <v>0</v>
      </c>
      <c r="H82" s="740">
        <v>0</v>
      </c>
      <c r="I82" s="740">
        <v>0</v>
      </c>
      <c r="J82" s="740">
        <v>0</v>
      </c>
      <c r="K82" s="619">
        <f t="shared" si="3"/>
        <v>0</v>
      </c>
    </row>
    <row r="83" spans="1:11" x14ac:dyDescent="0.25">
      <c r="A83" s="1971"/>
      <c r="B83" s="19" t="s">
        <v>34</v>
      </c>
      <c r="C83" s="817"/>
      <c r="D83" s="821">
        <v>0</v>
      </c>
      <c r="E83" s="740">
        <v>0</v>
      </c>
      <c r="F83" s="740">
        <v>0</v>
      </c>
      <c r="G83" s="619">
        <f t="shared" si="1"/>
        <v>0</v>
      </c>
      <c r="H83" s="740">
        <v>0</v>
      </c>
      <c r="I83" s="740">
        <v>0</v>
      </c>
      <c r="J83" s="740">
        <v>0</v>
      </c>
      <c r="K83" s="619">
        <f t="shared" si="3"/>
        <v>0</v>
      </c>
    </row>
    <row r="84" spans="1:11" x14ac:dyDescent="0.25">
      <c r="A84" s="1941" t="s">
        <v>183</v>
      </c>
      <c r="B84" s="19" t="s">
        <v>32</v>
      </c>
      <c r="C84" s="817"/>
      <c r="D84" s="821">
        <v>0</v>
      </c>
      <c r="E84" s="740">
        <v>0</v>
      </c>
      <c r="F84" s="740">
        <v>0</v>
      </c>
      <c r="G84" s="619">
        <f t="shared" si="1"/>
        <v>0</v>
      </c>
      <c r="H84" s="740">
        <v>0</v>
      </c>
      <c r="I84" s="740">
        <v>0</v>
      </c>
      <c r="J84" s="740">
        <v>0</v>
      </c>
      <c r="K84" s="619">
        <f t="shared" si="3"/>
        <v>0</v>
      </c>
    </row>
    <row r="85" spans="1:11" x14ac:dyDescent="0.25">
      <c r="A85" s="1941"/>
      <c r="B85" s="19" t="s">
        <v>33</v>
      </c>
      <c r="C85" s="817"/>
      <c r="D85" s="821">
        <v>0</v>
      </c>
      <c r="E85" s="740">
        <v>0</v>
      </c>
      <c r="F85" s="740">
        <v>0</v>
      </c>
      <c r="G85" s="619">
        <f t="shared" si="1"/>
        <v>0</v>
      </c>
      <c r="H85" s="740">
        <v>0</v>
      </c>
      <c r="I85" s="740">
        <v>0</v>
      </c>
      <c r="J85" s="740">
        <v>0</v>
      </c>
      <c r="K85" s="619">
        <f t="shared" si="3"/>
        <v>0</v>
      </c>
    </row>
    <row r="86" spans="1:11" ht="15.75" thickBot="1" x14ac:dyDescent="0.3">
      <c r="A86" s="1941"/>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40"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40"/>
      <c r="B89" s="19" t="s">
        <v>33</v>
      </c>
      <c r="C89" s="620"/>
      <c r="D89" s="830">
        <v>0</v>
      </c>
      <c r="E89" s="827">
        <v>0</v>
      </c>
      <c r="F89" s="831">
        <v>0</v>
      </c>
      <c r="G89" s="619">
        <f t="shared" si="1"/>
        <v>0</v>
      </c>
      <c r="H89" s="830">
        <v>0</v>
      </c>
      <c r="I89" s="827">
        <v>0</v>
      </c>
      <c r="J89" s="831">
        <v>0</v>
      </c>
      <c r="K89" s="619">
        <f t="shared" si="4"/>
        <v>0</v>
      </c>
    </row>
    <row r="90" spans="1:11" x14ac:dyDescent="0.25">
      <c r="A90" s="1940"/>
      <c r="B90" s="19" t="s">
        <v>34</v>
      </c>
      <c r="C90" s="620"/>
      <c r="D90" s="830">
        <v>0</v>
      </c>
      <c r="E90" s="827">
        <v>0</v>
      </c>
      <c r="F90" s="824">
        <v>0</v>
      </c>
      <c r="G90" s="619">
        <f t="shared" si="1"/>
        <v>0</v>
      </c>
      <c r="H90" s="830">
        <v>0</v>
      </c>
      <c r="I90" s="827">
        <v>0</v>
      </c>
      <c r="J90" s="824">
        <v>0</v>
      </c>
      <c r="K90" s="619">
        <f t="shared" si="4"/>
        <v>0</v>
      </c>
    </row>
    <row r="91" spans="1:11" x14ac:dyDescent="0.25">
      <c r="A91" s="1971" t="s">
        <v>24</v>
      </c>
      <c r="B91" s="19" t="s">
        <v>32</v>
      </c>
      <c r="C91" s="620"/>
      <c r="D91" s="834">
        <f>2*D$3</f>
        <v>0</v>
      </c>
      <c r="E91" s="827">
        <v>0</v>
      </c>
      <c r="F91" s="824">
        <v>0</v>
      </c>
      <c r="G91" s="619">
        <f t="shared" si="1"/>
        <v>0</v>
      </c>
      <c r="H91" s="834">
        <f>4*H$3</f>
        <v>0</v>
      </c>
      <c r="I91" s="827">
        <v>0</v>
      </c>
      <c r="J91" s="824">
        <v>0</v>
      </c>
      <c r="K91" s="619">
        <f t="shared" si="4"/>
        <v>0</v>
      </c>
    </row>
    <row r="92" spans="1:11" x14ac:dyDescent="0.25">
      <c r="A92" s="1971"/>
      <c r="B92" s="19" t="s">
        <v>33</v>
      </c>
      <c r="C92" s="620"/>
      <c r="D92" s="834">
        <f>4*D$3</f>
        <v>0</v>
      </c>
      <c r="E92" s="827">
        <v>0</v>
      </c>
      <c r="F92" s="824">
        <v>0</v>
      </c>
      <c r="G92" s="619">
        <f t="shared" si="1"/>
        <v>0</v>
      </c>
      <c r="H92" s="834">
        <f>6*H$3</f>
        <v>0</v>
      </c>
      <c r="I92" s="827">
        <v>0</v>
      </c>
      <c r="J92" s="824">
        <v>0</v>
      </c>
      <c r="K92" s="619">
        <f t="shared" si="4"/>
        <v>0</v>
      </c>
    </row>
    <row r="93" spans="1:11" x14ac:dyDescent="0.25">
      <c r="A93" s="1971"/>
      <c r="B93" s="19" t="s">
        <v>34</v>
      </c>
      <c r="C93" s="620"/>
      <c r="D93" s="834">
        <f>8*D$3</f>
        <v>0</v>
      </c>
      <c r="E93" s="827">
        <v>0</v>
      </c>
      <c r="F93" s="824">
        <v>0</v>
      </c>
      <c r="G93" s="619">
        <f t="shared" si="1"/>
        <v>0</v>
      </c>
      <c r="H93" s="834">
        <f>10*H$3</f>
        <v>0</v>
      </c>
      <c r="I93" s="827">
        <v>0</v>
      </c>
      <c r="J93" s="824">
        <v>0</v>
      </c>
      <c r="K93" s="619">
        <f t="shared" si="4"/>
        <v>0</v>
      </c>
    </row>
    <row r="94" spans="1:11" x14ac:dyDescent="0.25">
      <c r="A94" s="1971"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71"/>
      <c r="B95" s="19" t="s">
        <v>33</v>
      </c>
      <c r="C95" s="620"/>
      <c r="D95" s="823">
        <v>0</v>
      </c>
      <c r="E95" s="814">
        <v>0</v>
      </c>
      <c r="F95" s="824">
        <v>0</v>
      </c>
      <c r="G95" s="619">
        <f t="shared" si="5"/>
        <v>0</v>
      </c>
      <c r="H95" s="823">
        <v>0</v>
      </c>
      <c r="I95" s="814">
        <v>0</v>
      </c>
      <c r="J95" s="824">
        <v>0</v>
      </c>
      <c r="K95" s="619">
        <f t="shared" si="4"/>
        <v>0</v>
      </c>
    </row>
    <row r="96" spans="1:11" x14ac:dyDescent="0.25">
      <c r="A96" s="1971"/>
      <c r="B96" s="19" t="s">
        <v>34</v>
      </c>
      <c r="C96" s="620"/>
      <c r="D96" s="823">
        <v>0</v>
      </c>
      <c r="E96" s="814">
        <v>0</v>
      </c>
      <c r="F96" s="824">
        <v>0</v>
      </c>
      <c r="G96" s="619">
        <f t="shared" si="5"/>
        <v>0</v>
      </c>
      <c r="H96" s="823">
        <v>0</v>
      </c>
      <c r="I96" s="814">
        <v>0</v>
      </c>
      <c r="J96" s="824">
        <v>0</v>
      </c>
      <c r="K96" s="619">
        <f t="shared" si="4"/>
        <v>0</v>
      </c>
    </row>
    <row r="97" spans="1:11" x14ac:dyDescent="0.25">
      <c r="A97" s="1971" t="s">
        <v>26</v>
      </c>
      <c r="B97" s="19" t="s">
        <v>32</v>
      </c>
      <c r="C97" s="620"/>
      <c r="D97" s="838">
        <v>0</v>
      </c>
      <c r="E97" s="821">
        <v>0</v>
      </c>
      <c r="F97" s="815">
        <v>0</v>
      </c>
      <c r="G97" s="619">
        <f t="shared" si="5"/>
        <v>0</v>
      </c>
      <c r="H97" s="838">
        <v>0</v>
      </c>
      <c r="I97" s="821">
        <v>0</v>
      </c>
      <c r="J97" s="815">
        <v>0</v>
      </c>
      <c r="K97" s="619">
        <f t="shared" si="4"/>
        <v>0</v>
      </c>
    </row>
    <row r="98" spans="1:11" x14ac:dyDescent="0.25">
      <c r="A98" s="1971"/>
      <c r="B98" s="19" t="s">
        <v>33</v>
      </c>
      <c r="C98" s="620"/>
      <c r="D98" s="838">
        <v>0</v>
      </c>
      <c r="E98" s="821">
        <v>0</v>
      </c>
      <c r="F98" s="815">
        <v>0</v>
      </c>
      <c r="G98" s="619">
        <f t="shared" si="5"/>
        <v>0</v>
      </c>
      <c r="H98" s="838">
        <v>0</v>
      </c>
      <c r="I98" s="821">
        <v>0</v>
      </c>
      <c r="J98" s="815">
        <v>0</v>
      </c>
      <c r="K98" s="619">
        <f t="shared" si="4"/>
        <v>0</v>
      </c>
    </row>
    <row r="99" spans="1:11" x14ac:dyDescent="0.25">
      <c r="A99" s="1971"/>
      <c r="B99" s="19" t="s">
        <v>34</v>
      </c>
      <c r="C99" s="620"/>
      <c r="D99" s="838">
        <v>0</v>
      </c>
      <c r="E99" s="821">
        <v>0</v>
      </c>
      <c r="F99" s="815">
        <v>0</v>
      </c>
      <c r="G99" s="619">
        <f t="shared" si="5"/>
        <v>0</v>
      </c>
      <c r="H99" s="838">
        <v>0</v>
      </c>
      <c r="I99" s="821">
        <v>0</v>
      </c>
      <c r="J99" s="815">
        <v>0</v>
      </c>
      <c r="K99" s="619">
        <f t="shared" si="4"/>
        <v>0</v>
      </c>
    </row>
    <row r="100" spans="1:11" x14ac:dyDescent="0.25">
      <c r="A100" s="1971" t="s">
        <v>27</v>
      </c>
      <c r="B100" s="19" t="s">
        <v>32</v>
      </c>
      <c r="C100" s="620"/>
      <c r="D100" s="838">
        <v>0</v>
      </c>
      <c r="E100" s="821">
        <v>0</v>
      </c>
      <c r="F100" s="815">
        <v>0</v>
      </c>
      <c r="G100" s="619">
        <f t="shared" si="5"/>
        <v>0</v>
      </c>
      <c r="H100" s="838">
        <v>0</v>
      </c>
      <c r="I100" s="821">
        <v>0</v>
      </c>
      <c r="J100" s="815">
        <v>0</v>
      </c>
      <c r="K100" s="619">
        <f t="shared" si="4"/>
        <v>0</v>
      </c>
    </row>
    <row r="101" spans="1:11" x14ac:dyDescent="0.25">
      <c r="A101" s="1971"/>
      <c r="B101" s="19" t="s">
        <v>33</v>
      </c>
      <c r="C101" s="620"/>
      <c r="D101" s="838">
        <v>0</v>
      </c>
      <c r="E101" s="821">
        <v>0</v>
      </c>
      <c r="F101" s="815">
        <v>0</v>
      </c>
      <c r="G101" s="619">
        <f t="shared" si="5"/>
        <v>0</v>
      </c>
      <c r="H101" s="838">
        <v>0</v>
      </c>
      <c r="I101" s="821">
        <v>0</v>
      </c>
      <c r="J101" s="815">
        <v>0</v>
      </c>
      <c r="K101" s="619">
        <f t="shared" si="4"/>
        <v>0</v>
      </c>
    </row>
    <row r="102" spans="1:11" x14ac:dyDescent="0.25">
      <c r="A102" s="1971"/>
      <c r="B102" s="19" t="s">
        <v>34</v>
      </c>
      <c r="C102" s="620"/>
      <c r="D102" s="838">
        <v>0</v>
      </c>
      <c r="E102" s="821">
        <v>0</v>
      </c>
      <c r="F102" s="815">
        <v>0</v>
      </c>
      <c r="G102" s="619">
        <f t="shared" si="5"/>
        <v>0</v>
      </c>
      <c r="H102" s="838">
        <v>0</v>
      </c>
      <c r="I102" s="821">
        <v>0</v>
      </c>
      <c r="J102" s="815">
        <v>0</v>
      </c>
      <c r="K102" s="619">
        <f t="shared" si="4"/>
        <v>0</v>
      </c>
    </row>
    <row r="103" spans="1:11" x14ac:dyDescent="0.25">
      <c r="A103" s="1912" t="s">
        <v>28</v>
      </c>
      <c r="B103" s="19" t="s">
        <v>32</v>
      </c>
      <c r="C103" s="620"/>
      <c r="D103" s="823">
        <v>0</v>
      </c>
      <c r="E103" s="821">
        <v>0</v>
      </c>
      <c r="F103" s="815">
        <v>0</v>
      </c>
      <c r="G103" s="619">
        <f t="shared" si="5"/>
        <v>0</v>
      </c>
      <c r="H103" s="823">
        <v>0</v>
      </c>
      <c r="I103" s="821">
        <v>0</v>
      </c>
      <c r="J103" s="815">
        <v>0</v>
      </c>
      <c r="K103" s="619">
        <f t="shared" si="4"/>
        <v>0</v>
      </c>
    </row>
    <row r="104" spans="1:11" x14ac:dyDescent="0.25">
      <c r="A104" s="1912"/>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73"/>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45:A47"/>
    <mergeCell ref="A48:A50"/>
    <mergeCell ref="A51:A53"/>
    <mergeCell ref="A54:A56"/>
    <mergeCell ref="A57:A59"/>
    <mergeCell ref="A60:A62"/>
    <mergeCell ref="A63:A65"/>
    <mergeCell ref="A66:A68"/>
    <mergeCell ref="A69:A71"/>
    <mergeCell ref="A72:A74"/>
    <mergeCell ref="A75:A77"/>
    <mergeCell ref="A42:A44"/>
    <mergeCell ref="A5:A7"/>
    <mergeCell ref="A8:A10"/>
    <mergeCell ref="A12:A14"/>
    <mergeCell ref="A16:A18"/>
    <mergeCell ref="A19:A21"/>
    <mergeCell ref="A22:A24"/>
    <mergeCell ref="A25:A27"/>
    <mergeCell ref="A28:A30"/>
    <mergeCell ref="A31:A33"/>
    <mergeCell ref="A34:A36"/>
    <mergeCell ref="A38:A40"/>
    <mergeCell ref="D1:G1"/>
    <mergeCell ref="H1:K1"/>
    <mergeCell ref="C2:C3"/>
    <mergeCell ref="G2:G3"/>
    <mergeCell ref="K2:K3"/>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22" t="str">
        <f>'Служебный АСУТП'!U2</f>
        <v>PT Platform 187</v>
      </c>
      <c r="E1" s="1923"/>
      <c r="F1" s="1923"/>
      <c r="G1" s="1924"/>
      <c r="H1" s="1922" t="str">
        <f>'Служебный АСУТП'!U3</f>
        <v>Platform GosSOPKA (KUMA)</v>
      </c>
      <c r="I1" s="1923"/>
      <c r="J1" s="1923"/>
      <c r="K1" s="1924"/>
    </row>
    <row r="2" spans="1:11" ht="15.75" x14ac:dyDescent="0.25">
      <c r="B2" s="41" t="s">
        <v>37</v>
      </c>
      <c r="C2" s="1932" t="s">
        <v>35</v>
      </c>
      <c r="D2" s="684" t="s">
        <v>586</v>
      </c>
      <c r="E2" s="645" t="s">
        <v>587</v>
      </c>
      <c r="F2" s="645" t="s">
        <v>588</v>
      </c>
      <c r="G2" s="1925" t="s">
        <v>38</v>
      </c>
      <c r="H2" s="684" t="s">
        <v>586</v>
      </c>
      <c r="I2" s="645" t="s">
        <v>587</v>
      </c>
      <c r="J2" s="645" t="s">
        <v>588</v>
      </c>
      <c r="K2" s="1925" t="s">
        <v>38</v>
      </c>
    </row>
    <row r="3" spans="1:11"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row>
    <row r="4" spans="1:11" ht="16.5" thickBot="1" x14ac:dyDescent="0.3">
      <c r="A4" s="326" t="s">
        <v>448</v>
      </c>
      <c r="B4" s="327"/>
      <c r="C4" s="327"/>
      <c r="D4" s="327"/>
      <c r="E4" s="327"/>
      <c r="F4" s="327"/>
      <c r="G4" s="327"/>
      <c r="H4" s="327"/>
      <c r="I4" s="327"/>
      <c r="J4" s="327"/>
      <c r="K4" s="396"/>
    </row>
    <row r="5" spans="1:11" x14ac:dyDescent="0.25">
      <c r="A5" s="1940"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40"/>
      <c r="B6" s="19" t="s">
        <v>33</v>
      </c>
      <c r="C6" s="22"/>
      <c r="D6" s="11">
        <v>8</v>
      </c>
      <c r="E6" s="11">
        <v>0.5</v>
      </c>
      <c r="F6" s="11">
        <v>0</v>
      </c>
      <c r="G6" s="21">
        <f xml:space="preserve"> SUM(D6:F6) + $C6</f>
        <v>8.5</v>
      </c>
      <c r="H6" s="615">
        <v>8</v>
      </c>
      <c r="I6" s="615">
        <v>0.5</v>
      </c>
      <c r="J6" s="615">
        <v>0</v>
      </c>
      <c r="K6" s="21">
        <f t="shared" si="0"/>
        <v>8.5</v>
      </c>
    </row>
    <row r="7" spans="1:11" x14ac:dyDescent="0.25">
      <c r="A7" s="1975"/>
      <c r="B7" s="19" t="s">
        <v>34</v>
      </c>
      <c r="C7" s="22"/>
      <c r="D7" s="11">
        <v>12</v>
      </c>
      <c r="E7" s="11">
        <v>0.5</v>
      </c>
      <c r="F7" s="11">
        <v>0</v>
      </c>
      <c r="G7" s="21">
        <f xml:space="preserve"> SUM(D7:F7) + $C7</f>
        <v>12.5</v>
      </c>
      <c r="H7" s="615">
        <v>12</v>
      </c>
      <c r="I7" s="615">
        <v>0.5</v>
      </c>
      <c r="J7" s="615">
        <v>0</v>
      </c>
      <c r="K7" s="21">
        <f t="shared" si="0"/>
        <v>12.5</v>
      </c>
    </row>
    <row r="8" spans="1:11" x14ac:dyDescent="0.25">
      <c r="A8" s="1940" t="s">
        <v>449</v>
      </c>
      <c r="B8" s="404" t="s">
        <v>32</v>
      </c>
      <c r="C8" s="324"/>
      <c r="D8" s="661">
        <v>4</v>
      </c>
      <c r="E8" s="11">
        <v>0.5</v>
      </c>
      <c r="F8" s="11">
        <v>0</v>
      </c>
      <c r="G8" s="21">
        <f xml:space="preserve"> SUM(D8:F8) + $C8</f>
        <v>4.5</v>
      </c>
      <c r="H8" s="661">
        <v>4</v>
      </c>
      <c r="I8" s="615">
        <v>0.5</v>
      </c>
      <c r="J8" s="615">
        <v>0</v>
      </c>
      <c r="K8" s="21">
        <f t="shared" si="0"/>
        <v>4.5</v>
      </c>
    </row>
    <row r="9" spans="1:11" x14ac:dyDescent="0.25">
      <c r="A9" s="1940"/>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40"/>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40"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40"/>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40"/>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36"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72"/>
      <c r="B17" s="18" t="s">
        <v>33</v>
      </c>
      <c r="C17" s="22"/>
      <c r="D17" s="38">
        <v>0.25</v>
      </c>
      <c r="E17" s="15">
        <v>0</v>
      </c>
      <c r="F17" s="33">
        <v>0</v>
      </c>
      <c r="G17" s="21">
        <f t="shared" si="1"/>
        <v>0.25</v>
      </c>
      <c r="H17" s="625">
        <v>0.25</v>
      </c>
      <c r="I17" s="616">
        <v>0</v>
      </c>
      <c r="J17" s="623">
        <v>0</v>
      </c>
      <c r="K17" s="21">
        <f t="shared" si="2"/>
        <v>0.25</v>
      </c>
    </row>
    <row r="18" spans="1:11" x14ac:dyDescent="0.25">
      <c r="A18" s="1972"/>
      <c r="B18" s="18" t="s">
        <v>34</v>
      </c>
      <c r="C18" s="22"/>
      <c r="D18" s="38">
        <v>0.25</v>
      </c>
      <c r="E18" s="15">
        <v>0</v>
      </c>
      <c r="F18" s="33">
        <v>0</v>
      </c>
      <c r="G18" s="21">
        <f t="shared" si="1"/>
        <v>0.25</v>
      </c>
      <c r="H18" s="625">
        <v>0.25</v>
      </c>
      <c r="I18" s="616">
        <v>0</v>
      </c>
      <c r="J18" s="623">
        <v>0</v>
      </c>
      <c r="K18" s="21">
        <f t="shared" si="2"/>
        <v>0.25</v>
      </c>
    </row>
    <row r="19" spans="1:11" x14ac:dyDescent="0.25">
      <c r="A19" s="1972" t="s">
        <v>5</v>
      </c>
      <c r="B19" s="19" t="s">
        <v>32</v>
      </c>
      <c r="C19" s="22"/>
      <c r="D19" s="38">
        <v>2</v>
      </c>
      <c r="E19" s="15">
        <v>0</v>
      </c>
      <c r="F19" s="33">
        <v>0</v>
      </c>
      <c r="G19" s="21">
        <f t="shared" si="1"/>
        <v>2</v>
      </c>
      <c r="H19" s="625">
        <v>2</v>
      </c>
      <c r="I19" s="15">
        <v>0</v>
      </c>
      <c r="J19" s="33">
        <v>0</v>
      </c>
      <c r="K19" s="21">
        <f t="shared" si="2"/>
        <v>2</v>
      </c>
    </row>
    <row r="20" spans="1:11" x14ac:dyDescent="0.25">
      <c r="A20" s="1972"/>
      <c r="B20" s="19" t="s">
        <v>33</v>
      </c>
      <c r="C20" s="22"/>
      <c r="D20" s="38">
        <v>4</v>
      </c>
      <c r="E20" s="15">
        <v>0</v>
      </c>
      <c r="F20" s="33">
        <v>0</v>
      </c>
      <c r="G20" s="21">
        <f t="shared" si="1"/>
        <v>4</v>
      </c>
      <c r="H20" s="625">
        <v>4</v>
      </c>
      <c r="I20" s="15">
        <v>0</v>
      </c>
      <c r="J20" s="33">
        <v>0</v>
      </c>
      <c r="K20" s="21">
        <f t="shared" si="2"/>
        <v>4</v>
      </c>
    </row>
    <row r="21" spans="1:11" x14ac:dyDescent="0.25">
      <c r="A21" s="1972"/>
      <c r="B21" s="19" t="s">
        <v>34</v>
      </c>
      <c r="C21" s="22"/>
      <c r="D21" s="38">
        <v>6</v>
      </c>
      <c r="E21" s="15">
        <v>0</v>
      </c>
      <c r="F21" s="33">
        <v>0</v>
      </c>
      <c r="G21" s="21">
        <f t="shared" si="1"/>
        <v>6</v>
      </c>
      <c r="H21" s="625">
        <v>6</v>
      </c>
      <c r="I21" s="15">
        <v>0</v>
      </c>
      <c r="J21" s="33">
        <v>0</v>
      </c>
      <c r="K21" s="21">
        <f t="shared" si="2"/>
        <v>6</v>
      </c>
    </row>
    <row r="22" spans="1:11" x14ac:dyDescent="0.25">
      <c r="A22" s="1972" t="s">
        <v>6</v>
      </c>
      <c r="B22" s="19" t="s">
        <v>32</v>
      </c>
      <c r="C22" s="22"/>
      <c r="D22" s="11">
        <v>24</v>
      </c>
      <c r="E22" s="123">
        <f>2*E$3</f>
        <v>0</v>
      </c>
      <c r="F22" s="11">
        <v>0</v>
      </c>
      <c r="G22" s="21">
        <f t="shared" si="1"/>
        <v>24</v>
      </c>
      <c r="H22" s="615">
        <v>24</v>
      </c>
      <c r="I22" s="630">
        <f>2*I$3</f>
        <v>0</v>
      </c>
      <c r="J22" s="615">
        <v>0</v>
      </c>
      <c r="K22" s="21">
        <f t="shared" si="2"/>
        <v>24</v>
      </c>
    </row>
    <row r="23" spans="1:11" x14ac:dyDescent="0.25">
      <c r="A23" s="1972"/>
      <c r="B23" s="19" t="s">
        <v>33</v>
      </c>
      <c r="C23" s="22"/>
      <c r="D23" s="11">
        <v>32</v>
      </c>
      <c r="E23" s="123">
        <f>2*E$3</f>
        <v>0</v>
      </c>
      <c r="F23" s="11">
        <v>0</v>
      </c>
      <c r="G23" s="21">
        <f t="shared" si="1"/>
        <v>32</v>
      </c>
      <c r="H23" s="615">
        <v>32</v>
      </c>
      <c r="I23" s="630">
        <f>2*I$3</f>
        <v>0</v>
      </c>
      <c r="J23" s="615">
        <v>0</v>
      </c>
      <c r="K23" s="21">
        <f t="shared" si="2"/>
        <v>32</v>
      </c>
    </row>
    <row r="24" spans="1:11" x14ac:dyDescent="0.25">
      <c r="A24" s="1972"/>
      <c r="B24" s="19" t="s">
        <v>34</v>
      </c>
      <c r="C24" s="22"/>
      <c r="D24" s="11">
        <v>40</v>
      </c>
      <c r="E24" s="123">
        <f>2*E$3</f>
        <v>0</v>
      </c>
      <c r="F24" s="11">
        <v>0</v>
      </c>
      <c r="G24" s="21">
        <f t="shared" si="1"/>
        <v>40</v>
      </c>
      <c r="H24" s="615">
        <v>40</v>
      </c>
      <c r="I24" s="630">
        <f>2*I$3</f>
        <v>0</v>
      </c>
      <c r="J24" s="615">
        <v>0</v>
      </c>
      <c r="K24" s="21">
        <f t="shared" si="2"/>
        <v>40</v>
      </c>
    </row>
    <row r="25" spans="1:11" x14ac:dyDescent="0.25">
      <c r="A25" s="1972" t="s">
        <v>7</v>
      </c>
      <c r="B25" s="19" t="s">
        <v>32</v>
      </c>
      <c r="C25" s="22"/>
      <c r="D25" s="38">
        <v>4</v>
      </c>
      <c r="E25" s="15">
        <v>0</v>
      </c>
      <c r="F25" s="33">
        <v>0</v>
      </c>
      <c r="G25" s="21">
        <f t="shared" si="1"/>
        <v>4</v>
      </c>
      <c r="H25" s="38">
        <v>4</v>
      </c>
      <c r="I25" s="15">
        <v>0</v>
      </c>
      <c r="J25" s="33">
        <v>0</v>
      </c>
      <c r="K25" s="21">
        <f t="shared" si="2"/>
        <v>4</v>
      </c>
    </row>
    <row r="26" spans="1:11" x14ac:dyDescent="0.25">
      <c r="A26" s="1972"/>
      <c r="B26" s="19" t="s">
        <v>33</v>
      </c>
      <c r="C26" s="22"/>
      <c r="D26" s="38">
        <v>6</v>
      </c>
      <c r="E26" s="15">
        <v>0</v>
      </c>
      <c r="F26" s="33">
        <v>0</v>
      </c>
      <c r="G26" s="21">
        <f t="shared" si="1"/>
        <v>6</v>
      </c>
      <c r="H26" s="38">
        <v>6</v>
      </c>
      <c r="I26" s="15">
        <v>0</v>
      </c>
      <c r="J26" s="33">
        <v>0</v>
      </c>
      <c r="K26" s="21">
        <f t="shared" si="2"/>
        <v>6</v>
      </c>
    </row>
    <row r="27" spans="1:11" x14ac:dyDescent="0.25">
      <c r="A27" s="1972"/>
      <c r="B27" s="19" t="s">
        <v>34</v>
      </c>
      <c r="C27" s="22"/>
      <c r="D27" s="38">
        <v>8</v>
      </c>
      <c r="E27" s="15">
        <v>0</v>
      </c>
      <c r="F27" s="33">
        <v>0</v>
      </c>
      <c r="G27" s="21">
        <f t="shared" si="1"/>
        <v>8</v>
      </c>
      <c r="H27" s="38">
        <v>8</v>
      </c>
      <c r="I27" s="15">
        <v>0</v>
      </c>
      <c r="J27" s="33">
        <v>0</v>
      </c>
      <c r="K27" s="21">
        <f t="shared" si="2"/>
        <v>8</v>
      </c>
    </row>
    <row r="28" spans="1:11" x14ac:dyDescent="0.25">
      <c r="A28" s="1972" t="s">
        <v>8</v>
      </c>
      <c r="B28" s="19" t="s">
        <v>32</v>
      </c>
      <c r="C28" s="22"/>
      <c r="D28" s="38">
        <v>3</v>
      </c>
      <c r="E28" s="15">
        <v>0</v>
      </c>
      <c r="F28" s="33">
        <v>0</v>
      </c>
      <c r="G28" s="21">
        <f t="shared" si="1"/>
        <v>3</v>
      </c>
      <c r="H28" s="38">
        <v>3</v>
      </c>
      <c r="I28" s="15">
        <v>0</v>
      </c>
      <c r="J28" s="33">
        <v>0</v>
      </c>
      <c r="K28" s="21">
        <f t="shared" si="2"/>
        <v>3</v>
      </c>
    </row>
    <row r="29" spans="1:11" x14ac:dyDescent="0.25">
      <c r="A29" s="1972"/>
      <c r="B29" s="19" t="s">
        <v>33</v>
      </c>
      <c r="C29" s="22"/>
      <c r="D29" s="38">
        <v>4</v>
      </c>
      <c r="E29" s="15">
        <v>0</v>
      </c>
      <c r="F29" s="33">
        <v>0</v>
      </c>
      <c r="G29" s="21">
        <f t="shared" si="1"/>
        <v>4</v>
      </c>
      <c r="H29" s="38">
        <v>4</v>
      </c>
      <c r="I29" s="15">
        <v>0</v>
      </c>
      <c r="J29" s="33">
        <v>0</v>
      </c>
      <c r="K29" s="21">
        <f t="shared" si="2"/>
        <v>4</v>
      </c>
    </row>
    <row r="30" spans="1:11" x14ac:dyDescent="0.25">
      <c r="A30" s="1972"/>
      <c r="B30" s="19" t="s">
        <v>34</v>
      </c>
      <c r="C30" s="22"/>
      <c r="D30" s="38">
        <v>6</v>
      </c>
      <c r="E30" s="15">
        <v>0</v>
      </c>
      <c r="F30" s="33">
        <v>0</v>
      </c>
      <c r="G30" s="21">
        <f t="shared" si="1"/>
        <v>6</v>
      </c>
      <c r="H30" s="38">
        <v>6</v>
      </c>
      <c r="I30" s="15">
        <v>0</v>
      </c>
      <c r="J30" s="33">
        <v>0</v>
      </c>
      <c r="K30" s="21">
        <f t="shared" si="2"/>
        <v>6</v>
      </c>
    </row>
    <row r="31" spans="1:11" x14ac:dyDescent="0.25">
      <c r="A31" s="1972" t="s">
        <v>9</v>
      </c>
      <c r="B31" s="19" t="s">
        <v>32</v>
      </c>
      <c r="C31" s="22"/>
      <c r="D31" s="124">
        <f>2+(0.5*D$3)</f>
        <v>2</v>
      </c>
      <c r="E31" s="15">
        <v>0</v>
      </c>
      <c r="F31" s="15">
        <v>0</v>
      </c>
      <c r="G31" s="21">
        <f t="shared" si="1"/>
        <v>2</v>
      </c>
      <c r="H31" s="631">
        <f>2+(0.5*H$3)</f>
        <v>2</v>
      </c>
      <c r="I31" s="616">
        <v>0</v>
      </c>
      <c r="J31" s="616">
        <v>0</v>
      </c>
      <c r="K31" s="21">
        <f t="shared" si="2"/>
        <v>2</v>
      </c>
    </row>
    <row r="32" spans="1:11" x14ac:dyDescent="0.25">
      <c r="A32" s="1972"/>
      <c r="B32" s="19" t="s">
        <v>33</v>
      </c>
      <c r="C32" s="22"/>
      <c r="D32" s="124">
        <f>4+(0.5*D$3)</f>
        <v>4</v>
      </c>
      <c r="E32" s="15">
        <v>0</v>
      </c>
      <c r="F32" s="15">
        <v>0</v>
      </c>
      <c r="G32" s="21">
        <f t="shared" si="1"/>
        <v>4</v>
      </c>
      <c r="H32" s="631">
        <f>4+(0.5*H$3)</f>
        <v>4</v>
      </c>
      <c r="I32" s="616">
        <v>0</v>
      </c>
      <c r="J32" s="616">
        <v>0</v>
      </c>
      <c r="K32" s="21">
        <f t="shared" si="2"/>
        <v>4</v>
      </c>
    </row>
    <row r="33" spans="1:11" x14ac:dyDescent="0.25">
      <c r="A33" s="1972"/>
      <c r="B33" s="19" t="s">
        <v>34</v>
      </c>
      <c r="C33" s="22"/>
      <c r="D33" s="124">
        <f>6+(0.5*D$3)</f>
        <v>6</v>
      </c>
      <c r="E33" s="15">
        <v>0</v>
      </c>
      <c r="F33" s="15">
        <v>0</v>
      </c>
      <c r="G33" s="21">
        <f t="shared" si="1"/>
        <v>6</v>
      </c>
      <c r="H33" s="631">
        <f>6+(0.5*H$3)</f>
        <v>6</v>
      </c>
      <c r="I33" s="616">
        <v>0</v>
      </c>
      <c r="J33" s="616">
        <v>0</v>
      </c>
      <c r="K33" s="21">
        <f t="shared" si="2"/>
        <v>6</v>
      </c>
    </row>
    <row r="34" spans="1:11" x14ac:dyDescent="0.25">
      <c r="A34" s="1972" t="s">
        <v>10</v>
      </c>
      <c r="B34" s="19" t="s">
        <v>32</v>
      </c>
      <c r="C34" s="22"/>
      <c r="D34" s="38">
        <v>2</v>
      </c>
      <c r="E34" s="15">
        <v>0</v>
      </c>
      <c r="F34" s="15">
        <v>0</v>
      </c>
      <c r="G34" s="21">
        <f t="shared" si="1"/>
        <v>2</v>
      </c>
      <c r="H34" s="625">
        <v>2</v>
      </c>
      <c r="I34" s="616">
        <v>0</v>
      </c>
      <c r="J34" s="616">
        <v>0</v>
      </c>
      <c r="K34" s="21">
        <f t="shared" si="2"/>
        <v>2</v>
      </c>
    </row>
    <row r="35" spans="1:11" x14ac:dyDescent="0.25">
      <c r="A35" s="1972"/>
      <c r="B35" s="19" t="s">
        <v>33</v>
      </c>
      <c r="C35" s="22"/>
      <c r="D35" s="38">
        <v>4</v>
      </c>
      <c r="E35" s="15">
        <v>0</v>
      </c>
      <c r="F35" s="15">
        <v>0</v>
      </c>
      <c r="G35" s="21">
        <f t="shared" si="1"/>
        <v>4</v>
      </c>
      <c r="H35" s="625">
        <v>4</v>
      </c>
      <c r="I35" s="616">
        <v>0</v>
      </c>
      <c r="J35" s="616">
        <v>0</v>
      </c>
      <c r="K35" s="21">
        <f t="shared" si="2"/>
        <v>4</v>
      </c>
    </row>
    <row r="36" spans="1:11" ht="15.75" thickBot="1" x14ac:dyDescent="0.3">
      <c r="A36" s="1939"/>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0"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40"/>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40"/>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40"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40"/>
      <c r="B43" s="19" t="s">
        <v>33</v>
      </c>
      <c r="C43" s="22"/>
      <c r="D43" s="625">
        <v>4</v>
      </c>
      <c r="E43" s="616">
        <v>0</v>
      </c>
      <c r="F43" s="623">
        <v>0</v>
      </c>
      <c r="G43" s="21">
        <f t="shared" si="1"/>
        <v>4</v>
      </c>
      <c r="H43" s="625">
        <v>2</v>
      </c>
      <c r="I43" s="616">
        <v>0</v>
      </c>
      <c r="J43" s="623">
        <v>0</v>
      </c>
      <c r="K43" s="21">
        <f t="shared" si="3"/>
        <v>2</v>
      </c>
    </row>
    <row r="44" spans="1:11" x14ac:dyDescent="0.25">
      <c r="A44" s="1940"/>
      <c r="B44" s="19" t="s">
        <v>34</v>
      </c>
      <c r="C44" s="22"/>
      <c r="D44" s="625">
        <v>6</v>
      </c>
      <c r="E44" s="616">
        <v>0</v>
      </c>
      <c r="F44" s="623">
        <v>0</v>
      </c>
      <c r="G44" s="21">
        <f t="shared" si="1"/>
        <v>6</v>
      </c>
      <c r="H44" s="625">
        <v>3</v>
      </c>
      <c r="I44" s="616">
        <v>0</v>
      </c>
      <c r="J44" s="623">
        <v>0</v>
      </c>
      <c r="K44" s="21">
        <f t="shared" si="3"/>
        <v>3</v>
      </c>
    </row>
    <row r="45" spans="1:11" x14ac:dyDescent="0.25">
      <c r="A45" s="1971" t="s">
        <v>15</v>
      </c>
      <c r="B45" s="19" t="s">
        <v>32</v>
      </c>
      <c r="C45" s="22"/>
      <c r="D45" s="625">
        <v>16</v>
      </c>
      <c r="E45" s="15">
        <v>0</v>
      </c>
      <c r="F45" s="15">
        <v>0</v>
      </c>
      <c r="G45" s="21">
        <f t="shared" si="1"/>
        <v>16</v>
      </c>
      <c r="H45" s="625">
        <v>16</v>
      </c>
      <c r="I45" s="616">
        <v>0</v>
      </c>
      <c r="J45" s="616">
        <v>0</v>
      </c>
      <c r="K45" s="21">
        <f t="shared" si="3"/>
        <v>16</v>
      </c>
    </row>
    <row r="46" spans="1:11" x14ac:dyDescent="0.25">
      <c r="A46" s="1971"/>
      <c r="B46" s="19" t="s">
        <v>33</v>
      </c>
      <c r="C46" s="22"/>
      <c r="D46" s="625">
        <v>28</v>
      </c>
      <c r="E46" s="15">
        <v>0</v>
      </c>
      <c r="F46" s="15">
        <v>0</v>
      </c>
      <c r="G46" s="21">
        <f t="shared" si="1"/>
        <v>28</v>
      </c>
      <c r="H46" s="625">
        <v>28</v>
      </c>
      <c r="I46" s="616">
        <v>0</v>
      </c>
      <c r="J46" s="616">
        <v>0</v>
      </c>
      <c r="K46" s="21">
        <f t="shared" si="3"/>
        <v>28</v>
      </c>
    </row>
    <row r="47" spans="1:11" x14ac:dyDescent="0.25">
      <c r="A47" s="1971"/>
      <c r="B47" s="19" t="s">
        <v>34</v>
      </c>
      <c r="C47" s="22"/>
      <c r="D47" s="625">
        <v>36</v>
      </c>
      <c r="E47" s="15">
        <v>0</v>
      </c>
      <c r="F47" s="15">
        <v>0</v>
      </c>
      <c r="G47" s="21">
        <f t="shared" si="1"/>
        <v>36</v>
      </c>
      <c r="H47" s="625">
        <v>36</v>
      </c>
      <c r="I47" s="616">
        <v>0</v>
      </c>
      <c r="J47" s="616">
        <v>0</v>
      </c>
      <c r="K47" s="21">
        <f t="shared" si="3"/>
        <v>36</v>
      </c>
    </row>
    <row r="48" spans="1:11" x14ac:dyDescent="0.25">
      <c r="A48" s="1971"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71"/>
      <c r="B49" s="19" t="s">
        <v>33</v>
      </c>
      <c r="C49" s="22"/>
      <c r="D49" s="124">
        <f>1*D$3+(0.5*E$3)</f>
        <v>0</v>
      </c>
      <c r="E49" s="15">
        <v>0</v>
      </c>
      <c r="F49" s="33">
        <v>0</v>
      </c>
      <c r="G49" s="21">
        <f t="shared" si="1"/>
        <v>0</v>
      </c>
      <c r="H49" s="631">
        <f>1*H$3+(0.5*I$3)</f>
        <v>0</v>
      </c>
      <c r="I49" s="616">
        <v>0</v>
      </c>
      <c r="J49" s="623">
        <v>0</v>
      </c>
      <c r="K49" s="21">
        <f t="shared" si="3"/>
        <v>0</v>
      </c>
    </row>
    <row r="50" spans="1:11" x14ac:dyDescent="0.25">
      <c r="A50" s="1971"/>
      <c r="B50" s="19" t="s">
        <v>34</v>
      </c>
      <c r="C50" s="22"/>
      <c r="D50" s="124">
        <f>2*D$3+(0.5*E$3)</f>
        <v>0</v>
      </c>
      <c r="E50" s="15">
        <v>0</v>
      </c>
      <c r="F50" s="33">
        <v>0</v>
      </c>
      <c r="G50" s="21">
        <f t="shared" si="1"/>
        <v>0</v>
      </c>
      <c r="H50" s="631">
        <f>2*H$3+(0.5*I$3)</f>
        <v>0</v>
      </c>
      <c r="I50" s="616">
        <v>0</v>
      </c>
      <c r="J50" s="623">
        <v>0</v>
      </c>
      <c r="K50" s="21">
        <f t="shared" si="3"/>
        <v>0</v>
      </c>
    </row>
    <row r="51" spans="1:11" x14ac:dyDescent="0.25">
      <c r="A51" s="1971"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71"/>
      <c r="B52" s="19" t="s">
        <v>33</v>
      </c>
      <c r="C52" s="22"/>
      <c r="D52" s="124">
        <f>1*D$3+(0.5*E$3)</f>
        <v>0</v>
      </c>
      <c r="E52" s="15">
        <v>0</v>
      </c>
      <c r="F52" s="15">
        <v>0</v>
      </c>
      <c r="G52" s="21">
        <f t="shared" si="1"/>
        <v>0</v>
      </c>
      <c r="H52" s="631">
        <f>1*H$3+(0.5*I$3)</f>
        <v>0</v>
      </c>
      <c r="I52" s="616">
        <v>0</v>
      </c>
      <c r="J52" s="616">
        <v>0</v>
      </c>
      <c r="K52" s="21">
        <f t="shared" si="3"/>
        <v>0</v>
      </c>
    </row>
    <row r="53" spans="1:11" x14ac:dyDescent="0.25">
      <c r="A53" s="1971"/>
      <c r="B53" s="19" t="s">
        <v>34</v>
      </c>
      <c r="C53" s="22"/>
      <c r="D53" s="124">
        <f>2*D$3+(0.5*E$3)</f>
        <v>0</v>
      </c>
      <c r="E53" s="15">
        <v>0</v>
      </c>
      <c r="F53" s="15">
        <v>0</v>
      </c>
      <c r="G53" s="21">
        <f t="shared" si="1"/>
        <v>0</v>
      </c>
      <c r="H53" s="631">
        <f>2*H$3+(0.5*I$3)</f>
        <v>0</v>
      </c>
      <c r="I53" s="616">
        <v>0</v>
      </c>
      <c r="J53" s="616">
        <v>0</v>
      </c>
      <c r="K53" s="21">
        <f t="shared" si="3"/>
        <v>0</v>
      </c>
    </row>
    <row r="54" spans="1:11" x14ac:dyDescent="0.25">
      <c r="A54" s="1971" t="s">
        <v>18</v>
      </c>
      <c r="B54" s="19" t="s">
        <v>32</v>
      </c>
      <c r="C54" s="22"/>
      <c r="D54" s="124">
        <f>1*D$3</f>
        <v>0</v>
      </c>
      <c r="E54" s="15">
        <v>0</v>
      </c>
      <c r="F54" s="15">
        <v>0</v>
      </c>
      <c r="G54" s="21">
        <f t="shared" si="1"/>
        <v>0</v>
      </c>
      <c r="H54" s="631">
        <f>1*H$3</f>
        <v>0</v>
      </c>
      <c r="I54" s="616">
        <v>0</v>
      </c>
      <c r="J54" s="616">
        <v>0</v>
      </c>
      <c r="K54" s="21">
        <f t="shared" si="3"/>
        <v>0</v>
      </c>
    </row>
    <row r="55" spans="1:11" x14ac:dyDescent="0.25">
      <c r="A55" s="1971"/>
      <c r="B55" s="19" t="s">
        <v>33</v>
      </c>
      <c r="C55" s="22"/>
      <c r="D55" s="124">
        <f>1*$D$3</f>
        <v>0</v>
      </c>
      <c r="E55" s="15">
        <v>0</v>
      </c>
      <c r="F55" s="15">
        <v>0</v>
      </c>
      <c r="G55" s="21">
        <f t="shared" si="1"/>
        <v>0</v>
      </c>
      <c r="H55" s="631">
        <f>1*$D$3</f>
        <v>0</v>
      </c>
      <c r="I55" s="616">
        <v>0</v>
      </c>
      <c r="J55" s="616">
        <v>0</v>
      </c>
      <c r="K55" s="21">
        <f t="shared" si="3"/>
        <v>0</v>
      </c>
    </row>
    <row r="56" spans="1:11" x14ac:dyDescent="0.25">
      <c r="A56" s="1971"/>
      <c r="B56" s="19" t="s">
        <v>34</v>
      </c>
      <c r="C56" s="22"/>
      <c r="D56" s="124">
        <f>1*D$3</f>
        <v>0</v>
      </c>
      <c r="E56" s="15">
        <v>0</v>
      </c>
      <c r="F56" s="15">
        <v>0</v>
      </c>
      <c r="G56" s="21">
        <f t="shared" si="1"/>
        <v>0</v>
      </c>
      <c r="H56" s="631">
        <f>1*H$3</f>
        <v>0</v>
      </c>
      <c r="I56" s="616">
        <v>0</v>
      </c>
      <c r="J56" s="616">
        <v>0</v>
      </c>
      <c r="K56" s="21">
        <f t="shared" si="3"/>
        <v>0</v>
      </c>
    </row>
    <row r="57" spans="1:11" x14ac:dyDescent="0.25">
      <c r="A57" s="1971" t="s">
        <v>19</v>
      </c>
      <c r="B57" s="19" t="s">
        <v>32</v>
      </c>
      <c r="C57" s="22"/>
      <c r="D57" s="38">
        <v>2</v>
      </c>
      <c r="E57" s="15">
        <v>0</v>
      </c>
      <c r="F57" s="15">
        <v>0</v>
      </c>
      <c r="G57" s="21">
        <f t="shared" si="1"/>
        <v>2</v>
      </c>
      <c r="H57" s="38">
        <v>2</v>
      </c>
      <c r="I57" s="15">
        <v>0</v>
      </c>
      <c r="J57" s="15">
        <v>0</v>
      </c>
      <c r="K57" s="21">
        <f t="shared" si="3"/>
        <v>2</v>
      </c>
    </row>
    <row r="58" spans="1:11" x14ac:dyDescent="0.25">
      <c r="A58" s="1971"/>
      <c r="B58" s="19" t="s">
        <v>33</v>
      </c>
      <c r="C58" s="22"/>
      <c r="D58" s="38">
        <v>4</v>
      </c>
      <c r="E58" s="15">
        <v>0</v>
      </c>
      <c r="F58" s="15">
        <v>0</v>
      </c>
      <c r="G58" s="21">
        <f t="shared" si="1"/>
        <v>4</v>
      </c>
      <c r="H58" s="38">
        <v>4</v>
      </c>
      <c r="I58" s="15">
        <v>0</v>
      </c>
      <c r="J58" s="15">
        <v>0</v>
      </c>
      <c r="K58" s="21">
        <f t="shared" si="3"/>
        <v>4</v>
      </c>
    </row>
    <row r="59" spans="1:11" x14ac:dyDescent="0.25">
      <c r="A59" s="1971"/>
      <c r="B59" s="19" t="s">
        <v>34</v>
      </c>
      <c r="C59" s="22"/>
      <c r="D59" s="38">
        <v>6</v>
      </c>
      <c r="E59" s="15">
        <v>0</v>
      </c>
      <c r="F59" s="15">
        <v>0</v>
      </c>
      <c r="G59" s="21">
        <f t="shared" si="1"/>
        <v>6</v>
      </c>
      <c r="H59" s="38">
        <v>6</v>
      </c>
      <c r="I59" s="15">
        <v>0</v>
      </c>
      <c r="J59" s="15">
        <v>0</v>
      </c>
      <c r="K59" s="21">
        <f t="shared" si="3"/>
        <v>6</v>
      </c>
    </row>
    <row r="60" spans="1:11" x14ac:dyDescent="0.25">
      <c r="A60" s="1971" t="s">
        <v>20</v>
      </c>
      <c r="B60" s="19" t="s">
        <v>32</v>
      </c>
      <c r="C60" s="22"/>
      <c r="D60" s="38">
        <v>8</v>
      </c>
      <c r="E60" s="123">
        <f>1*E$3</f>
        <v>0</v>
      </c>
      <c r="F60" s="33">
        <v>0</v>
      </c>
      <c r="G60" s="21">
        <f t="shared" si="1"/>
        <v>8</v>
      </c>
      <c r="H60" s="625">
        <v>8</v>
      </c>
      <c r="I60" s="630">
        <f>1*I$3</f>
        <v>0</v>
      </c>
      <c r="J60" s="623">
        <v>0</v>
      </c>
      <c r="K60" s="21">
        <f t="shared" si="3"/>
        <v>8</v>
      </c>
    </row>
    <row r="61" spans="1:11" x14ac:dyDescent="0.25">
      <c r="A61" s="1971"/>
      <c r="B61" s="19" t="s">
        <v>33</v>
      </c>
      <c r="C61" s="22"/>
      <c r="D61" s="38">
        <v>16</v>
      </c>
      <c r="E61" s="123">
        <f>1*E$3</f>
        <v>0</v>
      </c>
      <c r="F61" s="33">
        <v>0</v>
      </c>
      <c r="G61" s="21">
        <f t="shared" si="1"/>
        <v>16</v>
      </c>
      <c r="H61" s="625">
        <v>16</v>
      </c>
      <c r="I61" s="630">
        <f>1*I$3</f>
        <v>0</v>
      </c>
      <c r="J61" s="623">
        <v>0</v>
      </c>
      <c r="K61" s="21">
        <f t="shared" si="3"/>
        <v>16</v>
      </c>
    </row>
    <row r="62" spans="1:11" x14ac:dyDescent="0.25">
      <c r="A62" s="1971"/>
      <c r="B62" s="19" t="s">
        <v>34</v>
      </c>
      <c r="C62" s="22"/>
      <c r="D62" s="38">
        <v>32</v>
      </c>
      <c r="E62" s="123">
        <f>1*E$3</f>
        <v>0</v>
      </c>
      <c r="F62" s="33">
        <v>0</v>
      </c>
      <c r="G62" s="21">
        <f t="shared" si="1"/>
        <v>32</v>
      </c>
      <c r="H62" s="625">
        <v>32</v>
      </c>
      <c r="I62" s="630">
        <f>1*I$3</f>
        <v>0</v>
      </c>
      <c r="J62" s="623">
        <v>0</v>
      </c>
      <c r="K62" s="21">
        <f t="shared" si="3"/>
        <v>32</v>
      </c>
    </row>
    <row r="63" spans="1:11" x14ac:dyDescent="0.25">
      <c r="A63" s="1971" t="s">
        <v>451</v>
      </c>
      <c r="B63" s="19" t="s">
        <v>32</v>
      </c>
      <c r="C63" s="22"/>
      <c r="D63" s="482">
        <v>0.25</v>
      </c>
      <c r="E63" s="691">
        <v>0</v>
      </c>
      <c r="F63" s="495">
        <v>0</v>
      </c>
      <c r="G63" s="21">
        <f t="shared" si="1"/>
        <v>0.25</v>
      </c>
      <c r="H63" s="482">
        <v>0.25</v>
      </c>
      <c r="I63" s="691">
        <v>0</v>
      </c>
      <c r="J63" s="495">
        <v>0</v>
      </c>
      <c r="K63" s="21">
        <f t="shared" si="3"/>
        <v>0.25</v>
      </c>
    </row>
    <row r="64" spans="1:11" x14ac:dyDescent="0.25">
      <c r="A64" s="1971"/>
      <c r="B64" s="19" t="s">
        <v>33</v>
      </c>
      <c r="C64" s="22"/>
      <c r="D64" s="625">
        <v>0.5</v>
      </c>
      <c r="E64" s="691">
        <v>0</v>
      </c>
      <c r="F64" s="495">
        <v>0</v>
      </c>
      <c r="G64" s="21">
        <f t="shared" si="1"/>
        <v>0.5</v>
      </c>
      <c r="H64" s="625">
        <v>0.5</v>
      </c>
      <c r="I64" s="691">
        <v>0</v>
      </c>
      <c r="J64" s="495">
        <v>0</v>
      </c>
      <c r="K64" s="21">
        <f t="shared" si="3"/>
        <v>0.5</v>
      </c>
    </row>
    <row r="65" spans="1:11" x14ac:dyDescent="0.25">
      <c r="A65" s="1971"/>
      <c r="B65" s="19" t="s">
        <v>34</v>
      </c>
      <c r="C65" s="22"/>
      <c r="D65" s="625">
        <v>1</v>
      </c>
      <c r="E65" s="691">
        <v>0</v>
      </c>
      <c r="F65" s="495">
        <v>0</v>
      </c>
      <c r="G65" s="21">
        <f t="shared" si="1"/>
        <v>1</v>
      </c>
      <c r="H65" s="625">
        <v>1</v>
      </c>
      <c r="I65" s="691">
        <v>0</v>
      </c>
      <c r="J65" s="495">
        <v>0</v>
      </c>
      <c r="K65" s="21">
        <f t="shared" si="3"/>
        <v>1</v>
      </c>
    </row>
    <row r="66" spans="1:11" x14ac:dyDescent="0.25">
      <c r="A66" s="1971" t="s">
        <v>452</v>
      </c>
      <c r="B66" s="19" t="s">
        <v>32</v>
      </c>
      <c r="C66" s="22"/>
      <c r="D66" s="482">
        <v>0.25</v>
      </c>
      <c r="E66" s="691">
        <v>0</v>
      </c>
      <c r="F66" s="495">
        <v>0</v>
      </c>
      <c r="G66" s="21">
        <f t="shared" si="1"/>
        <v>0.25</v>
      </c>
      <c r="H66" s="482">
        <v>0.25</v>
      </c>
      <c r="I66" s="691">
        <v>0</v>
      </c>
      <c r="J66" s="495">
        <v>0</v>
      </c>
      <c r="K66" s="21">
        <f t="shared" si="3"/>
        <v>0.25</v>
      </c>
    </row>
    <row r="67" spans="1:11" x14ac:dyDescent="0.25">
      <c r="A67" s="1971"/>
      <c r="B67" s="19" t="s">
        <v>33</v>
      </c>
      <c r="C67" s="22"/>
      <c r="D67" s="625">
        <v>0.5</v>
      </c>
      <c r="E67" s="691">
        <v>0</v>
      </c>
      <c r="F67" s="495">
        <v>0</v>
      </c>
      <c r="G67" s="21">
        <f t="shared" si="1"/>
        <v>0.5</v>
      </c>
      <c r="H67" s="625">
        <v>0.5</v>
      </c>
      <c r="I67" s="691">
        <v>0</v>
      </c>
      <c r="J67" s="495">
        <v>0</v>
      </c>
      <c r="K67" s="21">
        <f t="shared" si="3"/>
        <v>0.5</v>
      </c>
    </row>
    <row r="68" spans="1:11" x14ac:dyDescent="0.25">
      <c r="A68" s="1971"/>
      <c r="B68" s="19" t="s">
        <v>34</v>
      </c>
      <c r="C68" s="22"/>
      <c r="D68" s="625">
        <v>1</v>
      </c>
      <c r="E68" s="691">
        <v>0</v>
      </c>
      <c r="F68" s="495">
        <v>0</v>
      </c>
      <c r="G68" s="21">
        <f t="shared" si="1"/>
        <v>1</v>
      </c>
      <c r="H68" s="625">
        <v>1</v>
      </c>
      <c r="I68" s="691">
        <v>0</v>
      </c>
      <c r="J68" s="495">
        <v>0</v>
      </c>
      <c r="K68" s="21">
        <f t="shared" si="3"/>
        <v>1</v>
      </c>
    </row>
    <row r="69" spans="1:11" x14ac:dyDescent="0.25">
      <c r="A69" s="1974"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74"/>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74"/>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71"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71"/>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71"/>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71"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71"/>
      <c r="B76" s="19" t="s">
        <v>33</v>
      </c>
      <c r="C76" s="22"/>
      <c r="D76" s="38" t="s">
        <v>90</v>
      </c>
      <c r="E76" s="38" t="s">
        <v>90</v>
      </c>
      <c r="F76" s="38" t="s">
        <v>90</v>
      </c>
      <c r="G76" s="21">
        <f t="shared" si="1"/>
        <v>0</v>
      </c>
      <c r="H76" s="38" t="s">
        <v>90</v>
      </c>
      <c r="I76" s="38" t="s">
        <v>90</v>
      </c>
      <c r="J76" s="38" t="s">
        <v>90</v>
      </c>
      <c r="K76" s="21">
        <f t="shared" si="3"/>
        <v>0</v>
      </c>
    </row>
    <row r="77" spans="1:11" x14ac:dyDescent="0.25">
      <c r="A77" s="1971"/>
      <c r="B77" s="13" t="s">
        <v>34</v>
      </c>
      <c r="C77" s="34"/>
      <c r="D77" s="38" t="s">
        <v>90</v>
      </c>
      <c r="E77" s="38" t="s">
        <v>90</v>
      </c>
      <c r="F77" s="38" t="s">
        <v>90</v>
      </c>
      <c r="G77" s="21">
        <f t="shared" si="1"/>
        <v>0</v>
      </c>
      <c r="H77" s="38" t="s">
        <v>90</v>
      </c>
      <c r="I77" s="38" t="s">
        <v>90</v>
      </c>
      <c r="J77" s="38" t="s">
        <v>90</v>
      </c>
      <c r="K77" s="21">
        <f t="shared" si="3"/>
        <v>0</v>
      </c>
    </row>
    <row r="78" spans="1:11" x14ac:dyDescent="0.25">
      <c r="A78" s="1971"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71"/>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71"/>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71"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71"/>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71"/>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41"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41"/>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41"/>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0"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40"/>
      <c r="B89" s="19" t="s">
        <v>33</v>
      </c>
      <c r="C89" s="22"/>
      <c r="D89" s="625">
        <v>0.25</v>
      </c>
      <c r="E89" s="616">
        <v>0</v>
      </c>
      <c r="F89" s="623">
        <v>0</v>
      </c>
      <c r="G89" s="21">
        <f t="shared" si="1"/>
        <v>0.25</v>
      </c>
      <c r="H89" s="625">
        <v>0.25</v>
      </c>
      <c r="I89" s="616">
        <v>0</v>
      </c>
      <c r="J89" s="623">
        <v>0</v>
      </c>
      <c r="K89" s="21">
        <f t="shared" si="8"/>
        <v>0.25</v>
      </c>
    </row>
    <row r="90" spans="1:11" x14ac:dyDescent="0.25">
      <c r="A90" s="1940"/>
      <c r="B90" s="19" t="s">
        <v>34</v>
      </c>
      <c r="C90" s="22"/>
      <c r="D90" s="625">
        <v>0.25</v>
      </c>
      <c r="E90" s="616">
        <v>0</v>
      </c>
      <c r="F90" s="623">
        <v>0</v>
      </c>
      <c r="G90" s="21">
        <f t="shared" si="1"/>
        <v>0.25</v>
      </c>
      <c r="H90" s="625">
        <v>0.25</v>
      </c>
      <c r="I90" s="616">
        <v>0</v>
      </c>
      <c r="J90" s="623">
        <v>0</v>
      </c>
      <c r="K90" s="21">
        <f t="shared" si="8"/>
        <v>0.25</v>
      </c>
    </row>
    <row r="91" spans="1:11" x14ac:dyDescent="0.25">
      <c r="A91" s="1971" t="s">
        <v>24</v>
      </c>
      <c r="B91" s="19" t="s">
        <v>32</v>
      </c>
      <c r="C91" s="22"/>
      <c r="D91" s="640">
        <v>8</v>
      </c>
      <c r="E91" s="630">
        <f>4*E$3</f>
        <v>0</v>
      </c>
      <c r="F91" s="646">
        <v>0</v>
      </c>
      <c r="G91" s="21">
        <f t="shared" si="1"/>
        <v>8</v>
      </c>
      <c r="H91" s="640">
        <v>8</v>
      </c>
      <c r="I91" s="630">
        <f>4*I$3</f>
        <v>0</v>
      </c>
      <c r="J91" s="646">
        <v>0</v>
      </c>
      <c r="K91" s="21">
        <f t="shared" si="8"/>
        <v>8</v>
      </c>
    </row>
    <row r="92" spans="1:11" x14ac:dyDescent="0.25">
      <c r="A92" s="1971"/>
      <c r="B92" s="19" t="s">
        <v>33</v>
      </c>
      <c r="C92" s="22"/>
      <c r="D92" s="640">
        <v>12</v>
      </c>
      <c r="E92" s="630">
        <f>4*E$3</f>
        <v>0</v>
      </c>
      <c r="F92" s="646">
        <v>0</v>
      </c>
      <c r="G92" s="21">
        <f t="shared" si="1"/>
        <v>12</v>
      </c>
      <c r="H92" s="640">
        <v>12</v>
      </c>
      <c r="I92" s="630">
        <f>4*I$3</f>
        <v>0</v>
      </c>
      <c r="J92" s="646">
        <v>0</v>
      </c>
      <c r="K92" s="21">
        <f t="shared" si="8"/>
        <v>12</v>
      </c>
    </row>
    <row r="93" spans="1:11" x14ac:dyDescent="0.25">
      <c r="A93" s="1971"/>
      <c r="B93" s="19" t="s">
        <v>34</v>
      </c>
      <c r="C93" s="22"/>
      <c r="D93" s="640">
        <v>16</v>
      </c>
      <c r="E93" s="630">
        <f>4*E$3</f>
        <v>0</v>
      </c>
      <c r="F93" s="646">
        <v>0</v>
      </c>
      <c r="G93" s="21">
        <f t="shared" si="1"/>
        <v>16</v>
      </c>
      <c r="H93" s="640">
        <v>16</v>
      </c>
      <c r="I93" s="630">
        <f>4*I$3</f>
        <v>0</v>
      </c>
      <c r="J93" s="646">
        <v>0</v>
      </c>
      <c r="K93" s="21">
        <f t="shared" si="8"/>
        <v>16</v>
      </c>
    </row>
    <row r="94" spans="1:11" x14ac:dyDescent="0.25">
      <c r="A94" s="1971"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71"/>
      <c r="B95" s="19" t="s">
        <v>33</v>
      </c>
      <c r="C95" s="22"/>
      <c r="D95" s="640">
        <v>4</v>
      </c>
      <c r="E95" s="623">
        <v>0</v>
      </c>
      <c r="F95" s="646">
        <v>0</v>
      </c>
      <c r="G95" s="21">
        <f t="shared" si="9"/>
        <v>4</v>
      </c>
      <c r="H95" s="640">
        <v>4</v>
      </c>
      <c r="I95" s="623">
        <v>0</v>
      </c>
      <c r="J95" s="646">
        <v>0</v>
      </c>
      <c r="K95" s="21">
        <f t="shared" si="10"/>
        <v>4</v>
      </c>
    </row>
    <row r="96" spans="1:11" x14ac:dyDescent="0.25">
      <c r="A96" s="1971"/>
      <c r="B96" s="19" t="s">
        <v>34</v>
      </c>
      <c r="C96" s="22"/>
      <c r="D96" s="640">
        <v>6</v>
      </c>
      <c r="E96" s="623">
        <v>0</v>
      </c>
      <c r="F96" s="646">
        <v>0</v>
      </c>
      <c r="G96" s="21">
        <f t="shared" si="9"/>
        <v>6</v>
      </c>
      <c r="H96" s="640">
        <v>6</v>
      </c>
      <c r="I96" s="623">
        <v>0</v>
      </c>
      <c r="J96" s="646">
        <v>0</v>
      </c>
      <c r="K96" s="21">
        <f t="shared" si="10"/>
        <v>6</v>
      </c>
    </row>
    <row r="97" spans="1:11" x14ac:dyDescent="0.25">
      <c r="A97" s="1971" t="s">
        <v>26</v>
      </c>
      <c r="B97" s="19" t="s">
        <v>32</v>
      </c>
      <c r="C97" s="22"/>
      <c r="D97" s="640">
        <v>14</v>
      </c>
      <c r="E97" s="674">
        <f>E$3*2</f>
        <v>0</v>
      </c>
      <c r="F97" s="646">
        <v>0</v>
      </c>
      <c r="G97" s="21">
        <f t="shared" si="9"/>
        <v>14</v>
      </c>
      <c r="H97" s="640">
        <v>14</v>
      </c>
      <c r="I97" s="674">
        <f>I$3*2</f>
        <v>0</v>
      </c>
      <c r="J97" s="646">
        <v>0</v>
      </c>
      <c r="K97" s="21">
        <f t="shared" si="10"/>
        <v>14</v>
      </c>
    </row>
    <row r="98" spans="1:11" x14ac:dyDescent="0.25">
      <c r="A98" s="1971"/>
      <c r="B98" s="19" t="s">
        <v>33</v>
      </c>
      <c r="C98" s="22"/>
      <c r="D98" s="640">
        <v>26</v>
      </c>
      <c r="E98" s="674">
        <f>E$3*2.5</f>
        <v>0</v>
      </c>
      <c r="F98" s="646">
        <v>0</v>
      </c>
      <c r="G98" s="21">
        <f t="shared" si="9"/>
        <v>26</v>
      </c>
      <c r="H98" s="640">
        <v>26</v>
      </c>
      <c r="I98" s="674">
        <f>I$3*2.5</f>
        <v>0</v>
      </c>
      <c r="J98" s="646">
        <v>0</v>
      </c>
      <c r="K98" s="21">
        <f t="shared" si="10"/>
        <v>26</v>
      </c>
    </row>
    <row r="99" spans="1:11" x14ac:dyDescent="0.25">
      <c r="A99" s="1971"/>
      <c r="B99" s="19" t="s">
        <v>34</v>
      </c>
      <c r="C99" s="22"/>
      <c r="D99" s="640">
        <v>34</v>
      </c>
      <c r="E99" s="674">
        <f>E$3*3</f>
        <v>0</v>
      </c>
      <c r="F99" s="646">
        <v>0</v>
      </c>
      <c r="G99" s="21">
        <f t="shared" si="9"/>
        <v>34</v>
      </c>
      <c r="H99" s="640">
        <v>34</v>
      </c>
      <c r="I99" s="674">
        <f>I$3*3</f>
        <v>0</v>
      </c>
      <c r="J99" s="646">
        <v>0</v>
      </c>
      <c r="K99" s="21">
        <f t="shared" si="10"/>
        <v>34</v>
      </c>
    </row>
    <row r="100" spans="1:11" x14ac:dyDescent="0.25">
      <c r="A100" s="1971"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71"/>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71"/>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40"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40"/>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38"/>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22" t="str">
        <f>'Служебный АСУТП'!V2</f>
        <v>ViPNet TLS Gateway</v>
      </c>
      <c r="E1" s="1923"/>
      <c r="F1" s="1923"/>
      <c r="G1" s="1924"/>
      <c r="H1" s="1922" t="str">
        <f>'Служебный АСУТП'!V3</f>
        <v>Континент TLS</v>
      </c>
      <c r="I1" s="1923"/>
      <c r="J1" s="1923"/>
      <c r="K1" s="1924"/>
    </row>
    <row r="2" spans="1:11" ht="15.75" x14ac:dyDescent="0.25">
      <c r="B2" s="41" t="s">
        <v>37</v>
      </c>
      <c r="C2" s="1932" t="s">
        <v>35</v>
      </c>
      <c r="D2" s="451" t="s">
        <v>598</v>
      </c>
      <c r="E2" s="191" t="s">
        <v>438</v>
      </c>
      <c r="F2" s="191" t="s">
        <v>439</v>
      </c>
      <c r="G2" s="1925" t="s">
        <v>38</v>
      </c>
      <c r="H2" s="451" t="s">
        <v>598</v>
      </c>
      <c r="I2" s="645" t="s">
        <v>438</v>
      </c>
      <c r="J2" s="645" t="s">
        <v>439</v>
      </c>
      <c r="K2" s="1925" t="s">
        <v>38</v>
      </c>
    </row>
    <row r="3" spans="1:11" ht="16.5" thickBot="1" x14ac:dyDescent="0.3">
      <c r="A3" s="12" t="s">
        <v>36</v>
      </c>
      <c r="B3" s="295">
        <f>ТрЗ_ОП!F5</f>
        <v>1</v>
      </c>
      <c r="C3" s="2322"/>
      <c r="D3" s="37">
        <f>INDEX(ТрЗ_ОП!$P$11:$P$102,MATCH(D2,ТрЗ_ОП!$O$11:$O$102,0))</f>
        <v>0</v>
      </c>
      <c r="E3" s="37">
        <f>INDEX(ТрЗ_ОП!$P$11:$P$102,MATCH(E2,ТрЗ_ОП!$O$11:$O$102,0))</f>
        <v>0</v>
      </c>
      <c r="F3" s="37">
        <f>INDEX(ТрЗ_ОП!$P$11:$P$102,MATCH(F2,ТрЗ_ОП!$O$11:$O$102,0))</f>
        <v>0</v>
      </c>
      <c r="G3" s="1976"/>
      <c r="H3" s="37">
        <f>INDEX(ТрЗ_ОП!$P$11:$P$102,MATCH(H2,ТрЗ_ОП!$O$11:$O$102,0))</f>
        <v>0</v>
      </c>
      <c r="I3" s="37">
        <f>INDEX(ТрЗ_ОП!$P$11:$P$102,MATCH(I2,ТрЗ_ОП!$O$11:$O$102,0))</f>
        <v>0</v>
      </c>
      <c r="J3" s="37">
        <f>INDEX(ТрЗ_ОП!$P$11:$P$102,MATCH(J2,ТрЗ_ОП!$O$11:$O$102,0))</f>
        <v>0</v>
      </c>
      <c r="K3" s="1976"/>
    </row>
    <row r="4" spans="1:11" ht="16.5" thickBot="1" x14ac:dyDescent="0.3">
      <c r="A4" s="441" t="s">
        <v>448</v>
      </c>
      <c r="B4" s="442"/>
      <c r="C4" s="442"/>
      <c r="D4" s="442"/>
      <c r="E4" s="442"/>
      <c r="F4" s="442"/>
      <c r="G4" s="442"/>
      <c r="H4" s="442"/>
      <c r="I4" s="442"/>
      <c r="J4" s="442"/>
      <c r="K4" s="443"/>
    </row>
    <row r="5" spans="1:11" x14ac:dyDescent="0.25">
      <c r="A5" s="1985"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71"/>
      <c r="B6" s="129" t="s">
        <v>33</v>
      </c>
      <c r="C6" s="22"/>
      <c r="D6" s="446">
        <v>10</v>
      </c>
      <c r="E6" s="615">
        <v>0.5</v>
      </c>
      <c r="F6" s="615">
        <v>0</v>
      </c>
      <c r="G6" s="21">
        <f xml:space="preserve"> SUM(D6:F6) + $C6</f>
        <v>10.5</v>
      </c>
      <c r="H6" s="11">
        <v>10</v>
      </c>
      <c r="I6" s="11">
        <v>0.5</v>
      </c>
      <c r="J6" s="11">
        <v>0</v>
      </c>
      <c r="K6" s="21">
        <f t="shared" si="0"/>
        <v>10.5</v>
      </c>
    </row>
    <row r="7" spans="1:11" x14ac:dyDescent="0.25">
      <c r="A7" s="1971"/>
      <c r="B7" s="129" t="s">
        <v>34</v>
      </c>
      <c r="C7" s="22"/>
      <c r="D7" s="446">
        <v>12</v>
      </c>
      <c r="E7" s="615">
        <v>0.5</v>
      </c>
      <c r="F7" s="615">
        <v>0</v>
      </c>
      <c r="G7" s="21">
        <f xml:space="preserve"> SUM(D7:F7) + $C7</f>
        <v>12.5</v>
      </c>
      <c r="H7" s="11">
        <v>12</v>
      </c>
      <c r="I7" s="11">
        <v>0.5</v>
      </c>
      <c r="J7" s="11">
        <v>0</v>
      </c>
      <c r="K7" s="21">
        <f t="shared" si="0"/>
        <v>12.5</v>
      </c>
    </row>
    <row r="8" spans="1:11" x14ac:dyDescent="0.25">
      <c r="A8" s="1940" t="s">
        <v>449</v>
      </c>
      <c r="B8" s="404" t="s">
        <v>32</v>
      </c>
      <c r="C8" s="324"/>
      <c r="D8" s="615">
        <v>8</v>
      </c>
      <c r="E8" s="615">
        <v>0.5</v>
      </c>
      <c r="F8" s="615">
        <v>0</v>
      </c>
      <c r="G8" s="21">
        <f xml:space="preserve"> SUM(D8:F8) + $C8</f>
        <v>8.5</v>
      </c>
      <c r="H8" s="11">
        <v>8</v>
      </c>
      <c r="I8" s="11">
        <v>0.5</v>
      </c>
      <c r="J8" s="11">
        <v>0</v>
      </c>
      <c r="K8" s="21">
        <f t="shared" si="0"/>
        <v>8.5</v>
      </c>
    </row>
    <row r="9" spans="1:11" x14ac:dyDescent="0.25">
      <c r="A9" s="1940"/>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38"/>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40"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40"/>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40"/>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36"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72"/>
      <c r="B17" s="18" t="s">
        <v>33</v>
      </c>
      <c r="C17" s="22"/>
      <c r="D17" s="678">
        <v>0.25</v>
      </c>
      <c r="E17" s="616">
        <v>0</v>
      </c>
      <c r="F17" s="623">
        <v>0</v>
      </c>
      <c r="G17" s="21">
        <f t="shared" si="1"/>
        <v>0.25</v>
      </c>
      <c r="H17" s="678">
        <v>0.25</v>
      </c>
      <c r="I17" s="616">
        <v>0</v>
      </c>
      <c r="J17" s="623">
        <v>0</v>
      </c>
      <c r="K17" s="21">
        <f t="shared" si="2"/>
        <v>0.25</v>
      </c>
    </row>
    <row r="18" spans="1:11" x14ac:dyDescent="0.25">
      <c r="A18" s="1972"/>
      <c r="B18" s="18" t="s">
        <v>34</v>
      </c>
      <c r="C18" s="22"/>
      <c r="D18" s="678">
        <v>0.25</v>
      </c>
      <c r="E18" s="616">
        <v>0</v>
      </c>
      <c r="F18" s="623">
        <v>0</v>
      </c>
      <c r="G18" s="21">
        <f t="shared" si="1"/>
        <v>0.25</v>
      </c>
      <c r="H18" s="678">
        <v>0.25</v>
      </c>
      <c r="I18" s="616">
        <v>0</v>
      </c>
      <c r="J18" s="623">
        <v>0</v>
      </c>
      <c r="K18" s="21">
        <f t="shared" si="2"/>
        <v>0.25</v>
      </c>
    </row>
    <row r="19" spans="1:11" x14ac:dyDescent="0.25">
      <c r="A19" s="1972" t="s">
        <v>5</v>
      </c>
      <c r="B19" s="19" t="s">
        <v>32</v>
      </c>
      <c r="C19" s="22"/>
      <c r="D19" s="38">
        <v>1</v>
      </c>
      <c r="E19" s="616">
        <v>0</v>
      </c>
      <c r="F19" s="623">
        <v>0</v>
      </c>
      <c r="G19" s="21">
        <f t="shared" si="1"/>
        <v>1</v>
      </c>
      <c r="H19" s="625">
        <v>1</v>
      </c>
      <c r="I19" s="616">
        <v>0</v>
      </c>
      <c r="J19" s="623">
        <v>0</v>
      </c>
      <c r="K19" s="21">
        <f t="shared" si="2"/>
        <v>1</v>
      </c>
    </row>
    <row r="20" spans="1:11" x14ac:dyDescent="0.25">
      <c r="A20" s="1972"/>
      <c r="B20" s="19" t="s">
        <v>33</v>
      </c>
      <c r="C20" s="22"/>
      <c r="D20" s="38">
        <v>2</v>
      </c>
      <c r="E20" s="616">
        <v>0</v>
      </c>
      <c r="F20" s="623">
        <v>0</v>
      </c>
      <c r="G20" s="21">
        <f t="shared" si="1"/>
        <v>2</v>
      </c>
      <c r="H20" s="625">
        <v>2</v>
      </c>
      <c r="I20" s="616">
        <v>0</v>
      </c>
      <c r="J20" s="623">
        <v>0</v>
      </c>
      <c r="K20" s="21">
        <f t="shared" si="2"/>
        <v>2</v>
      </c>
    </row>
    <row r="21" spans="1:11" x14ac:dyDescent="0.25">
      <c r="A21" s="1972"/>
      <c r="B21" s="19" t="s">
        <v>34</v>
      </c>
      <c r="C21" s="22"/>
      <c r="D21" s="38">
        <v>3</v>
      </c>
      <c r="E21" s="616">
        <v>0</v>
      </c>
      <c r="F21" s="623">
        <v>0</v>
      </c>
      <c r="G21" s="21">
        <f t="shared" si="1"/>
        <v>3</v>
      </c>
      <c r="H21" s="625">
        <v>3</v>
      </c>
      <c r="I21" s="616">
        <v>0</v>
      </c>
      <c r="J21" s="623">
        <v>0</v>
      </c>
      <c r="K21" s="21">
        <f t="shared" si="2"/>
        <v>3</v>
      </c>
    </row>
    <row r="22" spans="1:11" x14ac:dyDescent="0.25">
      <c r="A22" s="1972" t="s">
        <v>6</v>
      </c>
      <c r="B22" s="19" t="s">
        <v>32</v>
      </c>
      <c r="C22" s="22"/>
      <c r="D22" s="615">
        <v>24</v>
      </c>
      <c r="E22" s="630">
        <f>1*E$3</f>
        <v>0</v>
      </c>
      <c r="F22" s="615">
        <v>0</v>
      </c>
      <c r="G22" s="21">
        <f t="shared" si="1"/>
        <v>24</v>
      </c>
      <c r="H22" s="615">
        <v>24</v>
      </c>
      <c r="I22" s="630">
        <f>1*I$3</f>
        <v>0</v>
      </c>
      <c r="J22" s="615">
        <v>0</v>
      </c>
      <c r="K22" s="21">
        <f t="shared" si="2"/>
        <v>24</v>
      </c>
    </row>
    <row r="23" spans="1:11" x14ac:dyDescent="0.25">
      <c r="A23" s="1972"/>
      <c r="B23" s="19" t="s">
        <v>33</v>
      </c>
      <c r="C23" s="22"/>
      <c r="D23" s="615">
        <v>32</v>
      </c>
      <c r="E23" s="630">
        <f>2*E$3</f>
        <v>0</v>
      </c>
      <c r="F23" s="615">
        <v>0</v>
      </c>
      <c r="G23" s="21">
        <f t="shared" si="1"/>
        <v>32</v>
      </c>
      <c r="H23" s="615">
        <v>32</v>
      </c>
      <c r="I23" s="630">
        <f>2*I$3</f>
        <v>0</v>
      </c>
      <c r="J23" s="615">
        <v>0</v>
      </c>
      <c r="K23" s="21">
        <f t="shared" si="2"/>
        <v>32</v>
      </c>
    </row>
    <row r="24" spans="1:11" x14ac:dyDescent="0.25">
      <c r="A24" s="1972"/>
      <c r="B24" s="19" t="s">
        <v>34</v>
      </c>
      <c r="C24" s="22"/>
      <c r="D24" s="615">
        <v>40</v>
      </c>
      <c r="E24" s="630">
        <f>3*E$3</f>
        <v>0</v>
      </c>
      <c r="F24" s="615">
        <v>0</v>
      </c>
      <c r="G24" s="21">
        <f t="shared" si="1"/>
        <v>40</v>
      </c>
      <c r="H24" s="615">
        <v>40</v>
      </c>
      <c r="I24" s="630">
        <f>3*I$3</f>
        <v>0</v>
      </c>
      <c r="J24" s="615">
        <v>0</v>
      </c>
      <c r="K24" s="21">
        <f t="shared" si="2"/>
        <v>40</v>
      </c>
    </row>
    <row r="25" spans="1:11" x14ac:dyDescent="0.25">
      <c r="A25" s="1972" t="s">
        <v>7</v>
      </c>
      <c r="B25" s="19" t="s">
        <v>32</v>
      </c>
      <c r="C25" s="22"/>
      <c r="D25" s="38">
        <v>4</v>
      </c>
      <c r="E25" s="616">
        <v>0</v>
      </c>
      <c r="F25" s="623">
        <v>0</v>
      </c>
      <c r="G25" s="21">
        <f t="shared" si="1"/>
        <v>4</v>
      </c>
      <c r="H25" s="625">
        <v>4</v>
      </c>
      <c r="I25" s="616">
        <v>0</v>
      </c>
      <c r="J25" s="623">
        <v>0</v>
      </c>
      <c r="K25" s="21">
        <f t="shared" si="2"/>
        <v>4</v>
      </c>
    </row>
    <row r="26" spans="1:11" x14ac:dyDescent="0.25">
      <c r="A26" s="1972"/>
      <c r="B26" s="19" t="s">
        <v>33</v>
      </c>
      <c r="C26" s="22"/>
      <c r="D26" s="38">
        <v>6</v>
      </c>
      <c r="E26" s="616">
        <v>0</v>
      </c>
      <c r="F26" s="623">
        <v>0</v>
      </c>
      <c r="G26" s="21">
        <f t="shared" si="1"/>
        <v>6</v>
      </c>
      <c r="H26" s="625">
        <v>6</v>
      </c>
      <c r="I26" s="616">
        <v>0</v>
      </c>
      <c r="J26" s="623">
        <v>0</v>
      </c>
      <c r="K26" s="21">
        <f t="shared" si="2"/>
        <v>6</v>
      </c>
    </row>
    <row r="27" spans="1:11" x14ac:dyDescent="0.25">
      <c r="A27" s="1972"/>
      <c r="B27" s="19" t="s">
        <v>34</v>
      </c>
      <c r="C27" s="22"/>
      <c r="D27" s="38">
        <v>8</v>
      </c>
      <c r="E27" s="616">
        <v>0</v>
      </c>
      <c r="F27" s="623">
        <v>0</v>
      </c>
      <c r="G27" s="21">
        <f t="shared" si="1"/>
        <v>8</v>
      </c>
      <c r="H27" s="625">
        <v>8</v>
      </c>
      <c r="I27" s="616">
        <v>0</v>
      </c>
      <c r="J27" s="623">
        <v>0</v>
      </c>
      <c r="K27" s="21">
        <f t="shared" si="2"/>
        <v>8</v>
      </c>
    </row>
    <row r="28" spans="1:11" x14ac:dyDescent="0.25">
      <c r="A28" s="1972" t="s">
        <v>8</v>
      </c>
      <c r="B28" s="19" t="s">
        <v>32</v>
      </c>
      <c r="C28" s="22"/>
      <c r="D28" s="38">
        <v>3</v>
      </c>
      <c r="E28" s="616">
        <v>0</v>
      </c>
      <c r="F28" s="623">
        <v>0</v>
      </c>
      <c r="G28" s="21">
        <f t="shared" si="1"/>
        <v>3</v>
      </c>
      <c r="H28" s="625">
        <v>3</v>
      </c>
      <c r="I28" s="616">
        <v>0</v>
      </c>
      <c r="J28" s="623">
        <v>0</v>
      </c>
      <c r="K28" s="21">
        <f t="shared" si="2"/>
        <v>3</v>
      </c>
    </row>
    <row r="29" spans="1:11" x14ac:dyDescent="0.25">
      <c r="A29" s="1972"/>
      <c r="B29" s="19" t="s">
        <v>33</v>
      </c>
      <c r="C29" s="22"/>
      <c r="D29" s="38">
        <v>4</v>
      </c>
      <c r="E29" s="616">
        <v>0</v>
      </c>
      <c r="F29" s="623">
        <v>0</v>
      </c>
      <c r="G29" s="21">
        <f t="shared" si="1"/>
        <v>4</v>
      </c>
      <c r="H29" s="625">
        <v>4</v>
      </c>
      <c r="I29" s="616">
        <v>0</v>
      </c>
      <c r="J29" s="623">
        <v>0</v>
      </c>
      <c r="K29" s="21">
        <f t="shared" si="2"/>
        <v>4</v>
      </c>
    </row>
    <row r="30" spans="1:11" x14ac:dyDescent="0.25">
      <c r="A30" s="1972"/>
      <c r="B30" s="19" t="s">
        <v>34</v>
      </c>
      <c r="C30" s="22"/>
      <c r="D30" s="38">
        <v>6</v>
      </c>
      <c r="E30" s="616">
        <v>0</v>
      </c>
      <c r="F30" s="623">
        <v>0</v>
      </c>
      <c r="G30" s="21">
        <f t="shared" si="1"/>
        <v>6</v>
      </c>
      <c r="H30" s="625">
        <v>6</v>
      </c>
      <c r="I30" s="616">
        <v>0</v>
      </c>
      <c r="J30" s="623">
        <v>0</v>
      </c>
      <c r="K30" s="21">
        <f t="shared" si="2"/>
        <v>6</v>
      </c>
    </row>
    <row r="31" spans="1:11" x14ac:dyDescent="0.25">
      <c r="A31" s="1972" t="s">
        <v>9</v>
      </c>
      <c r="B31" s="19" t="s">
        <v>32</v>
      </c>
      <c r="C31" s="22"/>
      <c r="D31" s="124">
        <f>4+(0.5*D$3)</f>
        <v>4</v>
      </c>
      <c r="E31" s="616">
        <v>0</v>
      </c>
      <c r="F31" s="616">
        <v>0</v>
      </c>
      <c r="G31" s="21">
        <f t="shared" si="1"/>
        <v>4</v>
      </c>
      <c r="H31" s="631">
        <f>4+(0.5*H$3)</f>
        <v>4</v>
      </c>
      <c r="I31" s="616">
        <v>0</v>
      </c>
      <c r="J31" s="616">
        <v>0</v>
      </c>
      <c r="K31" s="21">
        <f t="shared" si="2"/>
        <v>4</v>
      </c>
    </row>
    <row r="32" spans="1:11" x14ac:dyDescent="0.25">
      <c r="A32" s="1972"/>
      <c r="B32" s="19" t="s">
        <v>33</v>
      </c>
      <c r="C32" s="22"/>
      <c r="D32" s="124">
        <f>6+(0.5*D$3)</f>
        <v>6</v>
      </c>
      <c r="E32" s="616">
        <v>0</v>
      </c>
      <c r="F32" s="616">
        <v>0</v>
      </c>
      <c r="G32" s="21">
        <f t="shared" si="1"/>
        <v>6</v>
      </c>
      <c r="H32" s="631">
        <f>6+(0.5*H$3)</f>
        <v>6</v>
      </c>
      <c r="I32" s="616">
        <v>0</v>
      </c>
      <c r="J32" s="616">
        <v>0</v>
      </c>
      <c r="K32" s="21">
        <f t="shared" si="2"/>
        <v>6</v>
      </c>
    </row>
    <row r="33" spans="1:11" x14ac:dyDescent="0.25">
      <c r="A33" s="1972"/>
      <c r="B33" s="19" t="s">
        <v>34</v>
      </c>
      <c r="C33" s="22"/>
      <c r="D33" s="124">
        <f>8+(0.5*D$3)</f>
        <v>8</v>
      </c>
      <c r="E33" s="616">
        <v>0</v>
      </c>
      <c r="F33" s="616">
        <v>0</v>
      </c>
      <c r="G33" s="21">
        <f t="shared" si="1"/>
        <v>8</v>
      </c>
      <c r="H33" s="631">
        <f>8+(0.5*H$3)</f>
        <v>8</v>
      </c>
      <c r="I33" s="616">
        <v>0</v>
      </c>
      <c r="J33" s="616">
        <v>0</v>
      </c>
      <c r="K33" s="21">
        <f t="shared" si="2"/>
        <v>8</v>
      </c>
    </row>
    <row r="34" spans="1:11" x14ac:dyDescent="0.25">
      <c r="A34" s="1972" t="s">
        <v>10</v>
      </c>
      <c r="B34" s="19" t="s">
        <v>32</v>
      </c>
      <c r="C34" s="22"/>
      <c r="D34" s="38">
        <v>2</v>
      </c>
      <c r="E34" s="616">
        <v>0</v>
      </c>
      <c r="F34" s="616">
        <v>0</v>
      </c>
      <c r="G34" s="21">
        <f t="shared" si="1"/>
        <v>2</v>
      </c>
      <c r="H34" s="625">
        <v>2</v>
      </c>
      <c r="I34" s="616">
        <v>0</v>
      </c>
      <c r="J34" s="616">
        <v>0</v>
      </c>
      <c r="K34" s="21">
        <f t="shared" si="2"/>
        <v>2</v>
      </c>
    </row>
    <row r="35" spans="1:11" x14ac:dyDescent="0.25">
      <c r="A35" s="1972"/>
      <c r="B35" s="19" t="s">
        <v>33</v>
      </c>
      <c r="C35" s="22"/>
      <c r="D35" s="38">
        <v>4</v>
      </c>
      <c r="E35" s="616">
        <v>0</v>
      </c>
      <c r="F35" s="616">
        <v>0</v>
      </c>
      <c r="G35" s="21">
        <f t="shared" si="1"/>
        <v>4</v>
      </c>
      <c r="H35" s="625">
        <v>4</v>
      </c>
      <c r="I35" s="616">
        <v>0</v>
      </c>
      <c r="J35" s="616">
        <v>0</v>
      </c>
      <c r="K35" s="21">
        <f t="shared" si="2"/>
        <v>4</v>
      </c>
    </row>
    <row r="36" spans="1:11" ht="15.75" thickBot="1" x14ac:dyDescent="0.3">
      <c r="A36" s="1939"/>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0"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40"/>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40"/>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40"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40"/>
      <c r="B43" s="19" t="s">
        <v>33</v>
      </c>
      <c r="C43" s="22"/>
      <c r="D43" s="625">
        <v>2</v>
      </c>
      <c r="E43" s="616">
        <v>0</v>
      </c>
      <c r="F43" s="623">
        <v>0</v>
      </c>
      <c r="G43" s="21">
        <f t="shared" si="1"/>
        <v>2</v>
      </c>
      <c r="H43" s="625">
        <v>2</v>
      </c>
      <c r="I43" s="616">
        <v>0</v>
      </c>
      <c r="J43" s="623">
        <v>0</v>
      </c>
      <c r="K43" s="21">
        <f t="shared" si="3"/>
        <v>2</v>
      </c>
    </row>
    <row r="44" spans="1:11" x14ac:dyDescent="0.25">
      <c r="A44" s="1940"/>
      <c r="B44" s="19" t="s">
        <v>34</v>
      </c>
      <c r="C44" s="22"/>
      <c r="D44" s="625">
        <v>3</v>
      </c>
      <c r="E44" s="616">
        <v>0</v>
      </c>
      <c r="F44" s="623">
        <v>0</v>
      </c>
      <c r="G44" s="21">
        <f t="shared" si="1"/>
        <v>3</v>
      </c>
      <c r="H44" s="625">
        <v>3</v>
      </c>
      <c r="I44" s="616">
        <v>0</v>
      </c>
      <c r="J44" s="623">
        <v>0</v>
      </c>
      <c r="K44" s="21">
        <f t="shared" si="3"/>
        <v>3</v>
      </c>
    </row>
    <row r="45" spans="1:11" x14ac:dyDescent="0.25">
      <c r="A45" s="1970" t="s">
        <v>15</v>
      </c>
      <c r="B45" s="19" t="s">
        <v>32</v>
      </c>
      <c r="C45" s="22"/>
      <c r="D45" s="625">
        <v>16</v>
      </c>
      <c r="E45" s="674">
        <f>1*E$3</f>
        <v>0</v>
      </c>
      <c r="F45" s="623">
        <v>0</v>
      </c>
      <c r="G45" s="21">
        <f t="shared" si="1"/>
        <v>16</v>
      </c>
      <c r="H45" s="625">
        <v>16</v>
      </c>
      <c r="I45" s="674">
        <f>1*I$3</f>
        <v>0</v>
      </c>
      <c r="J45" s="623">
        <v>0</v>
      </c>
      <c r="K45" s="21">
        <f t="shared" si="3"/>
        <v>16</v>
      </c>
    </row>
    <row r="46" spans="1:11" x14ac:dyDescent="0.25">
      <c r="A46" s="1970"/>
      <c r="B46" s="19" t="s">
        <v>33</v>
      </c>
      <c r="C46" s="22"/>
      <c r="D46" s="625">
        <v>28</v>
      </c>
      <c r="E46" s="674">
        <f>2*E$3</f>
        <v>0</v>
      </c>
      <c r="F46" s="623">
        <v>0</v>
      </c>
      <c r="G46" s="21">
        <f t="shared" si="1"/>
        <v>28</v>
      </c>
      <c r="H46" s="625">
        <v>28</v>
      </c>
      <c r="I46" s="674">
        <f>2*I$3</f>
        <v>0</v>
      </c>
      <c r="J46" s="623">
        <v>0</v>
      </c>
      <c r="K46" s="21">
        <f t="shared" si="3"/>
        <v>28</v>
      </c>
    </row>
    <row r="47" spans="1:11" x14ac:dyDescent="0.25">
      <c r="A47" s="1970"/>
      <c r="B47" s="19" t="s">
        <v>34</v>
      </c>
      <c r="C47" s="22"/>
      <c r="D47" s="625">
        <v>36</v>
      </c>
      <c r="E47" s="674">
        <f>4*E$3</f>
        <v>0</v>
      </c>
      <c r="F47" s="623">
        <v>0</v>
      </c>
      <c r="G47" s="21">
        <f t="shared" si="1"/>
        <v>36</v>
      </c>
      <c r="H47" s="625">
        <v>36</v>
      </c>
      <c r="I47" s="674">
        <f>4*I$3</f>
        <v>0</v>
      </c>
      <c r="J47" s="623">
        <v>0</v>
      </c>
      <c r="K47" s="21">
        <f t="shared" si="3"/>
        <v>36</v>
      </c>
    </row>
    <row r="48" spans="1:11" x14ac:dyDescent="0.25">
      <c r="A48" s="1970" t="s">
        <v>16</v>
      </c>
      <c r="B48" s="19" t="s">
        <v>32</v>
      </c>
      <c r="C48" s="22"/>
      <c r="D48" s="631">
        <f>1*D$3</f>
        <v>0</v>
      </c>
      <c r="E48" s="616">
        <v>0</v>
      </c>
      <c r="F48" s="623">
        <v>0</v>
      </c>
      <c r="G48" s="21">
        <f t="shared" si="1"/>
        <v>0</v>
      </c>
      <c r="H48" s="631">
        <f>1*H$3</f>
        <v>0</v>
      </c>
      <c r="I48" s="616">
        <v>0</v>
      </c>
      <c r="J48" s="623">
        <v>0</v>
      </c>
      <c r="K48" s="21">
        <f t="shared" si="3"/>
        <v>0</v>
      </c>
    </row>
    <row r="49" spans="1:11" x14ac:dyDescent="0.25">
      <c r="A49" s="1970"/>
      <c r="B49" s="19" t="s">
        <v>33</v>
      </c>
      <c r="C49" s="22"/>
      <c r="D49" s="631">
        <f>1.5*D$3</f>
        <v>0</v>
      </c>
      <c r="E49" s="616">
        <v>0</v>
      </c>
      <c r="F49" s="689">
        <v>0</v>
      </c>
      <c r="G49" s="21">
        <f t="shared" si="1"/>
        <v>0</v>
      </c>
      <c r="H49" s="631">
        <f>1.5*H$3</f>
        <v>0</v>
      </c>
      <c r="I49" s="616">
        <v>0</v>
      </c>
      <c r="J49" s="689">
        <v>0</v>
      </c>
      <c r="K49" s="21">
        <f t="shared" si="3"/>
        <v>0</v>
      </c>
    </row>
    <row r="50" spans="1:11" x14ac:dyDescent="0.25">
      <c r="A50" s="1970"/>
      <c r="B50" s="19" t="s">
        <v>34</v>
      </c>
      <c r="C50" s="22"/>
      <c r="D50" s="631">
        <f>2*D$3</f>
        <v>0</v>
      </c>
      <c r="E50" s="616">
        <v>0</v>
      </c>
      <c r="F50" s="689">
        <v>0</v>
      </c>
      <c r="G50" s="21">
        <f t="shared" si="1"/>
        <v>0</v>
      </c>
      <c r="H50" s="631">
        <f>2*H$3</f>
        <v>0</v>
      </c>
      <c r="I50" s="616">
        <v>0</v>
      </c>
      <c r="J50" s="689">
        <v>0</v>
      </c>
      <c r="K50" s="21">
        <f t="shared" si="3"/>
        <v>0</v>
      </c>
    </row>
    <row r="51" spans="1:11" x14ac:dyDescent="0.25">
      <c r="A51" s="1970" t="s">
        <v>17</v>
      </c>
      <c r="B51" s="19" t="s">
        <v>32</v>
      </c>
      <c r="C51" s="22"/>
      <c r="D51" s="631">
        <f>1*D$3</f>
        <v>0</v>
      </c>
      <c r="E51" s="616">
        <v>0</v>
      </c>
      <c r="F51" s="689">
        <v>0</v>
      </c>
      <c r="G51" s="21">
        <f t="shared" si="1"/>
        <v>0</v>
      </c>
      <c r="H51" s="631">
        <f>1*H$3</f>
        <v>0</v>
      </c>
      <c r="I51" s="616">
        <v>0</v>
      </c>
      <c r="J51" s="689">
        <v>0</v>
      </c>
      <c r="K51" s="21">
        <f t="shared" si="3"/>
        <v>0</v>
      </c>
    </row>
    <row r="52" spans="1:11" x14ac:dyDescent="0.25">
      <c r="A52" s="1970"/>
      <c r="B52" s="19" t="s">
        <v>33</v>
      </c>
      <c r="C52" s="22"/>
      <c r="D52" s="631">
        <f>1.5*D$3</f>
        <v>0</v>
      </c>
      <c r="E52" s="616">
        <v>0</v>
      </c>
      <c r="F52" s="689">
        <v>0</v>
      </c>
      <c r="G52" s="21">
        <f t="shared" si="1"/>
        <v>0</v>
      </c>
      <c r="H52" s="631">
        <f>1.5*H$3</f>
        <v>0</v>
      </c>
      <c r="I52" s="616">
        <v>0</v>
      </c>
      <c r="J52" s="689">
        <v>0</v>
      </c>
      <c r="K52" s="21">
        <f t="shared" si="3"/>
        <v>0</v>
      </c>
    </row>
    <row r="53" spans="1:11" x14ac:dyDescent="0.25">
      <c r="A53" s="1970"/>
      <c r="B53" s="19" t="s">
        <v>34</v>
      </c>
      <c r="C53" s="22"/>
      <c r="D53" s="631">
        <f>2*D$3</f>
        <v>0</v>
      </c>
      <c r="E53" s="616">
        <v>0</v>
      </c>
      <c r="F53" s="689">
        <v>0</v>
      </c>
      <c r="G53" s="21">
        <f t="shared" si="1"/>
        <v>0</v>
      </c>
      <c r="H53" s="631">
        <f>2*H$3</f>
        <v>0</v>
      </c>
      <c r="I53" s="616">
        <v>0</v>
      </c>
      <c r="J53" s="689">
        <v>0</v>
      </c>
      <c r="K53" s="21">
        <f t="shared" si="3"/>
        <v>0</v>
      </c>
    </row>
    <row r="54" spans="1:11" x14ac:dyDescent="0.25">
      <c r="A54" s="1970" t="s">
        <v>18</v>
      </c>
      <c r="B54" s="19" t="s">
        <v>32</v>
      </c>
      <c r="C54" s="22"/>
      <c r="D54" s="631">
        <f>1*D$3</f>
        <v>0</v>
      </c>
      <c r="E54" s="616">
        <v>0</v>
      </c>
      <c r="F54" s="616">
        <v>0</v>
      </c>
      <c r="G54" s="21">
        <f t="shared" si="1"/>
        <v>0</v>
      </c>
      <c r="H54" s="631">
        <f>1*H$3</f>
        <v>0</v>
      </c>
      <c r="I54" s="616">
        <v>0</v>
      </c>
      <c r="J54" s="616">
        <v>0</v>
      </c>
      <c r="K54" s="21">
        <f t="shared" si="3"/>
        <v>0</v>
      </c>
    </row>
    <row r="55" spans="1:11" x14ac:dyDescent="0.25">
      <c r="A55" s="1970"/>
      <c r="B55" s="19" t="s">
        <v>33</v>
      </c>
      <c r="C55" s="22"/>
      <c r="D55" s="631">
        <f>1*D$3</f>
        <v>0</v>
      </c>
      <c r="E55" s="616">
        <v>0</v>
      </c>
      <c r="F55" s="616">
        <v>0</v>
      </c>
      <c r="G55" s="21">
        <f t="shared" si="1"/>
        <v>0</v>
      </c>
      <c r="H55" s="631">
        <f>1*H$3</f>
        <v>0</v>
      </c>
      <c r="I55" s="616">
        <v>0</v>
      </c>
      <c r="J55" s="616">
        <v>0</v>
      </c>
      <c r="K55" s="21">
        <f t="shared" si="3"/>
        <v>0</v>
      </c>
    </row>
    <row r="56" spans="1:11" x14ac:dyDescent="0.25">
      <c r="A56" s="1970"/>
      <c r="B56" s="19" t="s">
        <v>34</v>
      </c>
      <c r="C56" s="22"/>
      <c r="D56" s="631">
        <f>1*D$3</f>
        <v>0</v>
      </c>
      <c r="E56" s="616">
        <v>0</v>
      </c>
      <c r="F56" s="616">
        <v>0</v>
      </c>
      <c r="G56" s="21">
        <f t="shared" si="1"/>
        <v>0</v>
      </c>
      <c r="H56" s="631">
        <f>1*H$3</f>
        <v>0</v>
      </c>
      <c r="I56" s="616">
        <v>0</v>
      </c>
      <c r="J56" s="616">
        <v>0</v>
      </c>
      <c r="K56" s="21">
        <f t="shared" si="3"/>
        <v>0</v>
      </c>
    </row>
    <row r="57" spans="1:11" x14ac:dyDescent="0.25">
      <c r="A57" s="1970" t="s">
        <v>19</v>
      </c>
      <c r="B57" s="19" t="s">
        <v>32</v>
      </c>
      <c r="C57" s="22"/>
      <c r="D57" s="625">
        <v>4</v>
      </c>
      <c r="E57" s="616">
        <v>0</v>
      </c>
      <c r="F57" s="616">
        <v>0</v>
      </c>
      <c r="G57" s="21">
        <f t="shared" si="1"/>
        <v>4</v>
      </c>
      <c r="H57" s="625">
        <v>4</v>
      </c>
      <c r="I57" s="616">
        <v>0</v>
      </c>
      <c r="J57" s="616">
        <v>0</v>
      </c>
      <c r="K57" s="21">
        <f t="shared" si="3"/>
        <v>4</v>
      </c>
    </row>
    <row r="58" spans="1:11" x14ac:dyDescent="0.25">
      <c r="A58" s="1970"/>
      <c r="B58" s="19" t="s">
        <v>33</v>
      </c>
      <c r="C58" s="22"/>
      <c r="D58" s="625">
        <v>6</v>
      </c>
      <c r="E58" s="616">
        <v>0</v>
      </c>
      <c r="F58" s="616">
        <v>0</v>
      </c>
      <c r="G58" s="21">
        <f t="shared" si="1"/>
        <v>6</v>
      </c>
      <c r="H58" s="625">
        <v>6</v>
      </c>
      <c r="I58" s="616">
        <v>0</v>
      </c>
      <c r="J58" s="616">
        <v>0</v>
      </c>
      <c r="K58" s="21">
        <f t="shared" si="3"/>
        <v>6</v>
      </c>
    </row>
    <row r="59" spans="1:11" x14ac:dyDescent="0.25">
      <c r="A59" s="1970"/>
      <c r="B59" s="19" t="s">
        <v>34</v>
      </c>
      <c r="C59" s="22"/>
      <c r="D59" s="625">
        <v>8</v>
      </c>
      <c r="E59" s="616">
        <v>0</v>
      </c>
      <c r="F59" s="616">
        <v>0</v>
      </c>
      <c r="G59" s="21">
        <f t="shared" si="1"/>
        <v>8</v>
      </c>
      <c r="H59" s="625">
        <v>8</v>
      </c>
      <c r="I59" s="616">
        <v>0</v>
      </c>
      <c r="J59" s="616">
        <v>0</v>
      </c>
      <c r="K59" s="21">
        <f t="shared" si="3"/>
        <v>8</v>
      </c>
    </row>
    <row r="60" spans="1:11" x14ac:dyDescent="0.25">
      <c r="A60" s="1970" t="s">
        <v>20</v>
      </c>
      <c r="B60" s="19" t="s">
        <v>32</v>
      </c>
      <c r="C60" s="22"/>
      <c r="D60" s="625">
        <v>8</v>
      </c>
      <c r="E60" s="630">
        <f>2*E$3</f>
        <v>0</v>
      </c>
      <c r="F60" s="616">
        <v>0</v>
      </c>
      <c r="G60" s="21">
        <f t="shared" si="1"/>
        <v>8</v>
      </c>
      <c r="H60" s="625">
        <v>8</v>
      </c>
      <c r="I60" s="630">
        <f>2*I$3</f>
        <v>0</v>
      </c>
      <c r="J60" s="616">
        <v>0</v>
      </c>
      <c r="K60" s="21">
        <f t="shared" si="3"/>
        <v>8</v>
      </c>
    </row>
    <row r="61" spans="1:11" x14ac:dyDescent="0.25">
      <c r="A61" s="1970"/>
      <c r="B61" s="19" t="s">
        <v>33</v>
      </c>
      <c r="C61" s="22"/>
      <c r="D61" s="625">
        <v>16</v>
      </c>
      <c r="E61" s="630">
        <f>2*E$3</f>
        <v>0</v>
      </c>
      <c r="F61" s="616">
        <v>0</v>
      </c>
      <c r="G61" s="21">
        <f t="shared" si="1"/>
        <v>16</v>
      </c>
      <c r="H61" s="625">
        <v>16</v>
      </c>
      <c r="I61" s="630">
        <f>2*I$3</f>
        <v>0</v>
      </c>
      <c r="J61" s="616">
        <v>0</v>
      </c>
      <c r="K61" s="21">
        <f t="shared" si="3"/>
        <v>16</v>
      </c>
    </row>
    <row r="62" spans="1:11" x14ac:dyDescent="0.25">
      <c r="A62" s="1970"/>
      <c r="B62" s="19" t="s">
        <v>34</v>
      </c>
      <c r="C62" s="22"/>
      <c r="D62" s="625">
        <v>32</v>
      </c>
      <c r="E62" s="630">
        <f>2*E$3</f>
        <v>0</v>
      </c>
      <c r="F62" s="616">
        <v>0</v>
      </c>
      <c r="G62" s="21">
        <f t="shared" si="1"/>
        <v>32</v>
      </c>
      <c r="H62" s="625">
        <v>32</v>
      </c>
      <c r="I62" s="630">
        <f>2*I$3</f>
        <v>0</v>
      </c>
      <c r="J62" s="616">
        <v>0</v>
      </c>
      <c r="K62" s="21">
        <f t="shared" si="3"/>
        <v>32</v>
      </c>
    </row>
    <row r="63" spans="1:11" x14ac:dyDescent="0.25">
      <c r="A63" s="1970" t="s">
        <v>451</v>
      </c>
      <c r="B63" s="19" t="s">
        <v>32</v>
      </c>
      <c r="C63" s="22"/>
      <c r="D63" s="482">
        <v>0.25</v>
      </c>
      <c r="E63" s="691">
        <v>0</v>
      </c>
      <c r="F63" s="495">
        <v>0</v>
      </c>
      <c r="G63" s="21">
        <f t="shared" si="1"/>
        <v>0.25</v>
      </c>
      <c r="H63" s="482">
        <v>0.25</v>
      </c>
      <c r="I63" s="691">
        <v>0</v>
      </c>
      <c r="J63" s="495">
        <v>0</v>
      </c>
      <c r="K63" s="21">
        <f t="shared" si="3"/>
        <v>0.25</v>
      </c>
    </row>
    <row r="64" spans="1:11" x14ac:dyDescent="0.25">
      <c r="A64" s="1970"/>
      <c r="B64" s="19" t="s">
        <v>33</v>
      </c>
      <c r="C64" s="22"/>
      <c r="D64" s="625">
        <v>0.5</v>
      </c>
      <c r="E64" s="691">
        <v>0</v>
      </c>
      <c r="F64" s="495">
        <v>0</v>
      </c>
      <c r="G64" s="21">
        <f t="shared" si="1"/>
        <v>0.5</v>
      </c>
      <c r="H64" s="625">
        <v>0.5</v>
      </c>
      <c r="I64" s="691">
        <v>0</v>
      </c>
      <c r="J64" s="495">
        <v>0</v>
      </c>
      <c r="K64" s="21">
        <f t="shared" si="3"/>
        <v>0.5</v>
      </c>
    </row>
    <row r="65" spans="1:11" x14ac:dyDescent="0.25">
      <c r="A65" s="1970"/>
      <c r="B65" s="19" t="s">
        <v>34</v>
      </c>
      <c r="C65" s="22"/>
      <c r="D65" s="625">
        <v>1</v>
      </c>
      <c r="E65" s="691">
        <v>0</v>
      </c>
      <c r="F65" s="495">
        <v>0</v>
      </c>
      <c r="G65" s="21">
        <f t="shared" si="1"/>
        <v>1</v>
      </c>
      <c r="H65" s="625">
        <v>1</v>
      </c>
      <c r="I65" s="691">
        <v>0</v>
      </c>
      <c r="J65" s="495">
        <v>0</v>
      </c>
      <c r="K65" s="21">
        <f t="shared" si="3"/>
        <v>1</v>
      </c>
    </row>
    <row r="66" spans="1:11" x14ac:dyDescent="0.25">
      <c r="A66" s="1970" t="s">
        <v>452</v>
      </c>
      <c r="B66" s="19" t="s">
        <v>32</v>
      </c>
      <c r="C66" s="22"/>
      <c r="D66" s="482">
        <v>0.25</v>
      </c>
      <c r="E66" s="691">
        <v>0</v>
      </c>
      <c r="F66" s="495">
        <v>0</v>
      </c>
      <c r="G66" s="21">
        <f t="shared" si="1"/>
        <v>0.25</v>
      </c>
      <c r="H66" s="482">
        <v>0.25</v>
      </c>
      <c r="I66" s="691">
        <v>0</v>
      </c>
      <c r="J66" s="495">
        <v>0</v>
      </c>
      <c r="K66" s="21">
        <f t="shared" si="3"/>
        <v>0.25</v>
      </c>
    </row>
    <row r="67" spans="1:11" x14ac:dyDescent="0.25">
      <c r="A67" s="1970"/>
      <c r="B67" s="19" t="s">
        <v>33</v>
      </c>
      <c r="C67" s="22"/>
      <c r="D67" s="625">
        <v>0.5</v>
      </c>
      <c r="E67" s="691">
        <v>0</v>
      </c>
      <c r="F67" s="495">
        <v>0</v>
      </c>
      <c r="G67" s="21">
        <f t="shared" si="1"/>
        <v>0.5</v>
      </c>
      <c r="H67" s="625">
        <v>0.5</v>
      </c>
      <c r="I67" s="691">
        <v>0</v>
      </c>
      <c r="J67" s="495">
        <v>0</v>
      </c>
      <c r="K67" s="21">
        <f t="shared" si="3"/>
        <v>0.5</v>
      </c>
    </row>
    <row r="68" spans="1:11" x14ac:dyDescent="0.25">
      <c r="A68" s="1970"/>
      <c r="B68" s="19" t="s">
        <v>34</v>
      </c>
      <c r="C68" s="22"/>
      <c r="D68" s="625">
        <v>1</v>
      </c>
      <c r="E68" s="691">
        <v>0</v>
      </c>
      <c r="F68" s="495">
        <v>0</v>
      </c>
      <c r="G68" s="21">
        <f t="shared" si="1"/>
        <v>1</v>
      </c>
      <c r="H68" s="625">
        <v>1</v>
      </c>
      <c r="I68" s="691">
        <v>0</v>
      </c>
      <c r="J68" s="495">
        <v>0</v>
      </c>
      <c r="K68" s="21">
        <f t="shared" si="3"/>
        <v>1</v>
      </c>
    </row>
    <row r="69" spans="1:11" x14ac:dyDescent="0.25">
      <c r="A69" s="1986"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86"/>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86"/>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70"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70"/>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70"/>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70"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70"/>
      <c r="B76" s="19" t="s">
        <v>33</v>
      </c>
      <c r="C76" s="22"/>
      <c r="D76" s="38" t="s">
        <v>90</v>
      </c>
      <c r="E76" s="38" t="s">
        <v>90</v>
      </c>
      <c r="F76" s="38" t="s">
        <v>90</v>
      </c>
      <c r="G76" s="21">
        <f t="shared" si="1"/>
        <v>0</v>
      </c>
      <c r="H76" s="38" t="s">
        <v>90</v>
      </c>
      <c r="I76" s="38" t="s">
        <v>90</v>
      </c>
      <c r="J76" s="38" t="s">
        <v>90</v>
      </c>
      <c r="K76" s="21">
        <f t="shared" si="3"/>
        <v>0</v>
      </c>
    </row>
    <row r="77" spans="1:11" x14ac:dyDescent="0.25">
      <c r="A77" s="1970"/>
      <c r="B77" s="13" t="s">
        <v>34</v>
      </c>
      <c r="C77" s="34"/>
      <c r="D77" s="38" t="s">
        <v>90</v>
      </c>
      <c r="E77" s="38" t="s">
        <v>90</v>
      </c>
      <c r="F77" s="38" t="s">
        <v>90</v>
      </c>
      <c r="G77" s="21">
        <f t="shared" si="1"/>
        <v>0</v>
      </c>
      <c r="H77" s="38" t="s">
        <v>90</v>
      </c>
      <c r="I77" s="38" t="s">
        <v>90</v>
      </c>
      <c r="J77" s="38" t="s">
        <v>90</v>
      </c>
      <c r="K77" s="21">
        <f t="shared" si="3"/>
        <v>0</v>
      </c>
    </row>
    <row r="78" spans="1:11" x14ac:dyDescent="0.25">
      <c r="A78" s="1970"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70"/>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70"/>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70"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70"/>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70"/>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87"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87"/>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87"/>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0"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40"/>
      <c r="B89" s="19" t="s">
        <v>33</v>
      </c>
      <c r="C89" s="22"/>
      <c r="D89" s="678">
        <v>0.25</v>
      </c>
      <c r="E89" s="616">
        <v>0</v>
      </c>
      <c r="F89" s="623">
        <v>0</v>
      </c>
      <c r="G89" s="21">
        <f t="shared" si="1"/>
        <v>0.25</v>
      </c>
      <c r="H89" s="678">
        <v>0.25</v>
      </c>
      <c r="I89" s="616">
        <v>0</v>
      </c>
      <c r="J89" s="623">
        <v>0</v>
      </c>
      <c r="K89" s="21">
        <f t="shared" si="6"/>
        <v>0.25</v>
      </c>
    </row>
    <row r="90" spans="1:11" x14ac:dyDescent="0.25">
      <c r="A90" s="1940"/>
      <c r="B90" s="19" t="s">
        <v>34</v>
      </c>
      <c r="C90" s="22"/>
      <c r="D90" s="678">
        <v>0.25</v>
      </c>
      <c r="E90" s="616">
        <v>0</v>
      </c>
      <c r="F90" s="623">
        <v>0</v>
      </c>
      <c r="G90" s="21">
        <f t="shared" si="1"/>
        <v>0.25</v>
      </c>
      <c r="H90" s="678">
        <v>0.25</v>
      </c>
      <c r="I90" s="616">
        <v>0</v>
      </c>
      <c r="J90" s="623">
        <v>0</v>
      </c>
      <c r="K90" s="21">
        <f t="shared" si="6"/>
        <v>0.25</v>
      </c>
    </row>
    <row r="91" spans="1:11" x14ac:dyDescent="0.25">
      <c r="A91" s="1970"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70"/>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70"/>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70"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70"/>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70"/>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70" t="s">
        <v>26</v>
      </c>
      <c r="B97" s="19" t="s">
        <v>32</v>
      </c>
      <c r="C97" s="22"/>
      <c r="D97" s="640">
        <v>14</v>
      </c>
      <c r="E97" s="625">
        <v>0</v>
      </c>
      <c r="F97" s="625">
        <v>0</v>
      </c>
      <c r="G97" s="21">
        <f t="shared" si="9"/>
        <v>14</v>
      </c>
      <c r="H97" s="640">
        <v>14</v>
      </c>
      <c r="I97" s="625">
        <v>0</v>
      </c>
      <c r="J97" s="625">
        <v>0</v>
      </c>
      <c r="K97" s="21">
        <f t="shared" si="10"/>
        <v>14</v>
      </c>
    </row>
    <row r="98" spans="1:11" x14ac:dyDescent="0.25">
      <c r="A98" s="1970"/>
      <c r="B98" s="19" t="s">
        <v>33</v>
      </c>
      <c r="C98" s="22"/>
      <c r="D98" s="640">
        <v>26</v>
      </c>
      <c r="E98" s="625">
        <v>0</v>
      </c>
      <c r="F98" s="625">
        <v>0</v>
      </c>
      <c r="G98" s="21">
        <f t="shared" si="9"/>
        <v>26</v>
      </c>
      <c r="H98" s="640">
        <v>26</v>
      </c>
      <c r="I98" s="625">
        <v>0</v>
      </c>
      <c r="J98" s="625">
        <v>0</v>
      </c>
      <c r="K98" s="21">
        <f t="shared" si="10"/>
        <v>26</v>
      </c>
    </row>
    <row r="99" spans="1:11" x14ac:dyDescent="0.25">
      <c r="A99" s="1970"/>
      <c r="B99" s="19" t="s">
        <v>34</v>
      </c>
      <c r="C99" s="22"/>
      <c r="D99" s="640">
        <v>34</v>
      </c>
      <c r="E99" s="625">
        <v>0</v>
      </c>
      <c r="F99" s="625">
        <v>0</v>
      </c>
      <c r="G99" s="21">
        <f t="shared" si="9"/>
        <v>34</v>
      </c>
      <c r="H99" s="640">
        <v>34</v>
      </c>
      <c r="I99" s="625">
        <v>0</v>
      </c>
      <c r="J99" s="625">
        <v>0</v>
      </c>
      <c r="K99" s="21">
        <f t="shared" si="10"/>
        <v>34</v>
      </c>
    </row>
    <row r="100" spans="1:11" x14ac:dyDescent="0.25">
      <c r="A100" s="1970" t="s">
        <v>27</v>
      </c>
      <c r="B100" s="19" t="s">
        <v>32</v>
      </c>
      <c r="C100" s="22"/>
      <c r="D100" s="640">
        <v>8</v>
      </c>
      <c r="E100" s="625">
        <v>0</v>
      </c>
      <c r="F100" s="625">
        <v>0</v>
      </c>
      <c r="G100" s="21">
        <f t="shared" si="9"/>
        <v>8</v>
      </c>
      <c r="H100" s="640">
        <v>8</v>
      </c>
      <c r="I100" s="625">
        <v>0</v>
      </c>
      <c r="J100" s="625">
        <v>0</v>
      </c>
      <c r="K100" s="21">
        <f t="shared" si="10"/>
        <v>8</v>
      </c>
    </row>
    <row r="101" spans="1:11" x14ac:dyDescent="0.25">
      <c r="A101" s="1970"/>
      <c r="B101" s="19" t="s">
        <v>33</v>
      </c>
      <c r="C101" s="22"/>
      <c r="D101" s="640">
        <v>10</v>
      </c>
      <c r="E101" s="625">
        <v>0</v>
      </c>
      <c r="F101" s="625">
        <v>0</v>
      </c>
      <c r="G101" s="21">
        <f t="shared" si="9"/>
        <v>10</v>
      </c>
      <c r="H101" s="640">
        <v>10</v>
      </c>
      <c r="I101" s="625">
        <v>0</v>
      </c>
      <c r="J101" s="625">
        <v>0</v>
      </c>
      <c r="K101" s="21">
        <f t="shared" si="10"/>
        <v>10</v>
      </c>
    </row>
    <row r="102" spans="1:11" x14ac:dyDescent="0.25">
      <c r="A102" s="1970"/>
      <c r="B102" s="19" t="s">
        <v>34</v>
      </c>
      <c r="C102" s="22"/>
      <c r="D102" s="640">
        <v>14</v>
      </c>
      <c r="E102" s="625">
        <v>0</v>
      </c>
      <c r="F102" s="625">
        <v>0</v>
      </c>
      <c r="G102" s="21">
        <f t="shared" si="9"/>
        <v>14</v>
      </c>
      <c r="H102" s="640">
        <v>14</v>
      </c>
      <c r="I102" s="625">
        <v>0</v>
      </c>
      <c r="J102" s="625">
        <v>0</v>
      </c>
      <c r="K102" s="21">
        <f t="shared" si="10"/>
        <v>14</v>
      </c>
    </row>
    <row r="103" spans="1:11" x14ac:dyDescent="0.25">
      <c r="A103" s="1912"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912"/>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73"/>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22" t="str">
        <f>'Служебный АСУТП'!W2</f>
        <v>DCAP/DAG «СПЕКТР»</v>
      </c>
      <c r="E1" s="1923"/>
      <c r="F1" s="1923"/>
      <c r="G1" s="1924"/>
      <c r="H1" s="1922" t="str">
        <f>'Служебный АСУТП'!W3</f>
        <v>Solar DAG</v>
      </c>
      <c r="I1" s="1923"/>
      <c r="J1" s="1923"/>
      <c r="K1" s="1924"/>
      <c r="L1" s="1922" t="str">
        <f>'Служебный АСУТП'!W4</f>
        <v>Makves DCAP</v>
      </c>
      <c r="M1" s="1923"/>
      <c r="N1" s="1923"/>
      <c r="O1" s="1924"/>
    </row>
    <row r="2" spans="1:15" ht="15.75" x14ac:dyDescent="0.25">
      <c r="B2" s="41" t="s">
        <v>37</v>
      </c>
      <c r="C2" s="1932" t="s">
        <v>35</v>
      </c>
      <c r="D2" s="439" t="s">
        <v>440</v>
      </c>
      <c r="E2" s="191" t="s">
        <v>569</v>
      </c>
      <c r="F2" s="191" t="s">
        <v>441</v>
      </c>
      <c r="G2" s="1925" t="s">
        <v>38</v>
      </c>
      <c r="H2" s="439" t="s">
        <v>440</v>
      </c>
      <c r="I2" s="191" t="s">
        <v>569</v>
      </c>
      <c r="J2" s="191" t="s">
        <v>441</v>
      </c>
      <c r="K2" s="1925" t="s">
        <v>38</v>
      </c>
      <c r="L2" s="439" t="s">
        <v>440</v>
      </c>
      <c r="M2" s="191" t="s">
        <v>569</v>
      </c>
      <c r="N2" s="191" t="s">
        <v>441</v>
      </c>
      <c r="O2" s="1925" t="s">
        <v>38</v>
      </c>
    </row>
    <row r="3" spans="1:15"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row>
    <row r="4" spans="1:15" ht="16.5" thickBot="1" x14ac:dyDescent="0.3">
      <c r="A4" s="326" t="s">
        <v>448</v>
      </c>
      <c r="B4" s="327"/>
      <c r="C4" s="327"/>
      <c r="D4" s="327"/>
      <c r="E4" s="327"/>
      <c r="F4" s="327"/>
      <c r="G4" s="327"/>
      <c r="H4" s="327"/>
      <c r="I4" s="327"/>
      <c r="J4" s="327"/>
      <c r="K4" s="327"/>
      <c r="L4" s="327"/>
      <c r="M4" s="327"/>
      <c r="N4" s="327"/>
      <c r="O4" s="396"/>
    </row>
    <row r="5" spans="1:15" x14ac:dyDescent="0.25">
      <c r="A5" s="1985"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71"/>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71"/>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40"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40"/>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38"/>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308"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40"/>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40"/>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72"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72"/>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72"/>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72"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72"/>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72"/>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72"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72"/>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72"/>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72"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72"/>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72"/>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72"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72"/>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72"/>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72"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72"/>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72"/>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72"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72"/>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39"/>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40"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40"/>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40"/>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40"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40"/>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40"/>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71"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71"/>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71"/>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71"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71"/>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71"/>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71"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71"/>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71"/>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71"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71"/>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71"/>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71"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71"/>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71"/>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71"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71"/>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71"/>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71"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71"/>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71"/>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71"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71"/>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71"/>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74"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74"/>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74"/>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71"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71"/>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71"/>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71"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71"/>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71"/>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71"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71"/>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71"/>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71"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71"/>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71"/>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41"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41"/>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41"/>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40"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40"/>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40"/>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71"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71"/>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71"/>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71"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71"/>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71"/>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71"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71"/>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71"/>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71"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71"/>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71"/>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40"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40"/>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38"/>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22" t="str">
        <f>'Служебный АСУТП'!Y2</f>
        <v>Kaspersky Industrial CyberSecurity for Networks</v>
      </c>
      <c r="E1" s="1923"/>
      <c r="F1" s="1923"/>
      <c r="G1" s="1924"/>
      <c r="H1" s="1922" t="str">
        <f>'Служебный АСУТП'!Y3</f>
        <v>PT ISIM</v>
      </c>
      <c r="I1" s="1923"/>
      <c r="J1" s="1923"/>
      <c r="K1" s="1924"/>
      <c r="L1" s="1922" t="str">
        <f>'Служебный АСУТП'!Y4</f>
        <v>PT NAD</v>
      </c>
      <c r="M1" s="1923"/>
      <c r="N1" s="1923"/>
      <c r="O1" s="1924"/>
      <c r="P1" s="1922" t="str">
        <f>'Служебный АСУТП'!Y5</f>
        <v>Гарда Монитор</v>
      </c>
      <c r="Q1" s="1923"/>
      <c r="R1" s="1923"/>
      <c r="S1" s="1924"/>
    </row>
    <row r="2" spans="1:19" ht="15" customHeight="1" x14ac:dyDescent="0.25">
      <c r="B2" s="41" t="s">
        <v>37</v>
      </c>
      <c r="C2" s="1932" t="s">
        <v>35</v>
      </c>
      <c r="D2" s="684" t="s">
        <v>582</v>
      </c>
      <c r="E2" s="548" t="s">
        <v>583</v>
      </c>
      <c r="F2" s="548" t="s">
        <v>442</v>
      </c>
      <c r="G2" s="1925" t="s">
        <v>38</v>
      </c>
      <c r="H2" s="684" t="s">
        <v>582</v>
      </c>
      <c r="I2" s="548" t="s">
        <v>583</v>
      </c>
      <c r="J2" s="548" t="s">
        <v>442</v>
      </c>
      <c r="K2" s="1925" t="s">
        <v>38</v>
      </c>
      <c r="L2" s="684" t="s">
        <v>582</v>
      </c>
      <c r="M2" s="548" t="s">
        <v>583</v>
      </c>
      <c r="N2" s="548" t="s">
        <v>442</v>
      </c>
      <c r="O2" s="1925" t="s">
        <v>38</v>
      </c>
      <c r="P2" s="684" t="s">
        <v>582</v>
      </c>
      <c r="Q2" s="548" t="s">
        <v>583</v>
      </c>
      <c r="R2" s="548" t="s">
        <v>442</v>
      </c>
      <c r="S2" s="1925" t="s">
        <v>38</v>
      </c>
    </row>
    <row r="3" spans="1:19"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c r="P3" s="37">
        <f>INDEX(ТрЗ_ОП!$P$11:$P$102,MATCH(P2,ТрЗ_ОП!$O$11:$O$102,0))</f>
        <v>0</v>
      </c>
      <c r="Q3" s="37">
        <f>INDEX(ТрЗ_ОП!$P$11:$P$102,MATCH(Q2,ТрЗ_ОП!$O$11:$O$102,0))</f>
        <v>0</v>
      </c>
      <c r="R3" s="37">
        <f>INDEX(ТрЗ_ОП!$P$11:$P$102,MATCH(R2,ТрЗ_ОП!$O$11:$O$102,0))</f>
        <v>0</v>
      </c>
      <c r="S3" s="1925"/>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37"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40"/>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75"/>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40"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40"/>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40"/>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40"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40"/>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40"/>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36"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72"/>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72"/>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72"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72"/>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72"/>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72"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72"/>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72"/>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72"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72"/>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72"/>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72"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72"/>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72"/>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72"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72"/>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72"/>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72"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72"/>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39"/>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40"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40"/>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40"/>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40"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40"/>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40"/>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71"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71"/>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71"/>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71"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71"/>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71"/>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71"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71"/>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71"/>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71"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71"/>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71"/>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71"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71"/>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71"/>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71"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71"/>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71"/>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71"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71"/>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71"/>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71"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71"/>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71"/>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74"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74"/>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74"/>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71"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71"/>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71"/>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71"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71"/>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71"/>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71"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71"/>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71"/>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71"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71"/>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71"/>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41"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41"/>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41"/>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40"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40"/>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40"/>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71"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71"/>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71"/>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71"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71"/>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71"/>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71"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71"/>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71"/>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71"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71"/>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71"/>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40"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40"/>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38"/>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22" t="str">
        <f>'Служебный АСУТП'!Z2</f>
        <v>Kaspersky Secure Mail Gateway</v>
      </c>
      <c r="E1" s="1923"/>
      <c r="F1" s="1923"/>
      <c r="G1" s="1924"/>
    </row>
    <row r="2" spans="1:7" ht="15.75" x14ac:dyDescent="0.25">
      <c r="B2" s="41" t="s">
        <v>37</v>
      </c>
      <c r="C2" s="1932" t="s">
        <v>35</v>
      </c>
      <c r="D2" s="439" t="s">
        <v>443</v>
      </c>
      <c r="E2" s="191" t="s">
        <v>570</v>
      </c>
      <c r="F2" s="546" t="s">
        <v>444</v>
      </c>
      <c r="G2" s="2324" t="s">
        <v>38</v>
      </c>
    </row>
    <row r="3" spans="1:7" ht="16.5" thickBot="1" x14ac:dyDescent="0.3">
      <c r="A3" s="12" t="s">
        <v>36</v>
      </c>
      <c r="B3" s="295">
        <f>ТрЗ_ОП!F5</f>
        <v>1</v>
      </c>
      <c r="C3" s="1933"/>
      <c r="D3" s="37">
        <f>INDEX(ТрЗ_ОП!$P$11:$P$102,MATCH(D2,ТрЗ_ОП!$O$11:$O$102,0))</f>
        <v>0</v>
      </c>
      <c r="E3" s="37">
        <f>INDEX(ТрЗ_ОП!$P$11:$P$102,MATCH(E2,ТрЗ_ОП!$O$11:$O$102,0))</f>
        <v>0</v>
      </c>
      <c r="F3" s="264">
        <f>INDEX(ТрЗ_ОП!$P$11:$P$102,MATCH(F2,ТрЗ_ОП!$O$11:$O$102,0))</f>
        <v>0</v>
      </c>
      <c r="G3" s="2322"/>
    </row>
    <row r="4" spans="1:7" ht="16.5" thickBot="1" x14ac:dyDescent="0.3">
      <c r="A4" s="326" t="s">
        <v>448</v>
      </c>
      <c r="B4" s="327"/>
      <c r="C4" s="327"/>
      <c r="D4" s="327"/>
      <c r="E4" s="327"/>
      <c r="F4" s="327"/>
      <c r="G4" s="396"/>
    </row>
    <row r="5" spans="1:7" x14ac:dyDescent="0.25">
      <c r="A5" s="1930" t="s">
        <v>0</v>
      </c>
      <c r="B5" s="404" t="s">
        <v>32</v>
      </c>
      <c r="C5" s="324"/>
      <c r="D5" s="405">
        <v>2</v>
      </c>
      <c r="E5" s="405">
        <v>0.5</v>
      </c>
      <c r="F5" s="405">
        <v>0</v>
      </c>
      <c r="G5" s="230">
        <f xml:space="preserve"> SUM(D5:F5) + $C5</f>
        <v>2.5</v>
      </c>
    </row>
    <row r="6" spans="1:7" x14ac:dyDescent="0.25">
      <c r="A6" s="1927"/>
      <c r="B6" s="19" t="s">
        <v>33</v>
      </c>
      <c r="C6" s="22"/>
      <c r="D6" s="11">
        <v>4</v>
      </c>
      <c r="E6" s="11">
        <v>0.5</v>
      </c>
      <c r="F6" s="11">
        <v>0</v>
      </c>
      <c r="G6" s="21">
        <f xml:space="preserve"> SUM(D6:F6) + $C6</f>
        <v>4.5</v>
      </c>
    </row>
    <row r="7" spans="1:7" x14ac:dyDescent="0.25">
      <c r="A7" s="1936"/>
      <c r="B7" s="13" t="s">
        <v>34</v>
      </c>
      <c r="C7" s="34"/>
      <c r="D7" s="11">
        <v>8</v>
      </c>
      <c r="E7" s="11">
        <v>0.5</v>
      </c>
      <c r="F7" s="222">
        <v>0</v>
      </c>
      <c r="G7" s="77">
        <f xml:space="preserve"> SUM(D7:F7) + $C7</f>
        <v>8.5</v>
      </c>
    </row>
    <row r="8" spans="1:7" x14ac:dyDescent="0.25">
      <c r="A8" s="1940" t="s">
        <v>449</v>
      </c>
      <c r="B8" s="404" t="s">
        <v>32</v>
      </c>
      <c r="C8" s="324"/>
      <c r="D8" s="405">
        <v>2</v>
      </c>
      <c r="E8" s="405">
        <v>0.5</v>
      </c>
      <c r="F8" s="405">
        <v>0</v>
      </c>
      <c r="G8" s="230">
        <f xml:space="preserve"> SUM(D8:F8) + $C8</f>
        <v>2.5</v>
      </c>
    </row>
    <row r="9" spans="1:7" x14ac:dyDescent="0.25">
      <c r="A9" s="1940"/>
      <c r="B9" s="19" t="s">
        <v>33</v>
      </c>
      <c r="C9" s="22"/>
      <c r="D9" s="11">
        <v>4</v>
      </c>
      <c r="E9" s="11">
        <v>0.5</v>
      </c>
      <c r="F9" s="11">
        <v>0</v>
      </c>
      <c r="G9" s="21">
        <f t="shared" ref="G9:G93" si="0" xml:space="preserve"> SUM(D9:F9) + $C9</f>
        <v>4.5</v>
      </c>
    </row>
    <row r="10" spans="1:7" ht="15.75" thickBot="1" x14ac:dyDescent="0.3">
      <c r="A10" s="1940"/>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40" t="s">
        <v>2</v>
      </c>
      <c r="B12" s="404" t="s">
        <v>32</v>
      </c>
      <c r="C12" s="324"/>
      <c r="D12" s="423">
        <f>D22*0.7</f>
        <v>5.6</v>
      </c>
      <c r="E12" s="423">
        <f>E$22*0.7</f>
        <v>0</v>
      </c>
      <c r="F12" s="405">
        <f>F22*0.7</f>
        <v>0</v>
      </c>
      <c r="G12" s="230">
        <f t="shared" si="0"/>
        <v>5.6</v>
      </c>
    </row>
    <row r="13" spans="1:7" x14ac:dyDescent="0.25">
      <c r="A13" s="1940"/>
      <c r="B13" s="19" t="s">
        <v>33</v>
      </c>
      <c r="C13" s="22"/>
      <c r="D13" s="123">
        <f>D23*0.7</f>
        <v>8.3999999999999986</v>
      </c>
      <c r="E13" s="123">
        <f>E$23*0.7</f>
        <v>0</v>
      </c>
      <c r="F13" s="11">
        <f>F23*0.7</f>
        <v>0</v>
      </c>
      <c r="G13" s="21">
        <f t="shared" si="0"/>
        <v>8.3999999999999986</v>
      </c>
    </row>
    <row r="14" spans="1:7" ht="15.75" thickBot="1" x14ac:dyDescent="0.3">
      <c r="A14" s="1940"/>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36" t="s">
        <v>4</v>
      </c>
      <c r="B16" s="325" t="s">
        <v>32</v>
      </c>
      <c r="C16" s="324"/>
      <c r="D16" s="427">
        <v>0.25</v>
      </c>
      <c r="E16" s="540">
        <v>0</v>
      </c>
      <c r="F16" s="428">
        <v>0</v>
      </c>
      <c r="G16" s="230">
        <f t="shared" si="0"/>
        <v>0.25</v>
      </c>
    </row>
    <row r="17" spans="1:7" x14ac:dyDescent="0.25">
      <c r="A17" s="1972"/>
      <c r="B17" s="18" t="s">
        <v>33</v>
      </c>
      <c r="C17" s="22"/>
      <c r="D17" s="427">
        <v>0.25</v>
      </c>
      <c r="E17" s="15">
        <v>0</v>
      </c>
      <c r="F17" s="33">
        <v>0</v>
      </c>
      <c r="G17" s="21">
        <f t="shared" si="0"/>
        <v>0.25</v>
      </c>
    </row>
    <row r="18" spans="1:7" x14ac:dyDescent="0.25">
      <c r="A18" s="1972"/>
      <c r="B18" s="18" t="s">
        <v>34</v>
      </c>
      <c r="C18" s="22"/>
      <c r="D18" s="427">
        <v>0.25</v>
      </c>
      <c r="E18" s="15">
        <v>0</v>
      </c>
      <c r="F18" s="33">
        <v>0</v>
      </c>
      <c r="G18" s="21">
        <f t="shared" si="0"/>
        <v>0.25</v>
      </c>
    </row>
    <row r="19" spans="1:7" x14ac:dyDescent="0.25">
      <c r="A19" s="1972" t="s">
        <v>5</v>
      </c>
      <c r="B19" s="19" t="s">
        <v>32</v>
      </c>
      <c r="C19" s="22"/>
      <c r="D19" s="38">
        <v>1</v>
      </c>
      <c r="E19" s="15">
        <v>0</v>
      </c>
      <c r="F19" s="33">
        <v>0</v>
      </c>
      <c r="G19" s="21">
        <f t="shared" si="0"/>
        <v>1</v>
      </c>
    </row>
    <row r="20" spans="1:7" x14ac:dyDescent="0.25">
      <c r="A20" s="1972"/>
      <c r="B20" s="19" t="s">
        <v>33</v>
      </c>
      <c r="C20" s="22"/>
      <c r="D20" s="38">
        <v>2</v>
      </c>
      <c r="E20" s="15">
        <v>0</v>
      </c>
      <c r="F20" s="33">
        <v>0</v>
      </c>
      <c r="G20" s="21">
        <f t="shared" si="0"/>
        <v>2</v>
      </c>
    </row>
    <row r="21" spans="1:7" x14ac:dyDescent="0.25">
      <c r="A21" s="1972"/>
      <c r="B21" s="19" t="s">
        <v>34</v>
      </c>
      <c r="C21" s="22"/>
      <c r="D21" s="38">
        <v>3</v>
      </c>
      <c r="E21" s="15">
        <v>0</v>
      </c>
      <c r="F21" s="33">
        <v>0</v>
      </c>
      <c r="G21" s="21">
        <f t="shared" si="0"/>
        <v>3</v>
      </c>
    </row>
    <row r="22" spans="1:7" x14ac:dyDescent="0.25">
      <c r="A22" s="1972" t="s">
        <v>6</v>
      </c>
      <c r="B22" s="19" t="s">
        <v>32</v>
      </c>
      <c r="C22" s="22"/>
      <c r="D22" s="11">
        <v>8</v>
      </c>
      <c r="E22" s="123">
        <f>2*E$3</f>
        <v>0</v>
      </c>
      <c r="F22" s="11">
        <v>0</v>
      </c>
      <c r="G22" s="21">
        <f t="shared" si="0"/>
        <v>8</v>
      </c>
    </row>
    <row r="23" spans="1:7" x14ac:dyDescent="0.25">
      <c r="A23" s="1972"/>
      <c r="B23" s="19" t="s">
        <v>33</v>
      </c>
      <c r="C23" s="22"/>
      <c r="D23" s="11">
        <v>12</v>
      </c>
      <c r="E23" s="123">
        <f>2*E$3</f>
        <v>0</v>
      </c>
      <c r="F23" s="11">
        <v>0</v>
      </c>
      <c r="G23" s="21">
        <f t="shared" si="0"/>
        <v>12</v>
      </c>
    </row>
    <row r="24" spans="1:7" x14ac:dyDescent="0.25">
      <c r="A24" s="1972"/>
      <c r="B24" s="19" t="s">
        <v>34</v>
      </c>
      <c r="C24" s="22"/>
      <c r="D24" s="11">
        <v>14</v>
      </c>
      <c r="E24" s="123">
        <f>2*E$3</f>
        <v>0</v>
      </c>
      <c r="F24" s="11">
        <v>0</v>
      </c>
      <c r="G24" s="21">
        <f t="shared" si="0"/>
        <v>14</v>
      </c>
    </row>
    <row r="25" spans="1:7" x14ac:dyDescent="0.25">
      <c r="A25" s="1972" t="s">
        <v>7</v>
      </c>
      <c r="B25" s="19" t="s">
        <v>32</v>
      </c>
      <c r="C25" s="22"/>
      <c r="D25" s="38">
        <v>4</v>
      </c>
      <c r="E25" s="15">
        <v>0</v>
      </c>
      <c r="F25" s="33">
        <v>0</v>
      </c>
      <c r="G25" s="21">
        <f t="shared" si="0"/>
        <v>4</v>
      </c>
    </row>
    <row r="26" spans="1:7" x14ac:dyDescent="0.25">
      <c r="A26" s="1972"/>
      <c r="B26" s="19" t="s">
        <v>33</v>
      </c>
      <c r="C26" s="22"/>
      <c r="D26" s="38">
        <v>6</v>
      </c>
      <c r="E26" s="15">
        <v>0</v>
      </c>
      <c r="F26" s="33">
        <v>0</v>
      </c>
      <c r="G26" s="21">
        <f t="shared" si="0"/>
        <v>6</v>
      </c>
    </row>
    <row r="27" spans="1:7" x14ac:dyDescent="0.25">
      <c r="A27" s="1972"/>
      <c r="B27" s="19" t="s">
        <v>34</v>
      </c>
      <c r="C27" s="22"/>
      <c r="D27" s="38">
        <v>8</v>
      </c>
      <c r="E27" s="15">
        <v>0</v>
      </c>
      <c r="F27" s="33">
        <v>0</v>
      </c>
      <c r="G27" s="21">
        <f t="shared" si="0"/>
        <v>8</v>
      </c>
    </row>
    <row r="28" spans="1:7" x14ac:dyDescent="0.25">
      <c r="A28" s="1972" t="s">
        <v>8</v>
      </c>
      <c r="B28" s="19" t="s">
        <v>32</v>
      </c>
      <c r="C28" s="22"/>
      <c r="D28" s="38">
        <v>3</v>
      </c>
      <c r="E28" s="15">
        <v>0</v>
      </c>
      <c r="F28" s="33">
        <v>0</v>
      </c>
      <c r="G28" s="21">
        <f t="shared" si="0"/>
        <v>3</v>
      </c>
    </row>
    <row r="29" spans="1:7" x14ac:dyDescent="0.25">
      <c r="A29" s="1972"/>
      <c r="B29" s="19" t="s">
        <v>33</v>
      </c>
      <c r="C29" s="22"/>
      <c r="D29" s="38">
        <v>4</v>
      </c>
      <c r="E29" s="15">
        <v>0</v>
      </c>
      <c r="F29" s="33">
        <v>0</v>
      </c>
      <c r="G29" s="21">
        <f t="shared" si="0"/>
        <v>4</v>
      </c>
    </row>
    <row r="30" spans="1:7" x14ac:dyDescent="0.25">
      <c r="A30" s="1972"/>
      <c r="B30" s="19" t="s">
        <v>34</v>
      </c>
      <c r="C30" s="22"/>
      <c r="D30" s="38">
        <v>6</v>
      </c>
      <c r="E30" s="15">
        <v>0</v>
      </c>
      <c r="F30" s="33">
        <v>0</v>
      </c>
      <c r="G30" s="21">
        <f t="shared" si="0"/>
        <v>6</v>
      </c>
    </row>
    <row r="31" spans="1:7" x14ac:dyDescent="0.25">
      <c r="A31" s="1972" t="s">
        <v>9</v>
      </c>
      <c r="B31" s="19" t="s">
        <v>32</v>
      </c>
      <c r="C31" s="22"/>
      <c r="D31" s="124">
        <f>1+(0.5*D$3)</f>
        <v>1</v>
      </c>
      <c r="E31" s="15">
        <v>0</v>
      </c>
      <c r="F31" s="15">
        <v>0</v>
      </c>
      <c r="G31" s="21">
        <f t="shared" si="0"/>
        <v>1</v>
      </c>
    </row>
    <row r="32" spans="1:7" x14ac:dyDescent="0.25">
      <c r="A32" s="1972"/>
      <c r="B32" s="19" t="s">
        <v>33</v>
      </c>
      <c r="C32" s="22"/>
      <c r="D32" s="124">
        <f>3+(0.5*D$3)</f>
        <v>3</v>
      </c>
      <c r="E32" s="15">
        <v>0</v>
      </c>
      <c r="F32" s="15">
        <v>0</v>
      </c>
      <c r="G32" s="21">
        <f t="shared" si="0"/>
        <v>3</v>
      </c>
    </row>
    <row r="33" spans="1:7" x14ac:dyDescent="0.25">
      <c r="A33" s="1972"/>
      <c r="B33" s="19" t="s">
        <v>34</v>
      </c>
      <c r="C33" s="22"/>
      <c r="D33" s="124">
        <f>5+(0.5*D$3)</f>
        <v>5</v>
      </c>
      <c r="E33" s="15">
        <v>0</v>
      </c>
      <c r="F33" s="15">
        <v>0</v>
      </c>
      <c r="G33" s="21">
        <f t="shared" si="0"/>
        <v>5</v>
      </c>
    </row>
    <row r="34" spans="1:7" x14ac:dyDescent="0.25">
      <c r="A34" s="1972" t="s">
        <v>10</v>
      </c>
      <c r="B34" s="19" t="s">
        <v>32</v>
      </c>
      <c r="C34" s="22"/>
      <c r="D34" s="38">
        <v>2</v>
      </c>
      <c r="E34" s="15">
        <v>0</v>
      </c>
      <c r="F34" s="15">
        <v>0</v>
      </c>
      <c r="G34" s="21">
        <f t="shared" si="0"/>
        <v>2</v>
      </c>
    </row>
    <row r="35" spans="1:7" x14ac:dyDescent="0.25">
      <c r="A35" s="1972"/>
      <c r="B35" s="19" t="s">
        <v>33</v>
      </c>
      <c r="C35" s="22"/>
      <c r="D35" s="38">
        <v>2</v>
      </c>
      <c r="E35" s="15">
        <v>0</v>
      </c>
      <c r="F35" s="15">
        <v>0</v>
      </c>
      <c r="G35" s="21">
        <f t="shared" si="0"/>
        <v>2</v>
      </c>
    </row>
    <row r="36" spans="1:7" ht="15.75" thickBot="1" x14ac:dyDescent="0.3">
      <c r="A36" s="1939"/>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40" t="s">
        <v>12</v>
      </c>
      <c r="B38" s="404" t="s">
        <v>32</v>
      </c>
      <c r="C38" s="324"/>
      <c r="D38" s="405">
        <v>8</v>
      </c>
      <c r="E38" s="423">
        <f>2*E$3</f>
        <v>0</v>
      </c>
      <c r="F38" s="405">
        <v>0</v>
      </c>
      <c r="G38" s="230">
        <f t="shared" si="0"/>
        <v>8</v>
      </c>
    </row>
    <row r="39" spans="1:7" x14ac:dyDescent="0.25">
      <c r="A39" s="1940"/>
      <c r="B39" s="19" t="s">
        <v>33</v>
      </c>
      <c r="C39" s="22"/>
      <c r="D39" s="11">
        <v>12</v>
      </c>
      <c r="E39" s="423">
        <f>2*E$3</f>
        <v>0</v>
      </c>
      <c r="F39" s="11">
        <v>0</v>
      </c>
      <c r="G39" s="21">
        <f t="shared" si="0"/>
        <v>12</v>
      </c>
    </row>
    <row r="40" spans="1:7" ht="15.75" thickBot="1" x14ac:dyDescent="0.3">
      <c r="A40" s="1940"/>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40" t="s">
        <v>14</v>
      </c>
      <c r="B42" s="404" t="s">
        <v>32</v>
      </c>
      <c r="C42" s="324"/>
      <c r="D42" s="38">
        <v>1</v>
      </c>
      <c r="E42" s="15">
        <v>0</v>
      </c>
      <c r="F42" s="33">
        <v>0</v>
      </c>
      <c r="G42" s="230">
        <f t="shared" si="0"/>
        <v>1</v>
      </c>
    </row>
    <row r="43" spans="1:7" x14ac:dyDescent="0.25">
      <c r="A43" s="1940"/>
      <c r="B43" s="19" t="s">
        <v>33</v>
      </c>
      <c r="C43" s="22"/>
      <c r="D43" s="38">
        <v>2</v>
      </c>
      <c r="E43" s="15">
        <v>0</v>
      </c>
      <c r="F43" s="33">
        <v>0</v>
      </c>
      <c r="G43" s="21">
        <f t="shared" si="0"/>
        <v>2</v>
      </c>
    </row>
    <row r="44" spans="1:7" x14ac:dyDescent="0.25">
      <c r="A44" s="1940"/>
      <c r="B44" s="19" t="s">
        <v>34</v>
      </c>
      <c r="C44" s="22"/>
      <c r="D44" s="38">
        <v>3</v>
      </c>
      <c r="E44" s="15">
        <v>0</v>
      </c>
      <c r="F44" s="33">
        <v>0</v>
      </c>
      <c r="G44" s="21">
        <f t="shared" si="0"/>
        <v>3</v>
      </c>
    </row>
    <row r="45" spans="1:7" x14ac:dyDescent="0.25">
      <c r="A45" s="1971" t="s">
        <v>15</v>
      </c>
      <c r="B45" s="19" t="s">
        <v>32</v>
      </c>
      <c r="C45" s="22"/>
      <c r="D45" s="38">
        <v>8</v>
      </c>
      <c r="E45" s="423">
        <f>4*E$3</f>
        <v>0</v>
      </c>
      <c r="F45" s="15">
        <v>0</v>
      </c>
      <c r="G45" s="21">
        <f t="shared" si="0"/>
        <v>8</v>
      </c>
    </row>
    <row r="46" spans="1:7" x14ac:dyDescent="0.25">
      <c r="A46" s="1971"/>
      <c r="B46" s="19" t="s">
        <v>33</v>
      </c>
      <c r="C46" s="22"/>
      <c r="D46" s="38">
        <v>16</v>
      </c>
      <c r="E46" s="423">
        <f>4*E$3</f>
        <v>0</v>
      </c>
      <c r="F46" s="15">
        <v>0</v>
      </c>
      <c r="G46" s="21">
        <f t="shared" si="0"/>
        <v>16</v>
      </c>
    </row>
    <row r="47" spans="1:7" x14ac:dyDescent="0.25">
      <c r="A47" s="1971"/>
      <c r="B47" s="19" t="s">
        <v>34</v>
      </c>
      <c r="C47" s="22"/>
      <c r="D47" s="38">
        <v>24</v>
      </c>
      <c r="E47" s="423">
        <f>4*E$3</f>
        <v>0</v>
      </c>
      <c r="F47" s="15">
        <v>0</v>
      </c>
      <c r="G47" s="21">
        <f t="shared" si="0"/>
        <v>24</v>
      </c>
    </row>
    <row r="48" spans="1:7" x14ac:dyDescent="0.25">
      <c r="A48" s="1971" t="s">
        <v>16</v>
      </c>
      <c r="B48" s="19" t="s">
        <v>32</v>
      </c>
      <c r="C48" s="22"/>
      <c r="D48" s="124">
        <f>1*D$3+(0.5*E$3)</f>
        <v>0</v>
      </c>
      <c r="E48" s="15">
        <v>0</v>
      </c>
      <c r="F48" s="33">
        <v>0</v>
      </c>
      <c r="G48" s="21">
        <f t="shared" si="0"/>
        <v>0</v>
      </c>
    </row>
    <row r="49" spans="1:7" x14ac:dyDescent="0.25">
      <c r="A49" s="1971"/>
      <c r="B49" s="19" t="s">
        <v>33</v>
      </c>
      <c r="C49" s="22"/>
      <c r="D49" s="124">
        <f>1*D$3+(0.5*E$3)</f>
        <v>0</v>
      </c>
      <c r="E49" s="15">
        <v>0</v>
      </c>
      <c r="F49" s="33">
        <v>0</v>
      </c>
      <c r="G49" s="21">
        <f t="shared" si="0"/>
        <v>0</v>
      </c>
    </row>
    <row r="50" spans="1:7" x14ac:dyDescent="0.25">
      <c r="A50" s="1971"/>
      <c r="B50" s="19" t="s">
        <v>34</v>
      </c>
      <c r="C50" s="22"/>
      <c r="D50" s="124">
        <f>2*D$3+(0.5*E$3)</f>
        <v>0</v>
      </c>
      <c r="E50" s="15">
        <v>0</v>
      </c>
      <c r="F50" s="33">
        <v>0</v>
      </c>
      <c r="G50" s="21">
        <f t="shared" si="0"/>
        <v>0</v>
      </c>
    </row>
    <row r="51" spans="1:7" x14ac:dyDescent="0.25">
      <c r="A51" s="1971" t="s">
        <v>17</v>
      </c>
      <c r="B51" s="19" t="s">
        <v>32</v>
      </c>
      <c r="C51" s="22"/>
      <c r="D51" s="124">
        <f>1*D$3+(0.5*E$3)</f>
        <v>0</v>
      </c>
      <c r="E51" s="15">
        <v>0</v>
      </c>
      <c r="F51" s="15">
        <v>0</v>
      </c>
      <c r="G51" s="21">
        <f t="shared" si="0"/>
        <v>0</v>
      </c>
    </row>
    <row r="52" spans="1:7" x14ac:dyDescent="0.25">
      <c r="A52" s="1971"/>
      <c r="B52" s="19" t="s">
        <v>33</v>
      </c>
      <c r="C52" s="22"/>
      <c r="D52" s="124">
        <f>1*D$3+(0.5*E$3)</f>
        <v>0</v>
      </c>
      <c r="E52" s="15">
        <v>0</v>
      </c>
      <c r="F52" s="15">
        <v>0</v>
      </c>
      <c r="G52" s="21">
        <f t="shared" si="0"/>
        <v>0</v>
      </c>
    </row>
    <row r="53" spans="1:7" x14ac:dyDescent="0.25">
      <c r="A53" s="1971"/>
      <c r="B53" s="19" t="s">
        <v>34</v>
      </c>
      <c r="C53" s="22"/>
      <c r="D53" s="124">
        <f>2*D$3+(0.5*E$3)</f>
        <v>0</v>
      </c>
      <c r="E53" s="15">
        <v>0</v>
      </c>
      <c r="F53" s="15">
        <v>0</v>
      </c>
      <c r="G53" s="21">
        <f t="shared" si="0"/>
        <v>0</v>
      </c>
    </row>
    <row r="54" spans="1:7" x14ac:dyDescent="0.25">
      <c r="A54" s="1971" t="s">
        <v>18</v>
      </c>
      <c r="B54" s="19" t="s">
        <v>32</v>
      </c>
      <c r="C54" s="22"/>
      <c r="D54" s="124">
        <f>1*D$3</f>
        <v>0</v>
      </c>
      <c r="E54" s="15">
        <v>0</v>
      </c>
      <c r="F54" s="15">
        <v>0</v>
      </c>
      <c r="G54" s="21">
        <f t="shared" si="0"/>
        <v>0</v>
      </c>
    </row>
    <row r="55" spans="1:7" x14ac:dyDescent="0.25">
      <c r="A55" s="1971"/>
      <c r="B55" s="19" t="s">
        <v>33</v>
      </c>
      <c r="C55" s="22"/>
      <c r="D55" s="124">
        <f>1*D$3</f>
        <v>0</v>
      </c>
      <c r="E55" s="15">
        <v>0</v>
      </c>
      <c r="F55" s="15">
        <v>0</v>
      </c>
      <c r="G55" s="21">
        <f t="shared" si="0"/>
        <v>0</v>
      </c>
    </row>
    <row r="56" spans="1:7" x14ac:dyDescent="0.25">
      <c r="A56" s="1971"/>
      <c r="B56" s="19" t="s">
        <v>34</v>
      </c>
      <c r="C56" s="22"/>
      <c r="D56" s="124">
        <f>1*D$3</f>
        <v>0</v>
      </c>
      <c r="E56" s="15">
        <v>0</v>
      </c>
      <c r="F56" s="15">
        <v>0</v>
      </c>
      <c r="G56" s="21">
        <f t="shared" si="0"/>
        <v>0</v>
      </c>
    </row>
    <row r="57" spans="1:7" x14ac:dyDescent="0.25">
      <c r="A57" s="1971" t="s">
        <v>19</v>
      </c>
      <c r="B57" s="19" t="s">
        <v>32</v>
      </c>
      <c r="C57" s="22"/>
      <c r="D57" s="38">
        <v>2</v>
      </c>
      <c r="E57" s="15">
        <v>0</v>
      </c>
      <c r="F57" s="15">
        <v>0</v>
      </c>
      <c r="G57" s="21">
        <f t="shared" si="0"/>
        <v>2</v>
      </c>
    </row>
    <row r="58" spans="1:7" x14ac:dyDescent="0.25">
      <c r="A58" s="1971"/>
      <c r="B58" s="19" t="s">
        <v>33</v>
      </c>
      <c r="C58" s="22"/>
      <c r="D58" s="38">
        <v>4</v>
      </c>
      <c r="E58" s="15">
        <v>0</v>
      </c>
      <c r="F58" s="15">
        <v>0</v>
      </c>
      <c r="G58" s="21">
        <f t="shared" si="0"/>
        <v>4</v>
      </c>
    </row>
    <row r="59" spans="1:7" x14ac:dyDescent="0.25">
      <c r="A59" s="1971"/>
      <c r="B59" s="19" t="s">
        <v>34</v>
      </c>
      <c r="C59" s="22"/>
      <c r="D59" s="38">
        <v>6</v>
      </c>
      <c r="E59" s="15">
        <v>0</v>
      </c>
      <c r="F59" s="15">
        <v>0</v>
      </c>
      <c r="G59" s="21">
        <f t="shared" si="0"/>
        <v>6</v>
      </c>
    </row>
    <row r="60" spans="1:7" x14ac:dyDescent="0.25">
      <c r="A60" s="1971" t="s">
        <v>20</v>
      </c>
      <c r="B60" s="19" t="s">
        <v>32</v>
      </c>
      <c r="C60" s="22"/>
      <c r="D60" s="38">
        <v>8</v>
      </c>
      <c r="E60" s="123">
        <f>2*E$3</f>
        <v>0</v>
      </c>
      <c r="F60" s="33">
        <v>0</v>
      </c>
      <c r="G60" s="21">
        <f t="shared" si="0"/>
        <v>8</v>
      </c>
    </row>
    <row r="61" spans="1:7" x14ac:dyDescent="0.25">
      <c r="A61" s="1971"/>
      <c r="B61" s="19" t="s">
        <v>33</v>
      </c>
      <c r="C61" s="22"/>
      <c r="D61" s="38">
        <v>10</v>
      </c>
      <c r="E61" s="123">
        <f>2*E$3</f>
        <v>0</v>
      </c>
      <c r="F61" s="33">
        <v>0</v>
      </c>
      <c r="G61" s="21">
        <f t="shared" si="0"/>
        <v>10</v>
      </c>
    </row>
    <row r="62" spans="1:7" x14ac:dyDescent="0.25">
      <c r="A62" s="1971"/>
      <c r="B62" s="19" t="s">
        <v>34</v>
      </c>
      <c r="C62" s="22"/>
      <c r="D62" s="38">
        <v>12</v>
      </c>
      <c r="E62" s="123">
        <f>2*E$3</f>
        <v>0</v>
      </c>
      <c r="F62" s="33">
        <v>0</v>
      </c>
      <c r="G62" s="21">
        <f t="shared" si="0"/>
        <v>12</v>
      </c>
    </row>
    <row r="63" spans="1:7" x14ac:dyDescent="0.25">
      <c r="A63" s="1971" t="s">
        <v>451</v>
      </c>
      <c r="B63" s="19" t="s">
        <v>32</v>
      </c>
      <c r="C63" s="22"/>
      <c r="D63" s="38">
        <v>8</v>
      </c>
      <c r="E63" s="475">
        <v>0</v>
      </c>
      <c r="F63" s="33">
        <v>0</v>
      </c>
      <c r="G63" s="21">
        <f t="shared" si="0"/>
        <v>8</v>
      </c>
    </row>
    <row r="64" spans="1:7" x14ac:dyDescent="0.25">
      <c r="A64" s="1971"/>
      <c r="B64" s="19" t="s">
        <v>33</v>
      </c>
      <c r="C64" s="22"/>
      <c r="D64" s="38">
        <v>8</v>
      </c>
      <c r="E64" s="475">
        <v>0</v>
      </c>
      <c r="F64" s="33">
        <v>0</v>
      </c>
      <c r="G64" s="21">
        <f t="shared" si="0"/>
        <v>8</v>
      </c>
    </row>
    <row r="65" spans="1:7" x14ac:dyDescent="0.25">
      <c r="A65" s="1971"/>
      <c r="B65" s="19" t="s">
        <v>34</v>
      </c>
      <c r="C65" s="22"/>
      <c r="D65" s="38">
        <v>8</v>
      </c>
      <c r="E65" s="475">
        <v>0</v>
      </c>
      <c r="F65" s="33">
        <v>0</v>
      </c>
      <c r="G65" s="21">
        <f t="shared" si="0"/>
        <v>8</v>
      </c>
    </row>
    <row r="66" spans="1:7" x14ac:dyDescent="0.25">
      <c r="A66" s="1971" t="s">
        <v>452</v>
      </c>
      <c r="B66" s="19" t="s">
        <v>32</v>
      </c>
      <c r="C66" s="22"/>
      <c r="D66" s="123">
        <f>IF(D$3&gt;1,8+(2*D$3)+(0.5*E$3),8)</f>
        <v>8</v>
      </c>
      <c r="E66" s="475">
        <v>0</v>
      </c>
      <c r="F66" s="33">
        <v>0</v>
      </c>
      <c r="G66" s="21">
        <f t="shared" si="0"/>
        <v>8</v>
      </c>
    </row>
    <row r="67" spans="1:7" x14ac:dyDescent="0.25">
      <c r="A67" s="1971"/>
      <c r="B67" s="19" t="s">
        <v>33</v>
      </c>
      <c r="C67" s="22"/>
      <c r="D67" s="123">
        <f>IF(D$3&gt;1,16+(2*D$3)+(2*E$3),16)</f>
        <v>16</v>
      </c>
      <c r="E67" s="475">
        <v>0</v>
      </c>
      <c r="F67" s="33">
        <v>0</v>
      </c>
      <c r="G67" s="21">
        <f t="shared" si="0"/>
        <v>16</v>
      </c>
    </row>
    <row r="68" spans="1:7" x14ac:dyDescent="0.25">
      <c r="A68" s="1971"/>
      <c r="B68" s="19" t="s">
        <v>34</v>
      </c>
      <c r="C68" s="22"/>
      <c r="D68" s="123">
        <f>IF(D$3&gt;1,24+(2*D$3)+(2*E$3),24)</f>
        <v>24</v>
      </c>
      <c r="E68" s="475">
        <v>0</v>
      </c>
      <c r="F68" s="33">
        <v>0</v>
      </c>
      <c r="G68" s="21">
        <f t="shared" si="0"/>
        <v>24</v>
      </c>
    </row>
    <row r="69" spans="1:7" x14ac:dyDescent="0.25">
      <c r="A69" s="1974" t="s">
        <v>533</v>
      </c>
      <c r="B69" s="19" t="s">
        <v>32</v>
      </c>
      <c r="C69" s="22"/>
      <c r="D69" s="123">
        <f>IF(D$3&gt;1,8+(2*D$3)+(2*E$3),8)</f>
        <v>8</v>
      </c>
      <c r="E69" s="123">
        <f>1*E$3</f>
        <v>0</v>
      </c>
      <c r="F69" s="33">
        <v>0</v>
      </c>
      <c r="G69" s="21">
        <f t="shared" si="0"/>
        <v>8</v>
      </c>
    </row>
    <row r="70" spans="1:7" x14ac:dyDescent="0.25">
      <c r="A70" s="1974"/>
      <c r="B70" s="19" t="s">
        <v>33</v>
      </c>
      <c r="C70" s="22"/>
      <c r="D70" s="123">
        <f>IF(D$3&gt;1,16+(2*D$3)+(1*E$3),16)</f>
        <v>16</v>
      </c>
      <c r="E70" s="123">
        <f>1*E$3</f>
        <v>0</v>
      </c>
      <c r="F70" s="33">
        <v>0</v>
      </c>
      <c r="G70" s="21">
        <f t="shared" si="0"/>
        <v>16</v>
      </c>
    </row>
    <row r="71" spans="1:7" x14ac:dyDescent="0.25">
      <c r="A71" s="1974"/>
      <c r="B71" s="19" t="s">
        <v>34</v>
      </c>
      <c r="C71" s="22"/>
      <c r="D71" s="123">
        <f>IF(D$3&gt;1,24+(2*D$3)+(2*E$3),24)</f>
        <v>24</v>
      </c>
      <c r="E71" s="123">
        <f>1*E$3</f>
        <v>0</v>
      </c>
      <c r="F71" s="33">
        <v>0</v>
      </c>
      <c r="G71" s="21">
        <f t="shared" si="0"/>
        <v>24</v>
      </c>
    </row>
    <row r="72" spans="1:7" x14ac:dyDescent="0.25">
      <c r="A72" s="1971" t="s">
        <v>534</v>
      </c>
      <c r="B72" s="19" t="s">
        <v>32</v>
      </c>
      <c r="C72" s="22"/>
      <c r="D72" s="123">
        <f>IF(D$3&gt;1,8+(2*D$3)+(2*E$3),10)</f>
        <v>10</v>
      </c>
      <c r="E72" s="123">
        <f>2*E$3</f>
        <v>0</v>
      </c>
      <c r="F72" s="33">
        <v>0</v>
      </c>
      <c r="G72" s="21">
        <f t="shared" si="0"/>
        <v>10</v>
      </c>
    </row>
    <row r="73" spans="1:7" x14ac:dyDescent="0.25">
      <c r="A73" s="1971"/>
      <c r="B73" s="19" t="s">
        <v>33</v>
      </c>
      <c r="C73" s="22"/>
      <c r="D73" s="123">
        <f>IF(D$3&gt;1,16+(2*D$3)+(2*E$3),16)</f>
        <v>16</v>
      </c>
      <c r="E73" s="123">
        <f>2*E$3</f>
        <v>0</v>
      </c>
      <c r="F73" s="33">
        <v>0</v>
      </c>
      <c r="G73" s="21">
        <f t="shared" si="0"/>
        <v>16</v>
      </c>
    </row>
    <row r="74" spans="1:7" x14ac:dyDescent="0.25">
      <c r="A74" s="1971"/>
      <c r="B74" s="19" t="s">
        <v>34</v>
      </c>
      <c r="C74" s="22"/>
      <c r="D74" s="123">
        <f>IF(D$3&gt;1,24+(2*D$3)+(2*E$3),24)</f>
        <v>24</v>
      </c>
      <c r="E74" s="123">
        <f>2*E$3</f>
        <v>0</v>
      </c>
      <c r="F74" s="33">
        <v>0</v>
      </c>
      <c r="G74" s="21">
        <f t="shared" si="0"/>
        <v>24</v>
      </c>
    </row>
    <row r="75" spans="1:7" x14ac:dyDescent="0.25">
      <c r="A75" s="1971" t="s">
        <v>21</v>
      </c>
      <c r="B75" s="19" t="s">
        <v>32</v>
      </c>
      <c r="C75" s="22"/>
      <c r="D75" s="38" t="s">
        <v>90</v>
      </c>
      <c r="E75" s="38" t="s">
        <v>90</v>
      </c>
      <c r="F75" s="38" t="s">
        <v>90</v>
      </c>
      <c r="G75" s="21">
        <f t="shared" si="0"/>
        <v>0</v>
      </c>
    </row>
    <row r="76" spans="1:7" x14ac:dyDescent="0.25">
      <c r="A76" s="1971"/>
      <c r="B76" s="19" t="s">
        <v>33</v>
      </c>
      <c r="C76" s="22"/>
      <c r="D76" s="38" t="s">
        <v>90</v>
      </c>
      <c r="E76" s="38" t="s">
        <v>90</v>
      </c>
      <c r="F76" s="38" t="s">
        <v>90</v>
      </c>
      <c r="G76" s="21">
        <f t="shared" si="0"/>
        <v>0</v>
      </c>
    </row>
    <row r="77" spans="1:7" x14ac:dyDescent="0.25">
      <c r="A77" s="1971"/>
      <c r="B77" s="13" t="s">
        <v>34</v>
      </c>
      <c r="C77" s="34"/>
      <c r="D77" s="38" t="s">
        <v>90</v>
      </c>
      <c r="E77" s="38" t="s">
        <v>90</v>
      </c>
      <c r="F77" s="38" t="s">
        <v>90</v>
      </c>
      <c r="G77" s="21">
        <f t="shared" si="0"/>
        <v>0</v>
      </c>
    </row>
    <row r="78" spans="1:7" x14ac:dyDescent="0.25">
      <c r="A78" s="1971" t="s">
        <v>181</v>
      </c>
      <c r="B78" s="19" t="s">
        <v>32</v>
      </c>
      <c r="C78" s="198"/>
      <c r="D78" s="223">
        <f>IF(D$3=0,0,2.2)</f>
        <v>0</v>
      </c>
      <c r="E78" s="15">
        <v>0</v>
      </c>
      <c r="F78" s="193">
        <v>0</v>
      </c>
      <c r="G78" s="21">
        <f t="shared" si="0"/>
        <v>0</v>
      </c>
    </row>
    <row r="79" spans="1:7" x14ac:dyDescent="0.25">
      <c r="A79" s="1971"/>
      <c r="B79" s="19" t="s">
        <v>33</v>
      </c>
      <c r="C79" s="198"/>
      <c r="D79" s="223">
        <f>IF(D$3=0,0,2.6)</f>
        <v>0</v>
      </c>
      <c r="E79" s="15">
        <v>0</v>
      </c>
      <c r="F79" s="193">
        <v>0</v>
      </c>
      <c r="G79" s="21">
        <f t="shared" si="0"/>
        <v>0</v>
      </c>
    </row>
    <row r="80" spans="1:7" x14ac:dyDescent="0.25">
      <c r="A80" s="1971"/>
      <c r="B80" s="19" t="s">
        <v>34</v>
      </c>
      <c r="C80" s="198"/>
      <c r="D80" s="223">
        <f>IF(D$3=0,0,2.6)</f>
        <v>0</v>
      </c>
      <c r="E80" s="15">
        <v>0</v>
      </c>
      <c r="F80" s="193">
        <v>0</v>
      </c>
      <c r="G80" s="21">
        <f t="shared" si="0"/>
        <v>0</v>
      </c>
    </row>
    <row r="81" spans="1:7" x14ac:dyDescent="0.25">
      <c r="A81" s="1971" t="s">
        <v>182</v>
      </c>
      <c r="B81" s="19" t="s">
        <v>32</v>
      </c>
      <c r="C81" s="198"/>
      <c r="D81" s="223">
        <f>IF(D$3=0,0,2)</f>
        <v>0</v>
      </c>
      <c r="E81" s="15">
        <v>0</v>
      </c>
      <c r="F81" s="193">
        <v>0</v>
      </c>
      <c r="G81" s="21">
        <f t="shared" si="0"/>
        <v>0</v>
      </c>
    </row>
    <row r="82" spans="1:7" x14ac:dyDescent="0.25">
      <c r="A82" s="1971"/>
      <c r="B82" s="19" t="s">
        <v>33</v>
      </c>
      <c r="C82" s="198"/>
      <c r="D82" s="223">
        <f>IF(D$3=0,0,2.4)</f>
        <v>0</v>
      </c>
      <c r="E82" s="15">
        <v>0</v>
      </c>
      <c r="F82" s="193">
        <v>0</v>
      </c>
      <c r="G82" s="21">
        <f t="shared" si="0"/>
        <v>0</v>
      </c>
    </row>
    <row r="83" spans="1:7" x14ac:dyDescent="0.25">
      <c r="A83" s="1971"/>
      <c r="B83" s="19" t="s">
        <v>34</v>
      </c>
      <c r="C83" s="198"/>
      <c r="D83" s="223">
        <f>IF(D$3=0,0,2.4)</f>
        <v>0</v>
      </c>
      <c r="E83" s="15">
        <v>0</v>
      </c>
      <c r="F83" s="193">
        <v>0</v>
      </c>
      <c r="G83" s="21">
        <f t="shared" si="0"/>
        <v>0</v>
      </c>
    </row>
    <row r="84" spans="1:7" x14ac:dyDescent="0.25">
      <c r="A84" s="1941" t="s">
        <v>183</v>
      </c>
      <c r="B84" s="19" t="s">
        <v>32</v>
      </c>
      <c r="C84" s="198"/>
      <c r="D84" s="195">
        <f>0.2+0.1*(D$3-1)</f>
        <v>0.1</v>
      </c>
      <c r="E84" s="15">
        <v>0</v>
      </c>
      <c r="F84" s="193">
        <v>0</v>
      </c>
      <c r="G84" s="21">
        <f t="shared" si="0"/>
        <v>0.1</v>
      </c>
    </row>
    <row r="85" spans="1:7" x14ac:dyDescent="0.25">
      <c r="A85" s="1941"/>
      <c r="B85" s="19" t="s">
        <v>33</v>
      </c>
      <c r="C85" s="198"/>
      <c r="D85" s="195">
        <f>0.3+0.1*(D$3-1)</f>
        <v>0.19999999999999998</v>
      </c>
      <c r="E85" s="15">
        <v>0</v>
      </c>
      <c r="F85" s="193">
        <v>0</v>
      </c>
      <c r="G85" s="21">
        <f t="shared" si="0"/>
        <v>0.19999999999999998</v>
      </c>
    </row>
    <row r="86" spans="1:7" ht="15.75" thickBot="1" x14ac:dyDescent="0.3">
      <c r="A86" s="1941"/>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40" t="s">
        <v>23</v>
      </c>
      <c r="B88" s="404" t="s">
        <v>32</v>
      </c>
      <c r="C88" s="324"/>
      <c r="D88" s="427">
        <v>0.25</v>
      </c>
      <c r="E88" s="540">
        <v>0</v>
      </c>
      <c r="F88" s="428">
        <v>0</v>
      </c>
      <c r="G88" s="230">
        <f t="shared" si="0"/>
        <v>0.25</v>
      </c>
    </row>
    <row r="89" spans="1:7" x14ac:dyDescent="0.25">
      <c r="A89" s="1940"/>
      <c r="B89" s="19" t="s">
        <v>33</v>
      </c>
      <c r="C89" s="22"/>
      <c r="D89" s="427">
        <v>0.25</v>
      </c>
      <c r="E89" s="15">
        <v>0</v>
      </c>
      <c r="F89" s="33">
        <v>0</v>
      </c>
      <c r="G89" s="21">
        <f t="shared" si="0"/>
        <v>0.25</v>
      </c>
    </row>
    <row r="90" spans="1:7" x14ac:dyDescent="0.25">
      <c r="A90" s="1940"/>
      <c r="B90" s="19" t="s">
        <v>34</v>
      </c>
      <c r="C90" s="22"/>
      <c r="D90" s="427">
        <v>0.25</v>
      </c>
      <c r="E90" s="15">
        <v>0</v>
      </c>
      <c r="F90" s="33">
        <v>0</v>
      </c>
      <c r="G90" s="21">
        <f t="shared" si="0"/>
        <v>0.25</v>
      </c>
    </row>
    <row r="91" spans="1:7" x14ac:dyDescent="0.25">
      <c r="A91" s="1971" t="s">
        <v>24</v>
      </c>
      <c r="B91" s="19" t="s">
        <v>32</v>
      </c>
      <c r="C91" s="22"/>
      <c r="D91" s="38">
        <v>8</v>
      </c>
      <c r="E91" s="123">
        <f t="shared" ref="E91:E96" si="1">0.5*E$3</f>
        <v>0</v>
      </c>
      <c r="F91" s="33">
        <v>0</v>
      </c>
      <c r="G91" s="21">
        <f t="shared" si="0"/>
        <v>8</v>
      </c>
    </row>
    <row r="92" spans="1:7" x14ac:dyDescent="0.25">
      <c r="A92" s="1971"/>
      <c r="B92" s="19" t="s">
        <v>33</v>
      </c>
      <c r="C92" s="22"/>
      <c r="D92" s="38">
        <v>8</v>
      </c>
      <c r="E92" s="123">
        <f t="shared" si="1"/>
        <v>0</v>
      </c>
      <c r="F92" s="33">
        <v>0</v>
      </c>
      <c r="G92" s="21">
        <f t="shared" si="0"/>
        <v>8</v>
      </c>
    </row>
    <row r="93" spans="1:7" x14ac:dyDescent="0.25">
      <c r="A93" s="1971"/>
      <c r="B93" s="19" t="s">
        <v>34</v>
      </c>
      <c r="C93" s="22"/>
      <c r="D93" s="38">
        <v>8</v>
      </c>
      <c r="E93" s="123">
        <f t="shared" si="1"/>
        <v>0</v>
      </c>
      <c r="F93" s="33">
        <v>0</v>
      </c>
      <c r="G93" s="21">
        <f t="shared" si="0"/>
        <v>8</v>
      </c>
    </row>
    <row r="94" spans="1:7" x14ac:dyDescent="0.25">
      <c r="A94" s="1971" t="s">
        <v>25</v>
      </c>
      <c r="B94" s="19" t="s">
        <v>32</v>
      </c>
      <c r="C94" s="22"/>
      <c r="D94" s="38">
        <v>6</v>
      </c>
      <c r="E94" s="123">
        <f t="shared" si="1"/>
        <v>0</v>
      </c>
      <c r="F94" s="33">
        <v>0</v>
      </c>
      <c r="G94" s="21">
        <f t="shared" ref="G94:G105" si="2" xml:space="preserve"> SUM(D94:F94) + $C94</f>
        <v>6</v>
      </c>
    </row>
    <row r="95" spans="1:7" x14ac:dyDescent="0.25">
      <c r="A95" s="1971"/>
      <c r="B95" s="19" t="s">
        <v>33</v>
      </c>
      <c r="C95" s="22"/>
      <c r="D95" s="38">
        <v>6</v>
      </c>
      <c r="E95" s="123">
        <f t="shared" si="1"/>
        <v>0</v>
      </c>
      <c r="F95" s="33">
        <v>0</v>
      </c>
      <c r="G95" s="21">
        <f t="shared" si="2"/>
        <v>6</v>
      </c>
    </row>
    <row r="96" spans="1:7" x14ac:dyDescent="0.25">
      <c r="A96" s="1971"/>
      <c r="B96" s="19" t="s">
        <v>34</v>
      </c>
      <c r="C96" s="22"/>
      <c r="D96" s="38">
        <v>6</v>
      </c>
      <c r="E96" s="123">
        <f t="shared" si="1"/>
        <v>0</v>
      </c>
      <c r="F96" s="33">
        <v>0</v>
      </c>
      <c r="G96" s="21">
        <f t="shared" si="2"/>
        <v>6</v>
      </c>
    </row>
    <row r="97" spans="1:7" x14ac:dyDescent="0.25">
      <c r="A97" s="1971" t="s">
        <v>26</v>
      </c>
      <c r="B97" s="19" t="s">
        <v>32</v>
      </c>
      <c r="C97" s="22"/>
      <c r="D97" s="124">
        <f>4+(0.5*D$3)</f>
        <v>4</v>
      </c>
      <c r="E97" s="38">
        <v>0</v>
      </c>
      <c r="F97" s="38">
        <v>0</v>
      </c>
      <c r="G97" s="21">
        <f t="shared" si="2"/>
        <v>4</v>
      </c>
    </row>
    <row r="98" spans="1:7" x14ac:dyDescent="0.25">
      <c r="A98" s="1971"/>
      <c r="B98" s="19" t="s">
        <v>33</v>
      </c>
      <c r="C98" s="22"/>
      <c r="D98" s="124">
        <f>4+(0.5*D$3)</f>
        <v>4</v>
      </c>
      <c r="E98" s="38">
        <v>0</v>
      </c>
      <c r="F98" s="38">
        <v>0</v>
      </c>
      <c r="G98" s="21">
        <f t="shared" si="2"/>
        <v>4</v>
      </c>
    </row>
    <row r="99" spans="1:7" x14ac:dyDescent="0.25">
      <c r="A99" s="1971"/>
      <c r="B99" s="19" t="s">
        <v>34</v>
      </c>
      <c r="C99" s="22"/>
      <c r="D99" s="124">
        <f>4+(0.5*D$3)</f>
        <v>4</v>
      </c>
      <c r="E99" s="38">
        <v>0</v>
      </c>
      <c r="F99" s="38">
        <v>0</v>
      </c>
      <c r="G99" s="21">
        <f t="shared" si="2"/>
        <v>4</v>
      </c>
    </row>
    <row r="100" spans="1:7" x14ac:dyDescent="0.25">
      <c r="A100" s="1971" t="s">
        <v>27</v>
      </c>
      <c r="B100" s="19" t="s">
        <v>32</v>
      </c>
      <c r="C100" s="22"/>
      <c r="D100" s="124">
        <f>2+(0.5*D$3)</f>
        <v>2</v>
      </c>
      <c r="E100" s="38">
        <v>0</v>
      </c>
      <c r="F100" s="38">
        <v>0</v>
      </c>
      <c r="G100" s="21">
        <f t="shared" si="2"/>
        <v>2</v>
      </c>
    </row>
    <row r="101" spans="1:7" x14ac:dyDescent="0.25">
      <c r="A101" s="1971"/>
      <c r="B101" s="19" t="s">
        <v>33</v>
      </c>
      <c r="C101" s="22"/>
      <c r="D101" s="124">
        <f>3+(0.5*D$3)</f>
        <v>3</v>
      </c>
      <c r="E101" s="38">
        <v>0</v>
      </c>
      <c r="F101" s="38">
        <v>0</v>
      </c>
      <c r="G101" s="21">
        <f t="shared" si="2"/>
        <v>3</v>
      </c>
    </row>
    <row r="102" spans="1:7" x14ac:dyDescent="0.25">
      <c r="A102" s="1971"/>
      <c r="B102" s="19" t="s">
        <v>34</v>
      </c>
      <c r="C102" s="22"/>
      <c r="D102" s="124">
        <f>5+(0.5*D$3)</f>
        <v>5</v>
      </c>
      <c r="E102" s="38">
        <v>0</v>
      </c>
      <c r="F102" s="38">
        <v>0</v>
      </c>
      <c r="G102" s="21">
        <f t="shared" si="2"/>
        <v>5</v>
      </c>
    </row>
    <row r="103" spans="1:7" x14ac:dyDescent="0.25">
      <c r="A103" s="1940" t="s">
        <v>28</v>
      </c>
      <c r="B103" s="19" t="s">
        <v>32</v>
      </c>
      <c r="C103" s="22"/>
      <c r="D103" s="38">
        <v>2</v>
      </c>
      <c r="E103" s="122">
        <f>0.5*E$3</f>
        <v>0</v>
      </c>
      <c r="F103" s="38">
        <v>0</v>
      </c>
      <c r="G103" s="21">
        <f t="shared" si="2"/>
        <v>2</v>
      </c>
    </row>
    <row r="104" spans="1:7" x14ac:dyDescent="0.25">
      <c r="A104" s="1940"/>
      <c r="B104" s="19" t="s">
        <v>33</v>
      </c>
      <c r="C104" s="22"/>
      <c r="D104" s="38">
        <v>3</v>
      </c>
      <c r="E104" s="122">
        <f>0.5*E$3</f>
        <v>0</v>
      </c>
      <c r="F104" s="38">
        <v>0</v>
      </c>
      <c r="G104" s="21">
        <f t="shared" si="2"/>
        <v>3</v>
      </c>
    </row>
    <row r="105" spans="1:7" ht="15.75" thickBot="1" x14ac:dyDescent="0.3">
      <c r="A105" s="1938"/>
      <c r="B105" s="20" t="s">
        <v>34</v>
      </c>
      <c r="C105" s="23"/>
      <c r="D105" s="196">
        <v>4</v>
      </c>
      <c r="E105" s="224">
        <f>0.5*E$3</f>
        <v>0</v>
      </c>
      <c r="F105" s="17">
        <v>0</v>
      </c>
      <c r="G105" s="24">
        <f t="shared" si="2"/>
        <v>4</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25" t="s">
        <v>538</v>
      </c>
      <c r="E1" s="2325"/>
      <c r="F1" s="2325"/>
      <c r="G1" s="2326"/>
      <c r="H1" s="2325" t="s">
        <v>537</v>
      </c>
      <c r="I1" s="2325"/>
      <c r="J1" s="2325"/>
      <c r="K1" s="2326"/>
      <c r="L1" s="2325" t="s">
        <v>539</v>
      </c>
      <c r="M1" s="2325"/>
      <c r="N1" s="2325"/>
      <c r="O1" s="294"/>
    </row>
    <row r="2" spans="1:15" s="118" customFormat="1" ht="32.25" thickBot="1" x14ac:dyDescent="0.3">
      <c r="B2" s="119" t="s">
        <v>37</v>
      </c>
      <c r="C2" s="449" t="s">
        <v>35</v>
      </c>
      <c r="D2" s="451" t="s">
        <v>559</v>
      </c>
      <c r="E2" s="451" t="s">
        <v>553</v>
      </c>
      <c r="F2" s="452" t="s">
        <v>554</v>
      </c>
      <c r="G2" s="454" t="s">
        <v>38</v>
      </c>
      <c r="H2" s="453" t="s">
        <v>559</v>
      </c>
      <c r="I2" s="451" t="s">
        <v>553</v>
      </c>
      <c r="J2" s="452" t="s">
        <v>554</v>
      </c>
      <c r="K2" s="454" t="s">
        <v>38</v>
      </c>
      <c r="L2" s="453" t="s">
        <v>559</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15"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15"/>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16"/>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15"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15"/>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15"/>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15"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15"/>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15"/>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20"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20"/>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21"/>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18"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15"/>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16"/>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18"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15"/>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16"/>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18"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15"/>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16"/>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18"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15"/>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16"/>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18"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15"/>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16"/>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18"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15"/>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15"/>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15"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15"/>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15"/>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15"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15"/>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15"/>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71"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71"/>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71"/>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71"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71"/>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71"/>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71"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71"/>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71"/>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71"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71"/>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71"/>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71"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71"/>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71"/>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71"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71"/>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71"/>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71"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71"/>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71"/>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71"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71"/>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71"/>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86"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86"/>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86"/>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70"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70"/>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70"/>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71"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71"/>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71"/>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71"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71"/>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71"/>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71"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71"/>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71"/>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41"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41"/>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41"/>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15"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15"/>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15"/>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71"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71"/>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71"/>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71"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71"/>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71"/>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71"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71"/>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71"/>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71"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71"/>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71"/>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15"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15"/>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17"/>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A91:A93"/>
    <mergeCell ref="A94:A96"/>
    <mergeCell ref="A97:A99"/>
    <mergeCell ref="A100:A102"/>
    <mergeCell ref="A103:A105"/>
    <mergeCell ref="A57:A59"/>
    <mergeCell ref="A60:A62"/>
    <mergeCell ref="A75:A77"/>
    <mergeCell ref="A88:A90"/>
    <mergeCell ref="A63:A65"/>
    <mergeCell ref="A66:A68"/>
    <mergeCell ref="A69:A71"/>
    <mergeCell ref="A72:A74"/>
    <mergeCell ref="A84:A86"/>
    <mergeCell ref="A42:A44"/>
    <mergeCell ref="A45:A47"/>
    <mergeCell ref="A48:A50"/>
    <mergeCell ref="A51:A53"/>
    <mergeCell ref="A54:A56"/>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22" t="str">
        <f>'Служебный АСУТП'!AA2</f>
        <v>InfoWatch Targeted Attack Detector</v>
      </c>
      <c r="E1" s="1923"/>
      <c r="F1" s="1923"/>
      <c r="G1" s="1924"/>
      <c r="H1" s="1922" t="str">
        <f>'Служебный АСУТП'!AA3</f>
        <v>KATA</v>
      </c>
      <c r="I1" s="1923"/>
      <c r="J1" s="1923"/>
      <c r="K1" s="1924"/>
      <c r="L1" s="1922" t="str">
        <f>'Служебный АСУТП'!AA4</f>
        <v>PT Anti-APT</v>
      </c>
      <c r="M1" s="1923"/>
      <c r="N1" s="1923"/>
      <c r="O1" s="1924"/>
    </row>
    <row r="2" spans="1:15" ht="15.75" x14ac:dyDescent="0.25">
      <c r="B2" s="41" t="s">
        <v>37</v>
      </c>
      <c r="C2" s="1932" t="s">
        <v>35</v>
      </c>
      <c r="D2" s="718" t="s">
        <v>601</v>
      </c>
      <c r="E2" s="717" t="s">
        <v>599</v>
      </c>
      <c r="F2" s="717" t="s">
        <v>600</v>
      </c>
      <c r="G2" s="1925" t="s">
        <v>38</v>
      </c>
      <c r="H2" s="718" t="s">
        <v>601</v>
      </c>
      <c r="I2" s="717" t="s">
        <v>599</v>
      </c>
      <c r="J2" s="717" t="s">
        <v>600</v>
      </c>
      <c r="K2" s="1925" t="s">
        <v>38</v>
      </c>
      <c r="L2" s="718" t="s">
        <v>601</v>
      </c>
      <c r="M2" s="717" t="s">
        <v>599</v>
      </c>
      <c r="N2" s="717" t="s">
        <v>600</v>
      </c>
      <c r="O2" s="1925" t="s">
        <v>38</v>
      </c>
    </row>
    <row r="3" spans="1:15"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row>
    <row r="4" spans="1:15" ht="16.5" thickBot="1" x14ac:dyDescent="0.3">
      <c r="A4" s="326" t="s">
        <v>448</v>
      </c>
      <c r="B4" s="327"/>
      <c r="C4" s="327"/>
      <c r="D4" s="327"/>
      <c r="E4" s="327"/>
      <c r="F4" s="327"/>
      <c r="G4" s="327"/>
      <c r="H4" s="327"/>
      <c r="I4" s="327"/>
      <c r="J4" s="327"/>
      <c r="K4" s="327"/>
      <c r="L4" s="327"/>
      <c r="M4" s="327"/>
      <c r="N4" s="327"/>
      <c r="O4" s="396"/>
    </row>
    <row r="5" spans="1:15" x14ac:dyDescent="0.25">
      <c r="A5" s="1940"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40"/>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75"/>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40"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40"/>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40"/>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40"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40"/>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40"/>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36"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72"/>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72"/>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72"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72"/>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72"/>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72"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72"/>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72"/>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72"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72"/>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72"/>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72"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72"/>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72"/>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72"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72"/>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72"/>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72"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72"/>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39"/>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40"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40"/>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40"/>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40"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40"/>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40"/>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71"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71"/>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71"/>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71"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71"/>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71"/>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71"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71"/>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71"/>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71"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71"/>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71"/>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71"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71"/>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71"/>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71"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71"/>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71"/>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71"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71"/>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71"/>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71"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71"/>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71"/>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74"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74"/>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74"/>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71"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71"/>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71"/>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71"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71"/>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71"/>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71"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71"/>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71"/>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71"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71"/>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71"/>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41"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41"/>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41"/>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40"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40"/>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40"/>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70"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70"/>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70"/>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70"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70"/>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70"/>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70"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70"/>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70"/>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70"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70"/>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70"/>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912"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912"/>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73"/>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22" t="str">
        <f>'Служебный АСУТП'!AB2</f>
        <v>Efros ACS</v>
      </c>
      <c r="E1" s="1923"/>
      <c r="F1" s="1923"/>
      <c r="G1" s="1924"/>
    </row>
    <row r="2" spans="1:7" ht="15.75" x14ac:dyDescent="0.25">
      <c r="B2" s="41" t="s">
        <v>37</v>
      </c>
      <c r="C2" s="1932" t="s">
        <v>35</v>
      </c>
      <c r="D2" s="439" t="s">
        <v>562</v>
      </c>
      <c r="E2" s="191" t="s">
        <v>561</v>
      </c>
      <c r="F2" s="191" t="s">
        <v>560</v>
      </c>
      <c r="G2" s="1925" t="s">
        <v>38</v>
      </c>
    </row>
    <row r="3" spans="1:7"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row>
    <row r="4" spans="1:7" ht="16.5" thickBot="1" x14ac:dyDescent="0.3">
      <c r="A4" s="326" t="s">
        <v>448</v>
      </c>
      <c r="B4" s="327"/>
      <c r="C4" s="327"/>
      <c r="D4" s="327"/>
      <c r="E4" s="327"/>
      <c r="F4" s="327"/>
      <c r="G4" s="396"/>
    </row>
    <row r="5" spans="1:7" x14ac:dyDescent="0.25">
      <c r="A5" s="1912" t="s">
        <v>0</v>
      </c>
      <c r="B5" s="404" t="s">
        <v>32</v>
      </c>
      <c r="C5" s="324"/>
      <c r="D5" s="405">
        <v>1</v>
      </c>
      <c r="E5" s="425">
        <f t="shared" ref="E5:F10" si="0">0.25*E$3</f>
        <v>0</v>
      </c>
      <c r="F5" s="423">
        <f t="shared" si="0"/>
        <v>0</v>
      </c>
      <c r="G5" s="230">
        <f xml:space="preserve"> SUM(D5:F5) + $C5</f>
        <v>1</v>
      </c>
    </row>
    <row r="6" spans="1:7" x14ac:dyDescent="0.25">
      <c r="A6" s="1912"/>
      <c r="B6" s="19" t="s">
        <v>33</v>
      </c>
      <c r="C6" s="22"/>
      <c r="D6" s="11">
        <v>2</v>
      </c>
      <c r="E6" s="425">
        <f t="shared" si="0"/>
        <v>0</v>
      </c>
      <c r="F6" s="423">
        <f t="shared" si="0"/>
        <v>0</v>
      </c>
      <c r="G6" s="21">
        <f xml:space="preserve"> SUM(D6:F6) + $C6</f>
        <v>2</v>
      </c>
    </row>
    <row r="7" spans="1:7" x14ac:dyDescent="0.25">
      <c r="A7" s="1894"/>
      <c r="B7" s="19" t="s">
        <v>34</v>
      </c>
      <c r="C7" s="22"/>
      <c r="D7" s="11">
        <v>4</v>
      </c>
      <c r="E7" s="425">
        <f t="shared" si="0"/>
        <v>0</v>
      </c>
      <c r="F7" s="423">
        <f t="shared" si="0"/>
        <v>0</v>
      </c>
      <c r="G7" s="21">
        <f xml:space="preserve"> SUM(D7:F7) + $C7</f>
        <v>4</v>
      </c>
    </row>
    <row r="8" spans="1:7" x14ac:dyDescent="0.25">
      <c r="A8" s="1912" t="s">
        <v>449</v>
      </c>
      <c r="B8" s="404" t="s">
        <v>32</v>
      </c>
      <c r="C8" s="324"/>
      <c r="D8" s="405">
        <v>1</v>
      </c>
      <c r="E8" s="425">
        <f t="shared" si="0"/>
        <v>0</v>
      </c>
      <c r="F8" s="423">
        <f t="shared" si="0"/>
        <v>0</v>
      </c>
      <c r="G8" s="21">
        <f xml:space="preserve"> SUM(D8:F8) + $C8</f>
        <v>1</v>
      </c>
    </row>
    <row r="9" spans="1:7" x14ac:dyDescent="0.25">
      <c r="A9" s="1912"/>
      <c r="B9" s="19" t="s">
        <v>33</v>
      </c>
      <c r="C9" s="22"/>
      <c r="D9" s="11">
        <v>2</v>
      </c>
      <c r="E9" s="425">
        <f t="shared" si="0"/>
        <v>0</v>
      </c>
      <c r="F9" s="423">
        <f t="shared" si="0"/>
        <v>0</v>
      </c>
      <c r="G9" s="21">
        <f t="shared" ref="G9:G93" si="1" xml:space="preserve"> SUM(D9:F9) + $C9</f>
        <v>2</v>
      </c>
    </row>
    <row r="10" spans="1:7" ht="15.75" thickBot="1" x14ac:dyDescent="0.3">
      <c r="A10" s="1912"/>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912" t="s">
        <v>2</v>
      </c>
      <c r="B12" s="404" t="s">
        <v>32</v>
      </c>
      <c r="C12" s="324"/>
      <c r="D12" s="405">
        <v>8</v>
      </c>
      <c r="E12" s="423">
        <f>2*E$3</f>
        <v>0</v>
      </c>
      <c r="F12" s="477">
        <f>0.5*F$3</f>
        <v>0</v>
      </c>
      <c r="G12" s="230">
        <f t="shared" si="1"/>
        <v>8</v>
      </c>
    </row>
    <row r="13" spans="1:7" x14ac:dyDescent="0.25">
      <c r="A13" s="1912"/>
      <c r="B13" s="19" t="s">
        <v>33</v>
      </c>
      <c r="C13" s="22"/>
      <c r="D13" s="11">
        <v>12</v>
      </c>
      <c r="E13" s="123">
        <f>2*E$3</f>
        <v>0</v>
      </c>
      <c r="F13" s="477">
        <f>0.5*F$3</f>
        <v>0</v>
      </c>
      <c r="G13" s="21">
        <f t="shared" si="1"/>
        <v>12</v>
      </c>
    </row>
    <row r="14" spans="1:7" ht="15.75" thickBot="1" x14ac:dyDescent="0.3">
      <c r="A14" s="1912"/>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92" t="s">
        <v>4</v>
      </c>
      <c r="B16" s="325" t="s">
        <v>32</v>
      </c>
      <c r="C16" s="324"/>
      <c r="D16" s="481">
        <v>0.25</v>
      </c>
      <c r="E16" s="479">
        <v>0</v>
      </c>
      <c r="F16" s="480">
        <v>0</v>
      </c>
      <c r="G16" s="230">
        <f t="shared" si="1"/>
        <v>0.25</v>
      </c>
    </row>
    <row r="17" spans="1:7" x14ac:dyDescent="0.25">
      <c r="A17" s="1988"/>
      <c r="B17" s="18" t="s">
        <v>33</v>
      </c>
      <c r="C17" s="22"/>
      <c r="D17" s="482">
        <v>0.25</v>
      </c>
      <c r="E17" s="15">
        <v>0</v>
      </c>
      <c r="F17" s="33">
        <v>0</v>
      </c>
      <c r="G17" s="21">
        <f t="shared" si="1"/>
        <v>0.25</v>
      </c>
    </row>
    <row r="18" spans="1:7" x14ac:dyDescent="0.25">
      <c r="A18" s="1988"/>
      <c r="B18" s="18" t="s">
        <v>34</v>
      </c>
      <c r="C18" s="22"/>
      <c r="D18" s="483">
        <v>0.25</v>
      </c>
      <c r="E18" s="15">
        <v>0</v>
      </c>
      <c r="F18" s="33">
        <v>0</v>
      </c>
      <c r="G18" s="21">
        <f t="shared" si="1"/>
        <v>0.25</v>
      </c>
    </row>
    <row r="19" spans="1:7" x14ac:dyDescent="0.25">
      <c r="A19" s="1988" t="s">
        <v>5</v>
      </c>
      <c r="B19" s="19" t="s">
        <v>32</v>
      </c>
      <c r="C19" s="22"/>
      <c r="D19" s="124">
        <f>0.5*D$3</f>
        <v>0</v>
      </c>
      <c r="E19" s="15">
        <v>0</v>
      </c>
      <c r="F19" s="423">
        <f>0.5*F$3</f>
        <v>0</v>
      </c>
      <c r="G19" s="21">
        <f t="shared" si="1"/>
        <v>0</v>
      </c>
    </row>
    <row r="20" spans="1:7" x14ac:dyDescent="0.25">
      <c r="A20" s="1988"/>
      <c r="B20" s="19" t="s">
        <v>33</v>
      </c>
      <c r="C20" s="22"/>
      <c r="D20" s="124">
        <f>1*D$3</f>
        <v>0</v>
      </c>
      <c r="E20" s="15">
        <v>0</v>
      </c>
      <c r="F20" s="423">
        <f>0.5*F$3</f>
        <v>0</v>
      </c>
      <c r="G20" s="21">
        <f t="shared" si="1"/>
        <v>0</v>
      </c>
    </row>
    <row r="21" spans="1:7" x14ac:dyDescent="0.25">
      <c r="A21" s="1988"/>
      <c r="B21" s="19" t="s">
        <v>34</v>
      </c>
      <c r="C21" s="22"/>
      <c r="D21" s="124">
        <f>2*D$3</f>
        <v>0</v>
      </c>
      <c r="E21" s="15">
        <v>0</v>
      </c>
      <c r="F21" s="423">
        <f>0.5*F$3</f>
        <v>0</v>
      </c>
      <c r="G21" s="21">
        <f t="shared" si="1"/>
        <v>0</v>
      </c>
    </row>
    <row r="22" spans="1:7" x14ac:dyDescent="0.25">
      <c r="A22" s="1988" t="s">
        <v>6</v>
      </c>
      <c r="B22" s="19" t="s">
        <v>32</v>
      </c>
      <c r="C22" s="22"/>
      <c r="D22" s="11">
        <v>24</v>
      </c>
      <c r="E22" s="123">
        <f>2*E$3</f>
        <v>0</v>
      </c>
      <c r="F22" s="11">
        <v>0</v>
      </c>
      <c r="G22" s="21">
        <f t="shared" si="1"/>
        <v>24</v>
      </c>
    </row>
    <row r="23" spans="1:7" x14ac:dyDescent="0.25">
      <c r="A23" s="1988"/>
      <c r="B23" s="19" t="s">
        <v>33</v>
      </c>
      <c r="C23" s="22"/>
      <c r="D23" s="11">
        <v>32</v>
      </c>
      <c r="E23" s="123">
        <f>3*E$3</f>
        <v>0</v>
      </c>
      <c r="F23" s="11">
        <v>0</v>
      </c>
      <c r="G23" s="21">
        <f t="shared" si="1"/>
        <v>32</v>
      </c>
    </row>
    <row r="24" spans="1:7" x14ac:dyDescent="0.25">
      <c r="A24" s="1988"/>
      <c r="B24" s="19" t="s">
        <v>34</v>
      </c>
      <c r="C24" s="22"/>
      <c r="D24" s="11">
        <v>40</v>
      </c>
      <c r="E24" s="123">
        <f>4*E$3</f>
        <v>0</v>
      </c>
      <c r="F24" s="11">
        <v>0</v>
      </c>
      <c r="G24" s="21">
        <f t="shared" si="1"/>
        <v>40</v>
      </c>
    </row>
    <row r="25" spans="1:7" x14ac:dyDescent="0.25">
      <c r="A25" s="1988" t="s">
        <v>7</v>
      </c>
      <c r="B25" s="19" t="s">
        <v>32</v>
      </c>
      <c r="C25" s="22"/>
      <c r="D25" s="38">
        <v>4</v>
      </c>
      <c r="E25" s="15">
        <v>0</v>
      </c>
      <c r="F25" s="11">
        <v>0</v>
      </c>
      <c r="G25" s="21">
        <f t="shared" si="1"/>
        <v>4</v>
      </c>
    </row>
    <row r="26" spans="1:7" x14ac:dyDescent="0.25">
      <c r="A26" s="1988"/>
      <c r="B26" s="19" t="s">
        <v>33</v>
      </c>
      <c r="C26" s="22"/>
      <c r="D26" s="38">
        <v>8</v>
      </c>
      <c r="E26" s="15">
        <v>0</v>
      </c>
      <c r="F26" s="11">
        <v>0</v>
      </c>
      <c r="G26" s="21">
        <f t="shared" si="1"/>
        <v>8</v>
      </c>
    </row>
    <row r="27" spans="1:7" x14ac:dyDescent="0.25">
      <c r="A27" s="1988"/>
      <c r="B27" s="19" t="s">
        <v>34</v>
      </c>
      <c r="C27" s="22"/>
      <c r="D27" s="33">
        <v>12</v>
      </c>
      <c r="E27" s="15">
        <v>0</v>
      </c>
      <c r="F27" s="11">
        <v>0</v>
      </c>
      <c r="G27" s="21">
        <f t="shared" si="1"/>
        <v>12</v>
      </c>
    </row>
    <row r="28" spans="1:7" x14ac:dyDescent="0.25">
      <c r="A28" s="1988" t="s">
        <v>8</v>
      </c>
      <c r="B28" s="19" t="s">
        <v>32</v>
      </c>
      <c r="C28" s="22"/>
      <c r="D28" s="38">
        <v>4</v>
      </c>
      <c r="E28" s="15">
        <v>0</v>
      </c>
      <c r="F28" s="33">
        <v>0</v>
      </c>
      <c r="G28" s="21">
        <f t="shared" si="1"/>
        <v>4</v>
      </c>
    </row>
    <row r="29" spans="1:7" x14ac:dyDescent="0.25">
      <c r="A29" s="1988"/>
      <c r="B29" s="19" t="s">
        <v>33</v>
      </c>
      <c r="C29" s="22"/>
      <c r="D29" s="38">
        <v>8</v>
      </c>
      <c r="E29" s="15">
        <v>0</v>
      </c>
      <c r="F29" s="33">
        <v>0</v>
      </c>
      <c r="G29" s="21">
        <f t="shared" si="1"/>
        <v>8</v>
      </c>
    </row>
    <row r="30" spans="1:7" x14ac:dyDescent="0.25">
      <c r="A30" s="1988"/>
      <c r="B30" s="19" t="s">
        <v>34</v>
      </c>
      <c r="C30" s="22"/>
      <c r="D30" s="33">
        <v>12</v>
      </c>
      <c r="E30" s="15">
        <v>0</v>
      </c>
      <c r="F30" s="33">
        <v>0</v>
      </c>
      <c r="G30" s="21">
        <f t="shared" si="1"/>
        <v>12</v>
      </c>
    </row>
    <row r="31" spans="1:7" x14ac:dyDescent="0.25">
      <c r="A31" s="1988" t="s">
        <v>9</v>
      </c>
      <c r="B31" s="19" t="s">
        <v>32</v>
      </c>
      <c r="C31" s="22"/>
      <c r="D31" s="124">
        <f>4+(0.5*D$3)</f>
        <v>4</v>
      </c>
      <c r="E31" s="15">
        <v>0</v>
      </c>
      <c r="F31" s="124">
        <f>1*F$3</f>
        <v>0</v>
      </c>
      <c r="G31" s="21">
        <f t="shared" si="1"/>
        <v>4</v>
      </c>
    </row>
    <row r="32" spans="1:7" x14ac:dyDescent="0.25">
      <c r="A32" s="1988"/>
      <c r="B32" s="19" t="s">
        <v>33</v>
      </c>
      <c r="C32" s="22"/>
      <c r="D32" s="124">
        <f>6+(0.5*D$3)</f>
        <v>6</v>
      </c>
      <c r="E32" s="15">
        <v>0</v>
      </c>
      <c r="F32" s="124">
        <f>1.5*F$3</f>
        <v>0</v>
      </c>
      <c r="G32" s="21">
        <f t="shared" si="1"/>
        <v>6</v>
      </c>
    </row>
    <row r="33" spans="1:7" x14ac:dyDescent="0.25">
      <c r="A33" s="1988"/>
      <c r="B33" s="19" t="s">
        <v>34</v>
      </c>
      <c r="C33" s="22"/>
      <c r="D33" s="124">
        <f>8+(0.5*D$3)</f>
        <v>8</v>
      </c>
      <c r="E33" s="15">
        <v>0</v>
      </c>
      <c r="F33" s="124">
        <f>2*F$3</f>
        <v>0</v>
      </c>
      <c r="G33" s="21">
        <f t="shared" si="1"/>
        <v>8</v>
      </c>
    </row>
    <row r="34" spans="1:7" x14ac:dyDescent="0.25">
      <c r="A34" s="1988" t="s">
        <v>10</v>
      </c>
      <c r="B34" s="19" t="s">
        <v>32</v>
      </c>
      <c r="C34" s="22"/>
      <c r="D34" s="38">
        <v>4</v>
      </c>
      <c r="E34" s="124">
        <f>0.5*E$3</f>
        <v>0</v>
      </c>
      <c r="F34" s="523">
        <v>0</v>
      </c>
      <c r="G34" s="21">
        <f t="shared" si="1"/>
        <v>4</v>
      </c>
    </row>
    <row r="35" spans="1:7" x14ac:dyDescent="0.25">
      <c r="A35" s="1988"/>
      <c r="B35" s="19" t="s">
        <v>33</v>
      </c>
      <c r="C35" s="22"/>
      <c r="D35" s="38">
        <v>6</v>
      </c>
      <c r="E35" s="124">
        <f>0.5*E$3</f>
        <v>0</v>
      </c>
      <c r="F35" s="523">
        <v>0</v>
      </c>
      <c r="G35" s="21">
        <f t="shared" si="1"/>
        <v>6</v>
      </c>
    </row>
    <row r="36" spans="1:7" ht="15.75" thickBot="1" x14ac:dyDescent="0.3">
      <c r="A36" s="1989"/>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912" t="s">
        <v>12</v>
      </c>
      <c r="B38" s="404" t="s">
        <v>32</v>
      </c>
      <c r="C38" s="324"/>
      <c r="D38" s="405">
        <v>32</v>
      </c>
      <c r="E38" s="423">
        <f>4*E$3</f>
        <v>0</v>
      </c>
      <c r="F38" s="405">
        <v>0</v>
      </c>
      <c r="G38" s="230">
        <f t="shared" si="1"/>
        <v>32</v>
      </c>
    </row>
    <row r="39" spans="1:7" x14ac:dyDescent="0.25">
      <c r="A39" s="1912"/>
      <c r="B39" s="19" t="s">
        <v>33</v>
      </c>
      <c r="C39" s="22"/>
      <c r="D39" s="11">
        <v>40</v>
      </c>
      <c r="E39" s="423">
        <f>4*E$3</f>
        <v>0</v>
      </c>
      <c r="F39" s="11">
        <v>0</v>
      </c>
      <c r="G39" s="21">
        <f t="shared" si="1"/>
        <v>40</v>
      </c>
    </row>
    <row r="40" spans="1:7" ht="15.75" thickBot="1" x14ac:dyDescent="0.3">
      <c r="A40" s="1912"/>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912" t="s">
        <v>14</v>
      </c>
      <c r="B42" s="404" t="s">
        <v>32</v>
      </c>
      <c r="C42" s="324"/>
      <c r="D42" s="124">
        <f>0.5*D$3</f>
        <v>0</v>
      </c>
      <c r="E42" s="15">
        <v>0</v>
      </c>
      <c r="F42" s="423">
        <f>0.5*F$3</f>
        <v>0</v>
      </c>
      <c r="G42" s="230">
        <f t="shared" si="1"/>
        <v>0</v>
      </c>
    </row>
    <row r="43" spans="1:7" x14ac:dyDescent="0.25">
      <c r="A43" s="1912"/>
      <c r="B43" s="19" t="s">
        <v>33</v>
      </c>
      <c r="C43" s="22"/>
      <c r="D43" s="124">
        <f>1*D$3</f>
        <v>0</v>
      </c>
      <c r="E43" s="15">
        <v>0</v>
      </c>
      <c r="F43" s="423">
        <f>0.5*F$3</f>
        <v>0</v>
      </c>
      <c r="G43" s="21">
        <f t="shared" si="1"/>
        <v>0</v>
      </c>
    </row>
    <row r="44" spans="1:7" x14ac:dyDescent="0.25">
      <c r="A44" s="1912"/>
      <c r="B44" s="19" t="s">
        <v>34</v>
      </c>
      <c r="C44" s="22"/>
      <c r="D44" s="124">
        <f>2*D$3</f>
        <v>0</v>
      </c>
      <c r="E44" s="15">
        <v>0</v>
      </c>
      <c r="F44" s="423">
        <f>0.5*F$3</f>
        <v>0</v>
      </c>
      <c r="G44" s="21">
        <f t="shared" si="1"/>
        <v>0</v>
      </c>
    </row>
    <row r="45" spans="1:7" x14ac:dyDescent="0.25">
      <c r="A45" s="1970" t="s">
        <v>15</v>
      </c>
      <c r="B45" s="19" t="s">
        <v>32</v>
      </c>
      <c r="C45" s="22"/>
      <c r="D45" s="38">
        <v>16</v>
      </c>
      <c r="E45" s="423">
        <f>E$3*3</f>
        <v>0</v>
      </c>
      <c r="F45" s="124">
        <f>1.5*F$3</f>
        <v>0</v>
      </c>
      <c r="G45" s="21">
        <f t="shared" si="1"/>
        <v>16</v>
      </c>
    </row>
    <row r="46" spans="1:7" x14ac:dyDescent="0.25">
      <c r="A46" s="1970"/>
      <c r="B46" s="19" t="s">
        <v>33</v>
      </c>
      <c r="C46" s="22"/>
      <c r="D46" s="38">
        <v>28</v>
      </c>
      <c r="E46" s="423">
        <f>E$3*3.5</f>
        <v>0</v>
      </c>
      <c r="F46" s="124">
        <f>2*F$3</f>
        <v>0</v>
      </c>
      <c r="G46" s="21">
        <f t="shared" si="1"/>
        <v>28</v>
      </c>
    </row>
    <row r="47" spans="1:7" x14ac:dyDescent="0.25">
      <c r="A47" s="1970"/>
      <c r="B47" s="19" t="s">
        <v>34</v>
      </c>
      <c r="C47" s="22"/>
      <c r="D47" s="38">
        <v>36</v>
      </c>
      <c r="E47" s="423">
        <f>E$3*4</f>
        <v>0</v>
      </c>
      <c r="F47" s="124">
        <f>2.5*F$3</f>
        <v>0</v>
      </c>
      <c r="G47" s="21">
        <f t="shared" si="1"/>
        <v>36</v>
      </c>
    </row>
    <row r="48" spans="1:7" x14ac:dyDescent="0.25">
      <c r="A48" s="1970" t="s">
        <v>16</v>
      </c>
      <c r="B48" s="19" t="s">
        <v>32</v>
      </c>
      <c r="C48" s="22"/>
      <c r="D48" s="124">
        <f>1*D$3</f>
        <v>0</v>
      </c>
      <c r="E48" s="15">
        <v>0</v>
      </c>
      <c r="F48" s="523">
        <v>0</v>
      </c>
      <c r="G48" s="21">
        <f t="shared" si="1"/>
        <v>0</v>
      </c>
    </row>
    <row r="49" spans="1:7" x14ac:dyDescent="0.25">
      <c r="A49" s="1970"/>
      <c r="B49" s="19" t="s">
        <v>33</v>
      </c>
      <c r="C49" s="22"/>
      <c r="D49" s="124">
        <f>1.5*D$3</f>
        <v>0</v>
      </c>
      <c r="E49" s="15">
        <v>0</v>
      </c>
      <c r="F49" s="523">
        <v>0</v>
      </c>
      <c r="G49" s="21">
        <f t="shared" si="1"/>
        <v>0</v>
      </c>
    </row>
    <row r="50" spans="1:7" x14ac:dyDescent="0.25">
      <c r="A50" s="1970"/>
      <c r="B50" s="19" t="s">
        <v>34</v>
      </c>
      <c r="C50" s="22"/>
      <c r="D50" s="124">
        <f>2*D$3</f>
        <v>0</v>
      </c>
      <c r="E50" s="15">
        <v>0</v>
      </c>
      <c r="F50" s="523">
        <v>0</v>
      </c>
      <c r="G50" s="21">
        <f t="shared" si="1"/>
        <v>0</v>
      </c>
    </row>
    <row r="51" spans="1:7" x14ac:dyDescent="0.25">
      <c r="A51" s="1970" t="s">
        <v>17</v>
      </c>
      <c r="B51" s="19" t="s">
        <v>32</v>
      </c>
      <c r="C51" s="22"/>
      <c r="D51" s="124">
        <f>1*D$3</f>
        <v>0</v>
      </c>
      <c r="E51" s="15">
        <v>0</v>
      </c>
      <c r="F51" s="523">
        <v>0</v>
      </c>
      <c r="G51" s="21">
        <f t="shared" si="1"/>
        <v>0</v>
      </c>
    </row>
    <row r="52" spans="1:7" x14ac:dyDescent="0.25">
      <c r="A52" s="1970"/>
      <c r="B52" s="19" t="s">
        <v>33</v>
      </c>
      <c r="C52" s="22"/>
      <c r="D52" s="124">
        <f>1.5*D$3</f>
        <v>0</v>
      </c>
      <c r="E52" s="15">
        <v>0</v>
      </c>
      <c r="F52" s="523">
        <v>0</v>
      </c>
      <c r="G52" s="21">
        <f t="shared" si="1"/>
        <v>0</v>
      </c>
    </row>
    <row r="53" spans="1:7" x14ac:dyDescent="0.25">
      <c r="A53" s="1970"/>
      <c r="B53" s="19" t="s">
        <v>34</v>
      </c>
      <c r="C53" s="22"/>
      <c r="D53" s="124">
        <f>2*D$3</f>
        <v>0</v>
      </c>
      <c r="E53" s="15">
        <v>0</v>
      </c>
      <c r="F53" s="523">
        <v>0</v>
      </c>
      <c r="G53" s="21">
        <f t="shared" si="1"/>
        <v>0</v>
      </c>
    </row>
    <row r="54" spans="1:7" x14ac:dyDescent="0.25">
      <c r="A54" s="1970" t="s">
        <v>18</v>
      </c>
      <c r="B54" s="19" t="s">
        <v>32</v>
      </c>
      <c r="C54" s="22"/>
      <c r="D54" s="124">
        <f>1*D$3</f>
        <v>0</v>
      </c>
      <c r="E54" s="15">
        <v>0</v>
      </c>
      <c r="F54" s="15">
        <v>0</v>
      </c>
      <c r="G54" s="21">
        <f t="shared" si="1"/>
        <v>0</v>
      </c>
    </row>
    <row r="55" spans="1:7" x14ac:dyDescent="0.25">
      <c r="A55" s="1970"/>
      <c r="B55" s="19" t="s">
        <v>33</v>
      </c>
      <c r="C55" s="22"/>
      <c r="D55" s="124">
        <f>1*D$3</f>
        <v>0</v>
      </c>
      <c r="E55" s="15">
        <v>0</v>
      </c>
      <c r="F55" s="15">
        <v>0</v>
      </c>
      <c r="G55" s="21">
        <f t="shared" si="1"/>
        <v>0</v>
      </c>
    </row>
    <row r="56" spans="1:7" x14ac:dyDescent="0.25">
      <c r="A56" s="1970"/>
      <c r="B56" s="19" t="s">
        <v>34</v>
      </c>
      <c r="C56" s="22"/>
      <c r="D56" s="124">
        <f>1*D$3</f>
        <v>0</v>
      </c>
      <c r="E56" s="15">
        <v>0</v>
      </c>
      <c r="F56" s="15">
        <v>0</v>
      </c>
      <c r="G56" s="21">
        <f t="shared" si="1"/>
        <v>0</v>
      </c>
    </row>
    <row r="57" spans="1:7" x14ac:dyDescent="0.25">
      <c r="A57" s="1970" t="s">
        <v>19</v>
      </c>
      <c r="B57" s="19" t="s">
        <v>32</v>
      </c>
      <c r="C57" s="22"/>
      <c r="D57" s="38">
        <v>4</v>
      </c>
      <c r="E57" s="15">
        <v>0</v>
      </c>
      <c r="F57" s="15">
        <v>0</v>
      </c>
      <c r="G57" s="21">
        <f t="shared" si="1"/>
        <v>4</v>
      </c>
    </row>
    <row r="58" spans="1:7" x14ac:dyDescent="0.25">
      <c r="A58" s="1970"/>
      <c r="B58" s="19" t="s">
        <v>33</v>
      </c>
      <c r="C58" s="22"/>
      <c r="D58" s="38">
        <v>6</v>
      </c>
      <c r="E58" s="15">
        <v>0</v>
      </c>
      <c r="F58" s="15">
        <v>0</v>
      </c>
      <c r="G58" s="21">
        <f t="shared" si="1"/>
        <v>6</v>
      </c>
    </row>
    <row r="59" spans="1:7" x14ac:dyDescent="0.25">
      <c r="A59" s="1970"/>
      <c r="B59" s="19" t="s">
        <v>34</v>
      </c>
      <c r="C59" s="22"/>
      <c r="D59" s="38">
        <v>8</v>
      </c>
      <c r="E59" s="15">
        <v>0</v>
      </c>
      <c r="F59" s="15">
        <v>0</v>
      </c>
      <c r="G59" s="21">
        <f t="shared" si="1"/>
        <v>8</v>
      </c>
    </row>
    <row r="60" spans="1:7" x14ac:dyDescent="0.25">
      <c r="A60" s="1970" t="s">
        <v>20</v>
      </c>
      <c r="B60" s="19" t="s">
        <v>32</v>
      </c>
      <c r="C60" s="22"/>
      <c r="D60" s="38">
        <v>6</v>
      </c>
      <c r="E60" s="123">
        <f>2*E$3</f>
        <v>0</v>
      </c>
      <c r="F60" s="423">
        <f>1*F$3</f>
        <v>0</v>
      </c>
      <c r="G60" s="21">
        <f t="shared" si="1"/>
        <v>6</v>
      </c>
    </row>
    <row r="61" spans="1:7" x14ac:dyDescent="0.25">
      <c r="A61" s="1970"/>
      <c r="B61" s="19" t="s">
        <v>33</v>
      </c>
      <c r="C61" s="22"/>
      <c r="D61" s="38">
        <v>12</v>
      </c>
      <c r="E61" s="123">
        <f>2*E$3</f>
        <v>0</v>
      </c>
      <c r="F61" s="423">
        <f>1*F$3</f>
        <v>0</v>
      </c>
      <c r="G61" s="21">
        <f t="shared" si="1"/>
        <v>12</v>
      </c>
    </row>
    <row r="62" spans="1:7" x14ac:dyDescent="0.25">
      <c r="A62" s="1970"/>
      <c r="B62" s="19" t="s">
        <v>34</v>
      </c>
      <c r="C62" s="22"/>
      <c r="D62" s="38">
        <v>24</v>
      </c>
      <c r="E62" s="123">
        <f>2*E$3</f>
        <v>0</v>
      </c>
      <c r="F62" s="423">
        <f>1*F$3</f>
        <v>0</v>
      </c>
      <c r="G62" s="21">
        <f t="shared" si="1"/>
        <v>24</v>
      </c>
    </row>
    <row r="63" spans="1:7" x14ac:dyDescent="0.25">
      <c r="A63" s="1970" t="s">
        <v>451</v>
      </c>
      <c r="B63" s="19" t="s">
        <v>32</v>
      </c>
      <c r="C63" s="22"/>
      <c r="D63" s="482">
        <v>0.25</v>
      </c>
      <c r="E63" s="475">
        <v>0</v>
      </c>
      <c r="F63" s="495">
        <v>0</v>
      </c>
      <c r="G63" s="21">
        <f t="shared" si="1"/>
        <v>0.25</v>
      </c>
    </row>
    <row r="64" spans="1:7" x14ac:dyDescent="0.25">
      <c r="A64" s="1970"/>
      <c r="B64" s="19" t="s">
        <v>33</v>
      </c>
      <c r="C64" s="22"/>
      <c r="D64" s="38">
        <v>0.5</v>
      </c>
      <c r="E64" s="475">
        <v>0</v>
      </c>
      <c r="F64" s="495">
        <v>0</v>
      </c>
      <c r="G64" s="21">
        <f t="shared" si="1"/>
        <v>0.5</v>
      </c>
    </row>
    <row r="65" spans="1:7" x14ac:dyDescent="0.25">
      <c r="A65" s="1970"/>
      <c r="B65" s="19" t="s">
        <v>34</v>
      </c>
      <c r="C65" s="22"/>
      <c r="D65" s="38">
        <v>1</v>
      </c>
      <c r="E65" s="475">
        <v>0</v>
      </c>
      <c r="F65" s="495">
        <v>0</v>
      </c>
      <c r="G65" s="21">
        <f t="shared" si="1"/>
        <v>1</v>
      </c>
    </row>
    <row r="66" spans="1:7" x14ac:dyDescent="0.25">
      <c r="A66" s="1970" t="s">
        <v>452</v>
      </c>
      <c r="B66" s="19" t="s">
        <v>32</v>
      </c>
      <c r="C66" s="22"/>
      <c r="D66" s="482">
        <v>0.25</v>
      </c>
      <c r="E66" s="475">
        <v>0</v>
      </c>
      <c r="F66" s="495">
        <v>0</v>
      </c>
      <c r="G66" s="21">
        <f t="shared" si="1"/>
        <v>0.25</v>
      </c>
    </row>
    <row r="67" spans="1:7" x14ac:dyDescent="0.25">
      <c r="A67" s="1970"/>
      <c r="B67" s="19" t="s">
        <v>33</v>
      </c>
      <c r="C67" s="22"/>
      <c r="D67" s="38">
        <v>0.5</v>
      </c>
      <c r="E67" s="475">
        <v>0</v>
      </c>
      <c r="F67" s="495">
        <v>0</v>
      </c>
      <c r="G67" s="21">
        <f t="shared" si="1"/>
        <v>0.5</v>
      </c>
    </row>
    <row r="68" spans="1:7" x14ac:dyDescent="0.25">
      <c r="A68" s="1970"/>
      <c r="B68" s="19" t="s">
        <v>34</v>
      </c>
      <c r="C68" s="22"/>
      <c r="D68" s="38">
        <v>1</v>
      </c>
      <c r="E68" s="475">
        <v>0</v>
      </c>
      <c r="F68" s="495">
        <v>0</v>
      </c>
      <c r="G68" s="21">
        <f t="shared" si="1"/>
        <v>1</v>
      </c>
    </row>
    <row r="69" spans="1:7" x14ac:dyDescent="0.25">
      <c r="A69" s="1986" t="s">
        <v>533</v>
      </c>
      <c r="B69" s="19" t="s">
        <v>32</v>
      </c>
      <c r="C69" s="22"/>
      <c r="D69" s="124">
        <f>4+(1.5*D$3)</f>
        <v>4</v>
      </c>
      <c r="E69" s="423">
        <f>3*E$3</f>
        <v>0</v>
      </c>
      <c r="F69" s="423">
        <f t="shared" ref="F69:F74" si="2">1*F$3</f>
        <v>0</v>
      </c>
      <c r="G69" s="21">
        <f t="shared" si="1"/>
        <v>4</v>
      </c>
    </row>
    <row r="70" spans="1:7" x14ac:dyDescent="0.25">
      <c r="A70" s="1986"/>
      <c r="B70" s="19" t="s">
        <v>33</v>
      </c>
      <c r="C70" s="22"/>
      <c r="D70" s="124">
        <f>6+(1.5*D$3)</f>
        <v>6</v>
      </c>
      <c r="E70" s="423">
        <f>4*E$3</f>
        <v>0</v>
      </c>
      <c r="F70" s="423">
        <f t="shared" si="2"/>
        <v>0</v>
      </c>
      <c r="G70" s="21">
        <f t="shared" si="1"/>
        <v>6</v>
      </c>
    </row>
    <row r="71" spans="1:7" x14ac:dyDescent="0.25">
      <c r="A71" s="1986"/>
      <c r="B71" s="19" t="s">
        <v>34</v>
      </c>
      <c r="C71" s="22"/>
      <c r="D71" s="124">
        <f>8+(1.5*D$3)</f>
        <v>8</v>
      </c>
      <c r="E71" s="423">
        <f>5*E$3</f>
        <v>0</v>
      </c>
      <c r="F71" s="423">
        <f t="shared" si="2"/>
        <v>0</v>
      </c>
      <c r="G71" s="21">
        <f t="shared" si="1"/>
        <v>8</v>
      </c>
    </row>
    <row r="72" spans="1:7" x14ac:dyDescent="0.25">
      <c r="A72" s="1970" t="s">
        <v>534</v>
      </c>
      <c r="B72" s="19" t="s">
        <v>32</v>
      </c>
      <c r="C72" s="22"/>
      <c r="D72" s="124">
        <f>4+(1.5*D$3)</f>
        <v>4</v>
      </c>
      <c r="E72" s="423">
        <f>3*E$3</f>
        <v>0</v>
      </c>
      <c r="F72" s="423">
        <f t="shared" si="2"/>
        <v>0</v>
      </c>
      <c r="G72" s="21">
        <f t="shared" si="1"/>
        <v>4</v>
      </c>
    </row>
    <row r="73" spans="1:7" x14ac:dyDescent="0.25">
      <c r="A73" s="1970"/>
      <c r="B73" s="19" t="s">
        <v>33</v>
      </c>
      <c r="C73" s="22"/>
      <c r="D73" s="124">
        <f>6+(1.5*D$3)</f>
        <v>6</v>
      </c>
      <c r="E73" s="423">
        <f>4*E$3</f>
        <v>0</v>
      </c>
      <c r="F73" s="423">
        <f t="shared" si="2"/>
        <v>0</v>
      </c>
      <c r="G73" s="21">
        <f t="shared" si="1"/>
        <v>6</v>
      </c>
    </row>
    <row r="74" spans="1:7" x14ac:dyDescent="0.25">
      <c r="A74" s="1970"/>
      <c r="B74" s="19" t="s">
        <v>34</v>
      </c>
      <c r="C74" s="22"/>
      <c r="D74" s="124">
        <f>8+(1.5*D$3)</f>
        <v>8</v>
      </c>
      <c r="E74" s="423">
        <f>5*E$3</f>
        <v>0</v>
      </c>
      <c r="F74" s="423">
        <f t="shared" si="2"/>
        <v>0</v>
      </c>
      <c r="G74" s="21">
        <f t="shared" si="1"/>
        <v>8</v>
      </c>
    </row>
    <row r="75" spans="1:7" x14ac:dyDescent="0.25">
      <c r="A75" s="1970" t="s">
        <v>21</v>
      </c>
      <c r="B75" s="19" t="s">
        <v>32</v>
      </c>
      <c r="C75" s="22"/>
      <c r="D75" s="38" t="s">
        <v>90</v>
      </c>
      <c r="E75" s="38" t="s">
        <v>90</v>
      </c>
      <c r="F75" s="38" t="s">
        <v>90</v>
      </c>
      <c r="G75" s="21">
        <f t="shared" si="1"/>
        <v>0</v>
      </c>
    </row>
    <row r="76" spans="1:7" x14ac:dyDescent="0.25">
      <c r="A76" s="1970"/>
      <c r="B76" s="19" t="s">
        <v>33</v>
      </c>
      <c r="C76" s="22"/>
      <c r="D76" s="38" t="s">
        <v>90</v>
      </c>
      <c r="E76" s="38" t="s">
        <v>90</v>
      </c>
      <c r="F76" s="38" t="s">
        <v>90</v>
      </c>
      <c r="G76" s="21">
        <f t="shared" si="1"/>
        <v>0</v>
      </c>
    </row>
    <row r="77" spans="1:7" x14ac:dyDescent="0.25">
      <c r="A77" s="1970"/>
      <c r="B77" s="13" t="s">
        <v>34</v>
      </c>
      <c r="C77" s="34"/>
      <c r="D77" s="38" t="s">
        <v>90</v>
      </c>
      <c r="E77" s="38" t="s">
        <v>90</v>
      </c>
      <c r="F77" s="38" t="s">
        <v>90</v>
      </c>
      <c r="G77" s="21">
        <f t="shared" si="1"/>
        <v>0</v>
      </c>
    </row>
    <row r="78" spans="1:7" x14ac:dyDescent="0.25">
      <c r="A78" s="1970" t="s">
        <v>181</v>
      </c>
      <c r="B78" s="19" t="s">
        <v>32</v>
      </c>
      <c r="C78" s="198"/>
      <c r="D78" s="195">
        <f t="shared" ref="D78:D86" si="3">0.25*D$3</f>
        <v>0</v>
      </c>
      <c r="E78" s="15">
        <v>0</v>
      </c>
      <c r="F78" s="193">
        <v>0</v>
      </c>
      <c r="G78" s="21">
        <f t="shared" si="1"/>
        <v>0</v>
      </c>
    </row>
    <row r="79" spans="1:7" x14ac:dyDescent="0.25">
      <c r="A79" s="1970"/>
      <c r="B79" s="19" t="s">
        <v>33</v>
      </c>
      <c r="C79" s="198"/>
      <c r="D79" s="195">
        <f t="shared" si="3"/>
        <v>0</v>
      </c>
      <c r="E79" s="15">
        <v>0</v>
      </c>
      <c r="F79" s="193">
        <v>0</v>
      </c>
      <c r="G79" s="21">
        <f t="shared" si="1"/>
        <v>0</v>
      </c>
    </row>
    <row r="80" spans="1:7" x14ac:dyDescent="0.25">
      <c r="A80" s="1970"/>
      <c r="B80" s="19" t="s">
        <v>34</v>
      </c>
      <c r="C80" s="198"/>
      <c r="D80" s="195">
        <f t="shared" si="3"/>
        <v>0</v>
      </c>
      <c r="E80" s="15">
        <v>0</v>
      </c>
      <c r="F80" s="193">
        <v>0</v>
      </c>
      <c r="G80" s="21">
        <f t="shared" si="1"/>
        <v>0</v>
      </c>
    </row>
    <row r="81" spans="1:7" x14ac:dyDescent="0.25">
      <c r="A81" s="1970" t="s">
        <v>182</v>
      </c>
      <c r="B81" s="19" t="s">
        <v>32</v>
      </c>
      <c r="C81" s="198"/>
      <c r="D81" s="195">
        <f t="shared" si="3"/>
        <v>0</v>
      </c>
      <c r="E81" s="15">
        <v>0</v>
      </c>
      <c r="F81" s="193">
        <v>0</v>
      </c>
      <c r="G81" s="21">
        <f t="shared" si="1"/>
        <v>0</v>
      </c>
    </row>
    <row r="82" spans="1:7" x14ac:dyDescent="0.25">
      <c r="A82" s="1970"/>
      <c r="B82" s="19" t="s">
        <v>33</v>
      </c>
      <c r="C82" s="198"/>
      <c r="D82" s="195">
        <f t="shared" si="3"/>
        <v>0</v>
      </c>
      <c r="E82" s="15">
        <v>0</v>
      </c>
      <c r="F82" s="193">
        <v>0</v>
      </c>
      <c r="G82" s="21">
        <f t="shared" si="1"/>
        <v>0</v>
      </c>
    </row>
    <row r="83" spans="1:7" x14ac:dyDescent="0.25">
      <c r="A83" s="1970"/>
      <c r="B83" s="19" t="s">
        <v>34</v>
      </c>
      <c r="C83" s="198"/>
      <c r="D83" s="195">
        <f t="shared" si="3"/>
        <v>0</v>
      </c>
      <c r="E83" s="15">
        <v>0</v>
      </c>
      <c r="F83" s="193">
        <v>0</v>
      </c>
      <c r="G83" s="21">
        <f t="shared" si="1"/>
        <v>0</v>
      </c>
    </row>
    <row r="84" spans="1:7" x14ac:dyDescent="0.25">
      <c r="A84" s="1987" t="s">
        <v>183</v>
      </c>
      <c r="B84" s="19" t="s">
        <v>32</v>
      </c>
      <c r="C84" s="198"/>
      <c r="D84" s="195">
        <f t="shared" si="3"/>
        <v>0</v>
      </c>
      <c r="E84" s="15">
        <v>0</v>
      </c>
      <c r="F84" s="193">
        <v>0</v>
      </c>
      <c r="G84" s="21">
        <f t="shared" si="1"/>
        <v>0</v>
      </c>
    </row>
    <row r="85" spans="1:7" x14ac:dyDescent="0.25">
      <c r="A85" s="1987"/>
      <c r="B85" s="19" t="s">
        <v>33</v>
      </c>
      <c r="C85" s="198"/>
      <c r="D85" s="195">
        <f t="shared" si="3"/>
        <v>0</v>
      </c>
      <c r="E85" s="15">
        <v>0</v>
      </c>
      <c r="F85" s="193">
        <v>0</v>
      </c>
      <c r="G85" s="21">
        <f t="shared" si="1"/>
        <v>0</v>
      </c>
    </row>
    <row r="86" spans="1:7" ht="15.75" thickBot="1" x14ac:dyDescent="0.3">
      <c r="A86" s="1987"/>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912" t="s">
        <v>23</v>
      </c>
      <c r="B88" s="404" t="s">
        <v>32</v>
      </c>
      <c r="C88" s="324"/>
      <c r="D88" s="524">
        <v>0.25</v>
      </c>
      <c r="E88" s="479">
        <v>0</v>
      </c>
      <c r="F88" s="525">
        <v>0</v>
      </c>
      <c r="G88" s="230">
        <f t="shared" si="1"/>
        <v>0.25</v>
      </c>
    </row>
    <row r="89" spans="1:7" x14ac:dyDescent="0.25">
      <c r="A89" s="1912"/>
      <c r="B89" s="19" t="s">
        <v>33</v>
      </c>
      <c r="C89" s="22"/>
      <c r="D89" s="503">
        <v>0.25</v>
      </c>
      <c r="E89" s="15">
        <v>0</v>
      </c>
      <c r="F89" s="193">
        <v>0</v>
      </c>
      <c r="G89" s="21">
        <f t="shared" si="1"/>
        <v>0.25</v>
      </c>
    </row>
    <row r="90" spans="1:7" x14ac:dyDescent="0.25">
      <c r="A90" s="1912"/>
      <c r="B90" s="19" t="s">
        <v>34</v>
      </c>
      <c r="C90" s="22"/>
      <c r="D90" s="526">
        <v>0.25</v>
      </c>
      <c r="E90" s="15">
        <v>0</v>
      </c>
      <c r="F90" s="193">
        <v>0</v>
      </c>
      <c r="G90" s="21">
        <f t="shared" si="1"/>
        <v>0.25</v>
      </c>
    </row>
    <row r="91" spans="1:7" x14ac:dyDescent="0.25">
      <c r="A91" s="1970" t="s">
        <v>24</v>
      </c>
      <c r="B91" s="19" t="s">
        <v>32</v>
      </c>
      <c r="C91" s="22"/>
      <c r="D91" s="190">
        <v>8</v>
      </c>
      <c r="E91" s="123">
        <f>4*E$3</f>
        <v>0</v>
      </c>
      <c r="F91" s="193">
        <v>0</v>
      </c>
      <c r="G91" s="21">
        <f t="shared" si="1"/>
        <v>8</v>
      </c>
    </row>
    <row r="92" spans="1:7" x14ac:dyDescent="0.25">
      <c r="A92" s="1970"/>
      <c r="B92" s="19" t="s">
        <v>33</v>
      </c>
      <c r="C92" s="22"/>
      <c r="D92" s="190">
        <v>12</v>
      </c>
      <c r="E92" s="123">
        <f>4*E$3</f>
        <v>0</v>
      </c>
      <c r="F92" s="193">
        <v>0</v>
      </c>
      <c r="G92" s="21">
        <f t="shared" si="1"/>
        <v>12</v>
      </c>
    </row>
    <row r="93" spans="1:7" x14ac:dyDescent="0.25">
      <c r="A93" s="1970"/>
      <c r="B93" s="19" t="s">
        <v>34</v>
      </c>
      <c r="C93" s="22"/>
      <c r="D93" s="190">
        <v>16</v>
      </c>
      <c r="E93" s="123">
        <f>4*E$3</f>
        <v>0</v>
      </c>
      <c r="F93" s="193">
        <v>0</v>
      </c>
      <c r="G93" s="21">
        <f t="shared" si="1"/>
        <v>16</v>
      </c>
    </row>
    <row r="94" spans="1:7" x14ac:dyDescent="0.25">
      <c r="A94" s="1970" t="s">
        <v>25</v>
      </c>
      <c r="B94" s="19" t="s">
        <v>32</v>
      </c>
      <c r="C94" s="22"/>
      <c r="D94" s="190">
        <v>2</v>
      </c>
      <c r="E94" s="33">
        <v>0</v>
      </c>
      <c r="F94" s="193">
        <v>0</v>
      </c>
      <c r="G94" s="21">
        <f t="shared" ref="G94:G105" si="4" xml:space="preserve"> SUM(D94:F94) + $C94</f>
        <v>2</v>
      </c>
    </row>
    <row r="95" spans="1:7" x14ac:dyDescent="0.25">
      <c r="A95" s="1970"/>
      <c r="B95" s="19" t="s">
        <v>33</v>
      </c>
      <c r="C95" s="22"/>
      <c r="D95" s="190">
        <v>4</v>
      </c>
      <c r="E95" s="33">
        <v>0</v>
      </c>
      <c r="F95" s="193">
        <v>0</v>
      </c>
      <c r="G95" s="21">
        <f t="shared" si="4"/>
        <v>4</v>
      </c>
    </row>
    <row r="96" spans="1:7" x14ac:dyDescent="0.25">
      <c r="A96" s="1970"/>
      <c r="B96" s="19" t="s">
        <v>34</v>
      </c>
      <c r="C96" s="22"/>
      <c r="D96" s="190">
        <v>6</v>
      </c>
      <c r="E96" s="33">
        <v>0</v>
      </c>
      <c r="F96" s="193">
        <v>0</v>
      </c>
      <c r="G96" s="21">
        <f t="shared" si="4"/>
        <v>6</v>
      </c>
    </row>
    <row r="97" spans="1:7" x14ac:dyDescent="0.25">
      <c r="A97" s="1970" t="s">
        <v>26</v>
      </c>
      <c r="B97" s="19" t="s">
        <v>32</v>
      </c>
      <c r="C97" s="22"/>
      <c r="D97" s="190">
        <v>14</v>
      </c>
      <c r="E97" s="423">
        <f>E$3*2</f>
        <v>0</v>
      </c>
      <c r="F97" s="527">
        <f>1*F$3</f>
        <v>0</v>
      </c>
      <c r="G97" s="21">
        <f t="shared" si="4"/>
        <v>14</v>
      </c>
    </row>
    <row r="98" spans="1:7" x14ac:dyDescent="0.25">
      <c r="A98" s="1970"/>
      <c r="B98" s="19" t="s">
        <v>33</v>
      </c>
      <c r="C98" s="22"/>
      <c r="D98" s="190">
        <v>26</v>
      </c>
      <c r="E98" s="423">
        <f>E$3*2.5</f>
        <v>0</v>
      </c>
      <c r="F98" s="527">
        <f>1.5*F$3</f>
        <v>0</v>
      </c>
      <c r="G98" s="21">
        <f t="shared" si="4"/>
        <v>26</v>
      </c>
    </row>
    <row r="99" spans="1:7" x14ac:dyDescent="0.25">
      <c r="A99" s="1970"/>
      <c r="B99" s="19" t="s">
        <v>34</v>
      </c>
      <c r="C99" s="22"/>
      <c r="D99" s="190">
        <v>34</v>
      </c>
      <c r="E99" s="423">
        <f>E$3*3</f>
        <v>0</v>
      </c>
      <c r="F99" s="527">
        <f>2*F$3</f>
        <v>0</v>
      </c>
      <c r="G99" s="21">
        <f t="shared" si="4"/>
        <v>34</v>
      </c>
    </row>
    <row r="100" spans="1:7" x14ac:dyDescent="0.25">
      <c r="A100" s="1970" t="s">
        <v>27</v>
      </c>
      <c r="B100" s="19" t="s">
        <v>32</v>
      </c>
      <c r="C100" s="22"/>
      <c r="D100" s="190">
        <v>8</v>
      </c>
      <c r="E100" s="423">
        <f>E$3*2</f>
        <v>0</v>
      </c>
      <c r="F100" s="527">
        <f>1*F$3</f>
        <v>0</v>
      </c>
      <c r="G100" s="21">
        <f t="shared" si="4"/>
        <v>8</v>
      </c>
    </row>
    <row r="101" spans="1:7" x14ac:dyDescent="0.25">
      <c r="A101" s="1970"/>
      <c r="B101" s="19" t="s">
        <v>33</v>
      </c>
      <c r="C101" s="22"/>
      <c r="D101" s="190">
        <v>10</v>
      </c>
      <c r="E101" s="423">
        <f>E$3*2.5</f>
        <v>0</v>
      </c>
      <c r="F101" s="527">
        <f>1.5*F$3</f>
        <v>0</v>
      </c>
      <c r="G101" s="21">
        <f t="shared" si="4"/>
        <v>10</v>
      </c>
    </row>
    <row r="102" spans="1:7" x14ac:dyDescent="0.25">
      <c r="A102" s="1970"/>
      <c r="B102" s="19" t="s">
        <v>34</v>
      </c>
      <c r="C102" s="22"/>
      <c r="D102" s="190">
        <v>14</v>
      </c>
      <c r="E102" s="423">
        <f>E$3*3</f>
        <v>0</v>
      </c>
      <c r="F102" s="527">
        <f>2*F$3</f>
        <v>0</v>
      </c>
      <c r="G102" s="21">
        <f t="shared" si="4"/>
        <v>14</v>
      </c>
    </row>
    <row r="103" spans="1:7" x14ac:dyDescent="0.25">
      <c r="A103" s="1912" t="s">
        <v>28</v>
      </c>
      <c r="B103" s="19" t="s">
        <v>32</v>
      </c>
      <c r="C103" s="22"/>
      <c r="D103" s="190">
        <v>4</v>
      </c>
      <c r="E103" s="122">
        <f t="shared" ref="E103:F105" si="5">0.5*E$3</f>
        <v>0</v>
      </c>
      <c r="F103" s="528">
        <f t="shared" si="5"/>
        <v>0</v>
      </c>
      <c r="G103" s="21">
        <f t="shared" si="4"/>
        <v>4</v>
      </c>
    </row>
    <row r="104" spans="1:7" x14ac:dyDescent="0.25">
      <c r="A104" s="1912"/>
      <c r="B104" s="19" t="s">
        <v>33</v>
      </c>
      <c r="C104" s="22"/>
      <c r="D104" s="190">
        <v>6</v>
      </c>
      <c r="E104" s="122">
        <f t="shared" si="5"/>
        <v>0</v>
      </c>
      <c r="F104" s="528">
        <f t="shared" si="5"/>
        <v>0</v>
      </c>
      <c r="G104" s="21">
        <f t="shared" si="4"/>
        <v>6</v>
      </c>
    </row>
    <row r="105" spans="1:7" ht="15.75" thickBot="1" x14ac:dyDescent="0.3">
      <c r="A105" s="1973"/>
      <c r="B105" s="20" t="s">
        <v>34</v>
      </c>
      <c r="C105" s="23"/>
      <c r="D105" s="196">
        <v>8</v>
      </c>
      <c r="E105" s="224">
        <f t="shared" si="5"/>
        <v>0</v>
      </c>
      <c r="F105" s="529">
        <f t="shared" si="5"/>
        <v>0</v>
      </c>
      <c r="G105" s="24">
        <f t="shared" si="4"/>
        <v>8</v>
      </c>
    </row>
    <row r="107" spans="1:7" x14ac:dyDescent="0.25">
      <c r="A107" s="125" t="s">
        <v>89</v>
      </c>
    </row>
  </sheetData>
  <mergeCells count="35">
    <mergeCell ref="A16:A18"/>
    <mergeCell ref="D1:G1"/>
    <mergeCell ref="C2:C3"/>
    <mergeCell ref="G2:G3"/>
    <mergeCell ref="A8:A10"/>
    <mergeCell ref="A12:A14"/>
    <mergeCell ref="A5:A7"/>
    <mergeCell ref="A54:A56"/>
    <mergeCell ref="A19:A21"/>
    <mergeCell ref="A22:A24"/>
    <mergeCell ref="A25:A27"/>
    <mergeCell ref="A28:A30"/>
    <mergeCell ref="A31:A33"/>
    <mergeCell ref="A34:A36"/>
    <mergeCell ref="A38:A40"/>
    <mergeCell ref="A42:A44"/>
    <mergeCell ref="A45:A47"/>
    <mergeCell ref="A48:A50"/>
    <mergeCell ref="A51:A53"/>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22" t="str">
        <f>'Служебный АСУТП'!AC2</f>
        <v>Kaspersky Sandbox</v>
      </c>
      <c r="E1" s="1923"/>
      <c r="F1" s="1923"/>
      <c r="G1" s="1924"/>
      <c r="H1" s="1922" t="str">
        <f>'Служебный АСУТП'!AC3</f>
        <v>PT Sandbox</v>
      </c>
      <c r="I1" s="1923"/>
      <c r="J1" s="1923"/>
      <c r="K1" s="1924"/>
    </row>
    <row r="2" spans="1:11" ht="31.5" x14ac:dyDescent="0.25">
      <c r="B2" s="41" t="s">
        <v>37</v>
      </c>
      <c r="C2" s="1932" t="s">
        <v>35</v>
      </c>
      <c r="D2" s="547" t="s">
        <v>589</v>
      </c>
      <c r="E2" s="548" t="s">
        <v>590</v>
      </c>
      <c r="F2" s="645" t="s">
        <v>445</v>
      </c>
      <c r="G2" s="1925" t="s">
        <v>38</v>
      </c>
      <c r="H2" s="547" t="s">
        <v>589</v>
      </c>
      <c r="I2" s="548" t="s">
        <v>590</v>
      </c>
      <c r="J2" s="645" t="s">
        <v>445</v>
      </c>
      <c r="K2" s="1925" t="s">
        <v>38</v>
      </c>
    </row>
    <row r="3" spans="1:11"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row>
    <row r="4" spans="1:11" ht="16.5" thickBot="1" x14ac:dyDescent="0.3">
      <c r="A4" s="326" t="s">
        <v>448</v>
      </c>
      <c r="B4" s="327"/>
      <c r="C4" s="327"/>
      <c r="D4" s="327"/>
      <c r="E4" s="327"/>
      <c r="F4" s="327"/>
      <c r="G4" s="327"/>
      <c r="H4" s="327"/>
      <c r="I4" s="327"/>
      <c r="J4" s="327"/>
      <c r="K4" s="396"/>
    </row>
    <row r="5" spans="1:11" x14ac:dyDescent="0.25">
      <c r="A5" s="1940"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40"/>
      <c r="B6" s="19" t="s">
        <v>33</v>
      </c>
      <c r="C6" s="22"/>
      <c r="D6" s="11">
        <v>4</v>
      </c>
      <c r="E6" s="11">
        <v>0.5</v>
      </c>
      <c r="F6" s="11">
        <v>0</v>
      </c>
      <c r="G6" s="21">
        <f xml:space="preserve"> SUM(D6:F6) + $C6</f>
        <v>4.5</v>
      </c>
      <c r="H6" s="615">
        <v>4</v>
      </c>
      <c r="I6" s="615">
        <v>0.5</v>
      </c>
      <c r="J6" s="615">
        <v>0</v>
      </c>
      <c r="K6" s="21">
        <f t="shared" si="0"/>
        <v>4.5</v>
      </c>
    </row>
    <row r="7" spans="1:11" x14ac:dyDescent="0.25">
      <c r="A7" s="1975"/>
      <c r="B7" s="19" t="s">
        <v>34</v>
      </c>
      <c r="C7" s="22"/>
      <c r="D7" s="11">
        <v>8</v>
      </c>
      <c r="E7" s="11">
        <v>0.5</v>
      </c>
      <c r="F7" s="11">
        <v>0</v>
      </c>
      <c r="G7" s="21">
        <f xml:space="preserve"> SUM(D7:F7) + $C7</f>
        <v>8.5</v>
      </c>
      <c r="H7" s="615">
        <v>8</v>
      </c>
      <c r="I7" s="615">
        <v>0.5</v>
      </c>
      <c r="J7" s="615">
        <v>0</v>
      </c>
      <c r="K7" s="21">
        <f t="shared" si="0"/>
        <v>8.5</v>
      </c>
    </row>
    <row r="8" spans="1:11" x14ac:dyDescent="0.25">
      <c r="A8" s="1940" t="s">
        <v>449</v>
      </c>
      <c r="B8" s="404" t="s">
        <v>32</v>
      </c>
      <c r="C8" s="324"/>
      <c r="D8" s="661">
        <v>2</v>
      </c>
      <c r="E8" s="661">
        <v>0.5</v>
      </c>
      <c r="F8" s="661">
        <v>0</v>
      </c>
      <c r="G8" s="21">
        <f xml:space="preserve"> SUM(D8:F8) + $C8</f>
        <v>2.5</v>
      </c>
      <c r="H8" s="661">
        <v>2</v>
      </c>
      <c r="I8" s="661">
        <v>0.5</v>
      </c>
      <c r="J8" s="661">
        <v>0</v>
      </c>
      <c r="K8" s="21">
        <f t="shared" si="0"/>
        <v>2.5</v>
      </c>
    </row>
    <row r="9" spans="1:11" x14ac:dyDescent="0.25">
      <c r="A9" s="1940"/>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40"/>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40"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40"/>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40"/>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36"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72"/>
      <c r="B17" s="18" t="s">
        <v>33</v>
      </c>
      <c r="C17" s="22"/>
      <c r="D17" s="38">
        <v>0.25</v>
      </c>
      <c r="E17" s="15">
        <v>0</v>
      </c>
      <c r="F17" s="33">
        <v>0</v>
      </c>
      <c r="G17" s="21">
        <f t="shared" si="1"/>
        <v>0.25</v>
      </c>
      <c r="H17" s="625">
        <v>0.25</v>
      </c>
      <c r="I17" s="616">
        <v>0</v>
      </c>
      <c r="J17" s="623">
        <v>0</v>
      </c>
      <c r="K17" s="21">
        <f t="shared" si="2"/>
        <v>0.25</v>
      </c>
    </row>
    <row r="18" spans="1:11" x14ac:dyDescent="0.25">
      <c r="A18" s="1972"/>
      <c r="B18" s="18" t="s">
        <v>34</v>
      </c>
      <c r="C18" s="22"/>
      <c r="D18" s="38">
        <v>0.25</v>
      </c>
      <c r="E18" s="15">
        <v>0</v>
      </c>
      <c r="F18" s="33">
        <v>0</v>
      </c>
      <c r="G18" s="21">
        <f t="shared" si="1"/>
        <v>0.25</v>
      </c>
      <c r="H18" s="625">
        <v>0.25</v>
      </c>
      <c r="I18" s="616">
        <v>0</v>
      </c>
      <c r="J18" s="623">
        <v>0</v>
      </c>
      <c r="K18" s="21">
        <f t="shared" si="2"/>
        <v>0.25</v>
      </c>
    </row>
    <row r="19" spans="1:11" x14ac:dyDescent="0.25">
      <c r="A19" s="1972" t="s">
        <v>5</v>
      </c>
      <c r="B19" s="19" t="s">
        <v>32</v>
      </c>
      <c r="C19" s="22"/>
      <c r="D19" s="38">
        <v>1</v>
      </c>
      <c r="E19" s="15">
        <v>0</v>
      </c>
      <c r="F19" s="33">
        <v>0</v>
      </c>
      <c r="G19" s="21">
        <f t="shared" si="1"/>
        <v>1</v>
      </c>
      <c r="H19" s="38">
        <v>1</v>
      </c>
      <c r="I19" s="15">
        <v>0</v>
      </c>
      <c r="J19" s="33">
        <v>0</v>
      </c>
      <c r="K19" s="21">
        <f t="shared" si="2"/>
        <v>1</v>
      </c>
    </row>
    <row r="20" spans="1:11" x14ac:dyDescent="0.25">
      <c r="A20" s="1972"/>
      <c r="B20" s="19" t="s">
        <v>33</v>
      </c>
      <c r="C20" s="22"/>
      <c r="D20" s="38">
        <v>2</v>
      </c>
      <c r="E20" s="15">
        <v>0</v>
      </c>
      <c r="F20" s="33">
        <v>0</v>
      </c>
      <c r="G20" s="21">
        <f t="shared" si="1"/>
        <v>2</v>
      </c>
      <c r="H20" s="38">
        <v>2</v>
      </c>
      <c r="I20" s="15">
        <v>0</v>
      </c>
      <c r="J20" s="33">
        <v>0</v>
      </c>
      <c r="K20" s="21">
        <f t="shared" si="2"/>
        <v>2</v>
      </c>
    </row>
    <row r="21" spans="1:11" x14ac:dyDescent="0.25">
      <c r="A21" s="1972"/>
      <c r="B21" s="19" t="s">
        <v>34</v>
      </c>
      <c r="C21" s="22"/>
      <c r="D21" s="38">
        <v>3</v>
      </c>
      <c r="E21" s="15">
        <v>0</v>
      </c>
      <c r="F21" s="33">
        <v>0</v>
      </c>
      <c r="G21" s="21">
        <f t="shared" si="1"/>
        <v>3</v>
      </c>
      <c r="H21" s="38">
        <v>3</v>
      </c>
      <c r="I21" s="15">
        <v>0</v>
      </c>
      <c r="J21" s="33">
        <v>0</v>
      </c>
      <c r="K21" s="21">
        <f t="shared" si="2"/>
        <v>3</v>
      </c>
    </row>
    <row r="22" spans="1:11" x14ac:dyDescent="0.25">
      <c r="A22" s="1972" t="s">
        <v>6</v>
      </c>
      <c r="B22" s="19" t="s">
        <v>32</v>
      </c>
      <c r="C22" s="22"/>
      <c r="D22" s="615">
        <v>8</v>
      </c>
      <c r="E22" s="630">
        <f>1*E$3</f>
        <v>0</v>
      </c>
      <c r="F22" s="615">
        <v>0</v>
      </c>
      <c r="G22" s="21">
        <f t="shared" si="1"/>
        <v>8</v>
      </c>
      <c r="H22" s="615">
        <v>8</v>
      </c>
      <c r="I22" s="630">
        <f>1*I$3</f>
        <v>0</v>
      </c>
      <c r="J22" s="615">
        <v>0</v>
      </c>
      <c r="K22" s="21">
        <f t="shared" si="2"/>
        <v>8</v>
      </c>
    </row>
    <row r="23" spans="1:11" x14ac:dyDescent="0.25">
      <c r="A23" s="1972"/>
      <c r="B23" s="19" t="s">
        <v>33</v>
      </c>
      <c r="C23" s="22"/>
      <c r="D23" s="615">
        <v>12</v>
      </c>
      <c r="E23" s="630">
        <f>1*E$3</f>
        <v>0</v>
      </c>
      <c r="F23" s="615">
        <v>0</v>
      </c>
      <c r="G23" s="21">
        <f t="shared" si="1"/>
        <v>12</v>
      </c>
      <c r="H23" s="615">
        <v>12</v>
      </c>
      <c r="I23" s="630">
        <f>1*I$3</f>
        <v>0</v>
      </c>
      <c r="J23" s="615">
        <v>0</v>
      </c>
      <c r="K23" s="21">
        <f t="shared" si="2"/>
        <v>12</v>
      </c>
    </row>
    <row r="24" spans="1:11" x14ac:dyDescent="0.25">
      <c r="A24" s="1972"/>
      <c r="B24" s="19" t="s">
        <v>34</v>
      </c>
      <c r="C24" s="22"/>
      <c r="D24" s="615">
        <v>14</v>
      </c>
      <c r="E24" s="630">
        <f>1*E$3</f>
        <v>0</v>
      </c>
      <c r="F24" s="615">
        <v>0</v>
      </c>
      <c r="G24" s="21">
        <f t="shared" si="1"/>
        <v>14</v>
      </c>
      <c r="H24" s="615">
        <v>14</v>
      </c>
      <c r="I24" s="630">
        <f>1*I$3</f>
        <v>0</v>
      </c>
      <c r="J24" s="615">
        <v>0</v>
      </c>
      <c r="K24" s="21">
        <f t="shared" si="2"/>
        <v>14</v>
      </c>
    </row>
    <row r="25" spans="1:11" x14ac:dyDescent="0.25">
      <c r="A25" s="1972" t="s">
        <v>7</v>
      </c>
      <c r="B25" s="19" t="s">
        <v>32</v>
      </c>
      <c r="C25" s="22"/>
      <c r="D25" s="625">
        <v>4</v>
      </c>
      <c r="E25" s="616">
        <v>0</v>
      </c>
      <c r="F25" s="623">
        <v>0</v>
      </c>
      <c r="G25" s="21">
        <f t="shared" si="1"/>
        <v>4</v>
      </c>
      <c r="H25" s="625">
        <v>4</v>
      </c>
      <c r="I25" s="616">
        <v>0</v>
      </c>
      <c r="J25" s="623">
        <v>0</v>
      </c>
      <c r="K25" s="21">
        <f t="shared" si="2"/>
        <v>4</v>
      </c>
    </row>
    <row r="26" spans="1:11" x14ac:dyDescent="0.25">
      <c r="A26" s="1972"/>
      <c r="B26" s="19" t="s">
        <v>33</v>
      </c>
      <c r="C26" s="22"/>
      <c r="D26" s="625">
        <v>6</v>
      </c>
      <c r="E26" s="616">
        <v>0</v>
      </c>
      <c r="F26" s="623">
        <v>0</v>
      </c>
      <c r="G26" s="21">
        <f t="shared" si="1"/>
        <v>6</v>
      </c>
      <c r="H26" s="625">
        <v>6</v>
      </c>
      <c r="I26" s="616">
        <v>0</v>
      </c>
      <c r="J26" s="623">
        <v>0</v>
      </c>
      <c r="K26" s="21">
        <f t="shared" si="2"/>
        <v>6</v>
      </c>
    </row>
    <row r="27" spans="1:11" x14ac:dyDescent="0.25">
      <c r="A27" s="1972"/>
      <c r="B27" s="19" t="s">
        <v>34</v>
      </c>
      <c r="C27" s="22"/>
      <c r="D27" s="625">
        <v>8</v>
      </c>
      <c r="E27" s="616">
        <v>0</v>
      </c>
      <c r="F27" s="623">
        <v>0</v>
      </c>
      <c r="G27" s="21">
        <f t="shared" si="1"/>
        <v>8</v>
      </c>
      <c r="H27" s="625">
        <v>8</v>
      </c>
      <c r="I27" s="616">
        <v>0</v>
      </c>
      <c r="J27" s="623">
        <v>0</v>
      </c>
      <c r="K27" s="21">
        <f t="shared" si="2"/>
        <v>8</v>
      </c>
    </row>
    <row r="28" spans="1:11" x14ac:dyDescent="0.25">
      <c r="A28" s="1972" t="s">
        <v>8</v>
      </c>
      <c r="B28" s="19" t="s">
        <v>32</v>
      </c>
      <c r="C28" s="22"/>
      <c r="D28" s="625">
        <v>3</v>
      </c>
      <c r="E28" s="616">
        <v>0</v>
      </c>
      <c r="F28" s="623">
        <v>0</v>
      </c>
      <c r="G28" s="21">
        <f t="shared" si="1"/>
        <v>3</v>
      </c>
      <c r="H28" s="625">
        <v>3</v>
      </c>
      <c r="I28" s="616">
        <v>0</v>
      </c>
      <c r="J28" s="623">
        <v>0</v>
      </c>
      <c r="K28" s="21">
        <f t="shared" si="2"/>
        <v>3</v>
      </c>
    </row>
    <row r="29" spans="1:11" x14ac:dyDescent="0.25">
      <c r="A29" s="1972"/>
      <c r="B29" s="19" t="s">
        <v>33</v>
      </c>
      <c r="C29" s="22"/>
      <c r="D29" s="625">
        <v>4</v>
      </c>
      <c r="E29" s="616">
        <v>0</v>
      </c>
      <c r="F29" s="623">
        <v>0</v>
      </c>
      <c r="G29" s="21">
        <f t="shared" si="1"/>
        <v>4</v>
      </c>
      <c r="H29" s="625">
        <v>4</v>
      </c>
      <c r="I29" s="616">
        <v>0</v>
      </c>
      <c r="J29" s="623">
        <v>0</v>
      </c>
      <c r="K29" s="21">
        <f t="shared" si="2"/>
        <v>4</v>
      </c>
    </row>
    <row r="30" spans="1:11" x14ac:dyDescent="0.25">
      <c r="A30" s="1972"/>
      <c r="B30" s="19" t="s">
        <v>34</v>
      </c>
      <c r="C30" s="22"/>
      <c r="D30" s="625">
        <v>6</v>
      </c>
      <c r="E30" s="616">
        <v>0</v>
      </c>
      <c r="F30" s="623">
        <v>0</v>
      </c>
      <c r="G30" s="21">
        <f t="shared" si="1"/>
        <v>6</v>
      </c>
      <c r="H30" s="625">
        <v>6</v>
      </c>
      <c r="I30" s="616">
        <v>0</v>
      </c>
      <c r="J30" s="623">
        <v>0</v>
      </c>
      <c r="K30" s="21">
        <f t="shared" si="2"/>
        <v>6</v>
      </c>
    </row>
    <row r="31" spans="1:11" x14ac:dyDescent="0.25">
      <c r="A31" s="1972" t="s">
        <v>9</v>
      </c>
      <c r="B31" s="19" t="s">
        <v>32</v>
      </c>
      <c r="C31" s="22"/>
      <c r="D31" s="124">
        <f>2+(0.5*D$3)</f>
        <v>2</v>
      </c>
      <c r="E31" s="15">
        <v>0</v>
      </c>
      <c r="F31" s="15">
        <v>0</v>
      </c>
      <c r="G31" s="21">
        <f t="shared" si="1"/>
        <v>2</v>
      </c>
      <c r="H31" s="631">
        <f>2+(0.5*H$3)</f>
        <v>2</v>
      </c>
      <c r="I31" s="616">
        <v>0</v>
      </c>
      <c r="J31" s="616">
        <v>0</v>
      </c>
      <c r="K31" s="21">
        <f t="shared" si="2"/>
        <v>2</v>
      </c>
    </row>
    <row r="32" spans="1:11" x14ac:dyDescent="0.25">
      <c r="A32" s="1972"/>
      <c r="B32" s="19" t="s">
        <v>33</v>
      </c>
      <c r="C32" s="22"/>
      <c r="D32" s="124">
        <f>4+(0.5*D$3)</f>
        <v>4</v>
      </c>
      <c r="E32" s="15">
        <v>0</v>
      </c>
      <c r="F32" s="15">
        <v>0</v>
      </c>
      <c r="G32" s="21">
        <f t="shared" si="1"/>
        <v>4</v>
      </c>
      <c r="H32" s="631">
        <f>4+(0.5*H$3)</f>
        <v>4</v>
      </c>
      <c r="I32" s="616">
        <v>0</v>
      </c>
      <c r="J32" s="616">
        <v>0</v>
      </c>
      <c r="K32" s="21">
        <f t="shared" si="2"/>
        <v>4</v>
      </c>
    </row>
    <row r="33" spans="1:11" x14ac:dyDescent="0.25">
      <c r="A33" s="1972"/>
      <c r="B33" s="19" t="s">
        <v>34</v>
      </c>
      <c r="C33" s="22"/>
      <c r="D33" s="124">
        <f>6+(0.5*D$3)</f>
        <v>6</v>
      </c>
      <c r="E33" s="15">
        <v>0</v>
      </c>
      <c r="F33" s="15">
        <v>0</v>
      </c>
      <c r="G33" s="21">
        <f t="shared" si="1"/>
        <v>6</v>
      </c>
      <c r="H33" s="631">
        <f>6+(0.5*H$3)</f>
        <v>6</v>
      </c>
      <c r="I33" s="616">
        <v>0</v>
      </c>
      <c r="J33" s="616">
        <v>0</v>
      </c>
      <c r="K33" s="21">
        <f t="shared" si="2"/>
        <v>6</v>
      </c>
    </row>
    <row r="34" spans="1:11" x14ac:dyDescent="0.25">
      <c r="A34" s="1972" t="s">
        <v>10</v>
      </c>
      <c r="B34" s="19" t="s">
        <v>32</v>
      </c>
      <c r="C34" s="22"/>
      <c r="D34" s="38">
        <v>2</v>
      </c>
      <c r="E34" s="15">
        <v>0</v>
      </c>
      <c r="F34" s="15">
        <v>0</v>
      </c>
      <c r="G34" s="21">
        <f t="shared" si="1"/>
        <v>2</v>
      </c>
      <c r="H34" s="625">
        <v>2</v>
      </c>
      <c r="I34" s="616">
        <v>0</v>
      </c>
      <c r="J34" s="616">
        <v>0</v>
      </c>
      <c r="K34" s="21">
        <f t="shared" si="2"/>
        <v>2</v>
      </c>
    </row>
    <row r="35" spans="1:11" x14ac:dyDescent="0.25">
      <c r="A35" s="1972"/>
      <c r="B35" s="19" t="s">
        <v>33</v>
      </c>
      <c r="C35" s="22"/>
      <c r="D35" s="38">
        <v>4</v>
      </c>
      <c r="E35" s="15">
        <v>0</v>
      </c>
      <c r="F35" s="15">
        <v>0</v>
      </c>
      <c r="G35" s="21">
        <f t="shared" si="1"/>
        <v>4</v>
      </c>
      <c r="H35" s="625">
        <v>4</v>
      </c>
      <c r="I35" s="616">
        <v>0</v>
      </c>
      <c r="J35" s="616">
        <v>0</v>
      </c>
      <c r="K35" s="21">
        <f t="shared" si="2"/>
        <v>4</v>
      </c>
    </row>
    <row r="36" spans="1:11" ht="15.75" thickBot="1" x14ac:dyDescent="0.3">
      <c r="A36" s="1939"/>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40"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40"/>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40"/>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40"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40"/>
      <c r="B43" s="19" t="s">
        <v>33</v>
      </c>
      <c r="C43" s="22"/>
      <c r="D43" s="625">
        <v>2</v>
      </c>
      <c r="E43" s="616">
        <v>0</v>
      </c>
      <c r="F43" s="623">
        <v>0</v>
      </c>
      <c r="G43" s="21">
        <f t="shared" si="1"/>
        <v>2</v>
      </c>
      <c r="H43" s="625">
        <v>2</v>
      </c>
      <c r="I43" s="616">
        <v>0</v>
      </c>
      <c r="J43" s="623">
        <v>0</v>
      </c>
      <c r="K43" s="21">
        <f t="shared" si="3"/>
        <v>2</v>
      </c>
    </row>
    <row r="44" spans="1:11" x14ac:dyDescent="0.25">
      <c r="A44" s="1940"/>
      <c r="B44" s="19" t="s">
        <v>34</v>
      </c>
      <c r="C44" s="22"/>
      <c r="D44" s="625">
        <v>3</v>
      </c>
      <c r="E44" s="616">
        <v>0</v>
      </c>
      <c r="F44" s="623">
        <v>0</v>
      </c>
      <c r="G44" s="21">
        <f t="shared" si="1"/>
        <v>3</v>
      </c>
      <c r="H44" s="625">
        <v>3</v>
      </c>
      <c r="I44" s="616">
        <v>0</v>
      </c>
      <c r="J44" s="623">
        <v>0</v>
      </c>
      <c r="K44" s="21">
        <f t="shared" si="3"/>
        <v>3</v>
      </c>
    </row>
    <row r="45" spans="1:11" x14ac:dyDescent="0.25">
      <c r="A45" s="1971" t="s">
        <v>15</v>
      </c>
      <c r="B45" s="19" t="s">
        <v>32</v>
      </c>
      <c r="C45" s="22"/>
      <c r="D45" s="661">
        <v>16</v>
      </c>
      <c r="E45" s="674">
        <f>1.5*$E$3</f>
        <v>0</v>
      </c>
      <c r="F45" s="15">
        <v>0</v>
      </c>
      <c r="G45" s="21">
        <f t="shared" si="1"/>
        <v>16</v>
      </c>
      <c r="H45" s="661">
        <v>16</v>
      </c>
      <c r="I45" s="674">
        <f>1.5*$E$3</f>
        <v>0</v>
      </c>
      <c r="J45" s="616">
        <v>0</v>
      </c>
      <c r="K45" s="21">
        <f t="shared" si="3"/>
        <v>16</v>
      </c>
    </row>
    <row r="46" spans="1:11" x14ac:dyDescent="0.25">
      <c r="A46" s="1971"/>
      <c r="B46" s="19" t="s">
        <v>33</v>
      </c>
      <c r="C46" s="22"/>
      <c r="D46" s="615">
        <v>24</v>
      </c>
      <c r="E46" s="674">
        <f>1.5*$E$3</f>
        <v>0</v>
      </c>
      <c r="F46" s="15">
        <v>0</v>
      </c>
      <c r="G46" s="21">
        <f t="shared" si="1"/>
        <v>24</v>
      </c>
      <c r="H46" s="615">
        <v>24</v>
      </c>
      <c r="I46" s="674">
        <f>1.5*$E$3</f>
        <v>0</v>
      </c>
      <c r="J46" s="616">
        <v>0</v>
      </c>
      <c r="K46" s="21">
        <f t="shared" si="3"/>
        <v>24</v>
      </c>
    </row>
    <row r="47" spans="1:11" x14ac:dyDescent="0.25">
      <c r="A47" s="1971"/>
      <c r="B47" s="19" t="s">
        <v>34</v>
      </c>
      <c r="C47" s="22"/>
      <c r="D47" s="673">
        <v>32</v>
      </c>
      <c r="E47" s="674">
        <f>1.5*$E$3</f>
        <v>0</v>
      </c>
      <c r="F47" s="15">
        <v>0</v>
      </c>
      <c r="G47" s="21">
        <f t="shared" si="1"/>
        <v>32</v>
      </c>
      <c r="H47" s="673">
        <v>32</v>
      </c>
      <c r="I47" s="674">
        <f>1.5*$E$3</f>
        <v>0</v>
      </c>
      <c r="J47" s="616">
        <v>0</v>
      </c>
      <c r="K47" s="21">
        <f t="shared" si="3"/>
        <v>32</v>
      </c>
    </row>
    <row r="48" spans="1:11" x14ac:dyDescent="0.25">
      <c r="A48" s="1971" t="s">
        <v>16</v>
      </c>
      <c r="B48" s="19" t="s">
        <v>32</v>
      </c>
      <c r="C48" s="22"/>
      <c r="D48" s="631">
        <f>1*D$3</f>
        <v>0</v>
      </c>
      <c r="E48" s="616">
        <v>0</v>
      </c>
      <c r="F48" s="689">
        <v>0</v>
      </c>
      <c r="G48" s="21">
        <f t="shared" si="1"/>
        <v>0</v>
      </c>
      <c r="H48" s="631">
        <f>1*H$3</f>
        <v>0</v>
      </c>
      <c r="I48" s="616">
        <v>0</v>
      </c>
      <c r="J48" s="689">
        <v>0</v>
      </c>
      <c r="K48" s="21">
        <f t="shared" si="3"/>
        <v>0</v>
      </c>
    </row>
    <row r="49" spans="1:11" x14ac:dyDescent="0.25">
      <c r="A49" s="1971"/>
      <c r="B49" s="19" t="s">
        <v>33</v>
      </c>
      <c r="C49" s="22"/>
      <c r="D49" s="631">
        <f>1.5*D$3</f>
        <v>0</v>
      </c>
      <c r="E49" s="616">
        <v>0</v>
      </c>
      <c r="F49" s="689">
        <v>0</v>
      </c>
      <c r="G49" s="21">
        <f t="shared" si="1"/>
        <v>0</v>
      </c>
      <c r="H49" s="631">
        <f>1.5*H$3</f>
        <v>0</v>
      </c>
      <c r="I49" s="616">
        <v>0</v>
      </c>
      <c r="J49" s="689">
        <v>0</v>
      </c>
      <c r="K49" s="21">
        <f t="shared" si="3"/>
        <v>0</v>
      </c>
    </row>
    <row r="50" spans="1:11" x14ac:dyDescent="0.25">
      <c r="A50" s="1971"/>
      <c r="B50" s="19" t="s">
        <v>34</v>
      </c>
      <c r="C50" s="22"/>
      <c r="D50" s="631">
        <f>2*D$3</f>
        <v>0</v>
      </c>
      <c r="E50" s="616">
        <v>0</v>
      </c>
      <c r="F50" s="689">
        <v>0</v>
      </c>
      <c r="G50" s="21">
        <f t="shared" si="1"/>
        <v>0</v>
      </c>
      <c r="H50" s="631">
        <f>2*H$3</f>
        <v>0</v>
      </c>
      <c r="I50" s="616">
        <v>0</v>
      </c>
      <c r="J50" s="689">
        <v>0</v>
      </c>
      <c r="K50" s="21">
        <f t="shared" si="3"/>
        <v>0</v>
      </c>
    </row>
    <row r="51" spans="1:11" x14ac:dyDescent="0.25">
      <c r="A51" s="1971" t="s">
        <v>17</v>
      </c>
      <c r="B51" s="19" t="s">
        <v>32</v>
      </c>
      <c r="C51" s="22"/>
      <c r="D51" s="631">
        <f>1*D$3</f>
        <v>0</v>
      </c>
      <c r="E51" s="616">
        <v>0</v>
      </c>
      <c r="F51" s="689">
        <v>0</v>
      </c>
      <c r="G51" s="21">
        <f t="shared" si="1"/>
        <v>0</v>
      </c>
      <c r="H51" s="631">
        <f>1*H$3</f>
        <v>0</v>
      </c>
      <c r="I51" s="616">
        <v>0</v>
      </c>
      <c r="J51" s="689">
        <v>0</v>
      </c>
      <c r="K51" s="21">
        <f t="shared" si="3"/>
        <v>0</v>
      </c>
    </row>
    <row r="52" spans="1:11" x14ac:dyDescent="0.25">
      <c r="A52" s="1971"/>
      <c r="B52" s="19" t="s">
        <v>33</v>
      </c>
      <c r="C52" s="22"/>
      <c r="D52" s="631">
        <f>1.5*D$3</f>
        <v>0</v>
      </c>
      <c r="E52" s="616">
        <v>0</v>
      </c>
      <c r="F52" s="689">
        <v>0</v>
      </c>
      <c r="G52" s="21">
        <f t="shared" si="1"/>
        <v>0</v>
      </c>
      <c r="H52" s="631">
        <f>1.5*H$3</f>
        <v>0</v>
      </c>
      <c r="I52" s="616">
        <v>0</v>
      </c>
      <c r="J52" s="689">
        <v>0</v>
      </c>
      <c r="K52" s="21">
        <f t="shared" si="3"/>
        <v>0</v>
      </c>
    </row>
    <row r="53" spans="1:11" x14ac:dyDescent="0.25">
      <c r="A53" s="1971"/>
      <c r="B53" s="19" t="s">
        <v>34</v>
      </c>
      <c r="C53" s="22"/>
      <c r="D53" s="631">
        <f>2*D$3</f>
        <v>0</v>
      </c>
      <c r="E53" s="616">
        <v>0</v>
      </c>
      <c r="F53" s="689">
        <v>0</v>
      </c>
      <c r="G53" s="21">
        <f t="shared" si="1"/>
        <v>0</v>
      </c>
      <c r="H53" s="631">
        <f>2*H$3</f>
        <v>0</v>
      </c>
      <c r="I53" s="616">
        <v>0</v>
      </c>
      <c r="J53" s="689">
        <v>0</v>
      </c>
      <c r="K53" s="21">
        <f t="shared" si="3"/>
        <v>0</v>
      </c>
    </row>
    <row r="54" spans="1:11" x14ac:dyDescent="0.25">
      <c r="A54" s="1971" t="s">
        <v>18</v>
      </c>
      <c r="B54" s="19" t="s">
        <v>32</v>
      </c>
      <c r="C54" s="22"/>
      <c r="D54" s="631">
        <f>1*D$3</f>
        <v>0</v>
      </c>
      <c r="E54" s="616">
        <v>0</v>
      </c>
      <c r="F54" s="616">
        <v>0</v>
      </c>
      <c r="G54" s="21">
        <f t="shared" si="1"/>
        <v>0</v>
      </c>
      <c r="H54" s="631">
        <f>1*H$3</f>
        <v>0</v>
      </c>
      <c r="I54" s="616">
        <v>0</v>
      </c>
      <c r="J54" s="616">
        <v>0</v>
      </c>
      <c r="K54" s="21">
        <f t="shared" si="3"/>
        <v>0</v>
      </c>
    </row>
    <row r="55" spans="1:11" x14ac:dyDescent="0.25">
      <c r="A55" s="1971"/>
      <c r="B55" s="19" t="s">
        <v>33</v>
      </c>
      <c r="C55" s="22"/>
      <c r="D55" s="631">
        <f>1*D$3</f>
        <v>0</v>
      </c>
      <c r="E55" s="616">
        <v>0</v>
      </c>
      <c r="F55" s="616">
        <v>0</v>
      </c>
      <c r="G55" s="21">
        <f t="shared" si="1"/>
        <v>0</v>
      </c>
      <c r="H55" s="631">
        <f>1*H$3</f>
        <v>0</v>
      </c>
      <c r="I55" s="616">
        <v>0</v>
      </c>
      <c r="J55" s="616">
        <v>0</v>
      </c>
      <c r="K55" s="21">
        <f t="shared" si="3"/>
        <v>0</v>
      </c>
    </row>
    <row r="56" spans="1:11" x14ac:dyDescent="0.25">
      <c r="A56" s="1971"/>
      <c r="B56" s="19" t="s">
        <v>34</v>
      </c>
      <c r="C56" s="22"/>
      <c r="D56" s="631">
        <f>1*D$3</f>
        <v>0</v>
      </c>
      <c r="E56" s="616">
        <v>0</v>
      </c>
      <c r="F56" s="616">
        <v>0</v>
      </c>
      <c r="G56" s="21">
        <f t="shared" si="1"/>
        <v>0</v>
      </c>
      <c r="H56" s="631">
        <f>1*H$3</f>
        <v>0</v>
      </c>
      <c r="I56" s="616">
        <v>0</v>
      </c>
      <c r="J56" s="616">
        <v>0</v>
      </c>
      <c r="K56" s="21">
        <f t="shared" si="3"/>
        <v>0</v>
      </c>
    </row>
    <row r="57" spans="1:11" x14ac:dyDescent="0.25">
      <c r="A57" s="1971" t="s">
        <v>19</v>
      </c>
      <c r="B57" s="19" t="s">
        <v>32</v>
      </c>
      <c r="C57" s="22"/>
      <c r="D57" s="625">
        <v>4</v>
      </c>
      <c r="E57" s="616">
        <v>0</v>
      </c>
      <c r="F57" s="616">
        <v>0</v>
      </c>
      <c r="G57" s="21">
        <f t="shared" si="1"/>
        <v>4</v>
      </c>
      <c r="H57" s="625">
        <v>4</v>
      </c>
      <c r="I57" s="616">
        <v>0</v>
      </c>
      <c r="J57" s="616">
        <v>0</v>
      </c>
      <c r="K57" s="21">
        <f t="shared" si="3"/>
        <v>4</v>
      </c>
    </row>
    <row r="58" spans="1:11" x14ac:dyDescent="0.25">
      <c r="A58" s="1971"/>
      <c r="B58" s="19" t="s">
        <v>33</v>
      </c>
      <c r="C58" s="22"/>
      <c r="D58" s="625">
        <v>6</v>
      </c>
      <c r="E58" s="616">
        <v>0</v>
      </c>
      <c r="F58" s="616">
        <v>0</v>
      </c>
      <c r="G58" s="21">
        <f t="shared" si="1"/>
        <v>6</v>
      </c>
      <c r="H58" s="625">
        <v>6</v>
      </c>
      <c r="I58" s="616">
        <v>0</v>
      </c>
      <c r="J58" s="616">
        <v>0</v>
      </c>
      <c r="K58" s="21">
        <f t="shared" si="3"/>
        <v>6</v>
      </c>
    </row>
    <row r="59" spans="1:11" x14ac:dyDescent="0.25">
      <c r="A59" s="1971"/>
      <c r="B59" s="19" t="s">
        <v>34</v>
      </c>
      <c r="C59" s="22"/>
      <c r="D59" s="625">
        <v>8</v>
      </c>
      <c r="E59" s="616">
        <v>0</v>
      </c>
      <c r="F59" s="616">
        <v>0</v>
      </c>
      <c r="G59" s="21">
        <f t="shared" si="1"/>
        <v>8</v>
      </c>
      <c r="H59" s="625">
        <v>8</v>
      </c>
      <c r="I59" s="616">
        <v>0</v>
      </c>
      <c r="J59" s="616">
        <v>0</v>
      </c>
      <c r="K59" s="21">
        <f t="shared" si="3"/>
        <v>8</v>
      </c>
    </row>
    <row r="60" spans="1:11" x14ac:dyDescent="0.25">
      <c r="A60" s="1971"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71"/>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71"/>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71" t="s">
        <v>451</v>
      </c>
      <c r="B63" s="19" t="s">
        <v>32</v>
      </c>
      <c r="C63" s="22"/>
      <c r="D63" s="482">
        <v>0.25</v>
      </c>
      <c r="E63" s="691">
        <v>0</v>
      </c>
      <c r="F63" s="495">
        <v>0</v>
      </c>
      <c r="G63" s="21">
        <f t="shared" si="1"/>
        <v>0.25</v>
      </c>
      <c r="H63" s="482">
        <v>0.25</v>
      </c>
      <c r="I63" s="691">
        <v>0</v>
      </c>
      <c r="J63" s="495">
        <v>0</v>
      </c>
      <c r="K63" s="21">
        <f t="shared" si="3"/>
        <v>0.25</v>
      </c>
    </row>
    <row r="64" spans="1:11" x14ac:dyDescent="0.25">
      <c r="A64" s="1971"/>
      <c r="B64" s="19" t="s">
        <v>33</v>
      </c>
      <c r="C64" s="22"/>
      <c r="D64" s="625">
        <v>0.5</v>
      </c>
      <c r="E64" s="691">
        <v>0</v>
      </c>
      <c r="F64" s="495">
        <v>0</v>
      </c>
      <c r="G64" s="21">
        <f t="shared" si="1"/>
        <v>0.5</v>
      </c>
      <c r="H64" s="625">
        <v>0.5</v>
      </c>
      <c r="I64" s="691">
        <v>0</v>
      </c>
      <c r="J64" s="495">
        <v>0</v>
      </c>
      <c r="K64" s="21">
        <f t="shared" si="3"/>
        <v>0.5</v>
      </c>
    </row>
    <row r="65" spans="1:11" x14ac:dyDescent="0.25">
      <c r="A65" s="1971"/>
      <c r="B65" s="19" t="s">
        <v>34</v>
      </c>
      <c r="C65" s="22"/>
      <c r="D65" s="625">
        <v>1</v>
      </c>
      <c r="E65" s="691">
        <v>0</v>
      </c>
      <c r="F65" s="495">
        <v>0</v>
      </c>
      <c r="G65" s="21">
        <f t="shared" si="1"/>
        <v>1</v>
      </c>
      <c r="H65" s="625">
        <v>1</v>
      </c>
      <c r="I65" s="691">
        <v>0</v>
      </c>
      <c r="J65" s="495">
        <v>0</v>
      </c>
      <c r="K65" s="21">
        <f t="shared" si="3"/>
        <v>1</v>
      </c>
    </row>
    <row r="66" spans="1:11" x14ac:dyDescent="0.25">
      <c r="A66" s="1971" t="s">
        <v>452</v>
      </c>
      <c r="B66" s="19" t="s">
        <v>32</v>
      </c>
      <c r="C66" s="22"/>
      <c r="D66" s="482">
        <v>0.25</v>
      </c>
      <c r="E66" s="691">
        <v>0</v>
      </c>
      <c r="F66" s="495">
        <v>0</v>
      </c>
      <c r="G66" s="21">
        <f t="shared" si="1"/>
        <v>0.25</v>
      </c>
      <c r="H66" s="482">
        <v>0.25</v>
      </c>
      <c r="I66" s="691">
        <v>0</v>
      </c>
      <c r="J66" s="495">
        <v>0</v>
      </c>
      <c r="K66" s="21">
        <f t="shared" si="3"/>
        <v>0.25</v>
      </c>
    </row>
    <row r="67" spans="1:11" x14ac:dyDescent="0.25">
      <c r="A67" s="1971"/>
      <c r="B67" s="19" t="s">
        <v>33</v>
      </c>
      <c r="C67" s="22"/>
      <c r="D67" s="625">
        <v>0.5</v>
      </c>
      <c r="E67" s="691">
        <v>0</v>
      </c>
      <c r="F67" s="495">
        <v>0</v>
      </c>
      <c r="G67" s="21">
        <f t="shared" si="1"/>
        <v>0.5</v>
      </c>
      <c r="H67" s="625">
        <v>0.5</v>
      </c>
      <c r="I67" s="691">
        <v>0</v>
      </c>
      <c r="J67" s="495">
        <v>0</v>
      </c>
      <c r="K67" s="21">
        <f t="shared" si="3"/>
        <v>0.5</v>
      </c>
    </row>
    <row r="68" spans="1:11" x14ac:dyDescent="0.25">
      <c r="A68" s="1971"/>
      <c r="B68" s="19" t="s">
        <v>34</v>
      </c>
      <c r="C68" s="22"/>
      <c r="D68" s="625">
        <v>1</v>
      </c>
      <c r="E68" s="691">
        <v>0</v>
      </c>
      <c r="F68" s="495">
        <v>0</v>
      </c>
      <c r="G68" s="21">
        <f t="shared" si="1"/>
        <v>1</v>
      </c>
      <c r="H68" s="625">
        <v>1</v>
      </c>
      <c r="I68" s="691">
        <v>0</v>
      </c>
      <c r="J68" s="495">
        <v>0</v>
      </c>
      <c r="K68" s="21">
        <f t="shared" si="3"/>
        <v>1</v>
      </c>
    </row>
    <row r="69" spans="1:11" x14ac:dyDescent="0.25">
      <c r="A69" s="1974" t="s">
        <v>533</v>
      </c>
      <c r="B69" s="19" t="s">
        <v>32</v>
      </c>
      <c r="C69" s="22"/>
      <c r="D69" s="625">
        <v>2</v>
      </c>
      <c r="E69" s="623">
        <v>0</v>
      </c>
      <c r="F69" s="623">
        <v>0</v>
      </c>
      <c r="G69" s="21">
        <f t="shared" si="1"/>
        <v>2</v>
      </c>
      <c r="H69" s="625">
        <v>2</v>
      </c>
      <c r="I69" s="623">
        <v>0</v>
      </c>
      <c r="J69" s="623">
        <v>0</v>
      </c>
      <c r="K69" s="21">
        <f t="shared" si="3"/>
        <v>2</v>
      </c>
    </row>
    <row r="70" spans="1:11" x14ac:dyDescent="0.25">
      <c r="A70" s="1974"/>
      <c r="B70" s="19" t="s">
        <v>33</v>
      </c>
      <c r="C70" s="22"/>
      <c r="D70" s="625">
        <v>4</v>
      </c>
      <c r="E70" s="623">
        <v>0</v>
      </c>
      <c r="F70" s="623">
        <v>0</v>
      </c>
      <c r="G70" s="21">
        <f t="shared" si="1"/>
        <v>4</v>
      </c>
      <c r="H70" s="625">
        <v>4</v>
      </c>
      <c r="I70" s="623">
        <v>0</v>
      </c>
      <c r="J70" s="623">
        <v>0</v>
      </c>
      <c r="K70" s="21">
        <f t="shared" si="3"/>
        <v>4</v>
      </c>
    </row>
    <row r="71" spans="1:11" x14ac:dyDescent="0.25">
      <c r="A71" s="1974"/>
      <c r="B71" s="19" t="s">
        <v>34</v>
      </c>
      <c r="C71" s="22"/>
      <c r="D71" s="625">
        <v>6</v>
      </c>
      <c r="E71" s="623">
        <v>0</v>
      </c>
      <c r="F71" s="623">
        <v>0</v>
      </c>
      <c r="G71" s="21">
        <f t="shared" si="1"/>
        <v>6</v>
      </c>
      <c r="H71" s="625">
        <v>6</v>
      </c>
      <c r="I71" s="623">
        <v>0</v>
      </c>
      <c r="J71" s="623">
        <v>0</v>
      </c>
      <c r="K71" s="21">
        <f t="shared" si="3"/>
        <v>6</v>
      </c>
    </row>
    <row r="72" spans="1:11" x14ac:dyDescent="0.25">
      <c r="A72" s="1971" t="s">
        <v>534</v>
      </c>
      <c r="B72" s="19" t="s">
        <v>32</v>
      </c>
      <c r="C72" s="22"/>
      <c r="D72" s="625">
        <v>4</v>
      </c>
      <c r="E72" s="623">
        <v>0</v>
      </c>
      <c r="F72" s="623">
        <v>0</v>
      </c>
      <c r="G72" s="21">
        <f t="shared" si="1"/>
        <v>4</v>
      </c>
      <c r="H72" s="625">
        <v>4</v>
      </c>
      <c r="I72" s="623">
        <v>0</v>
      </c>
      <c r="J72" s="623">
        <v>0</v>
      </c>
      <c r="K72" s="21">
        <f t="shared" si="3"/>
        <v>4</v>
      </c>
    </row>
    <row r="73" spans="1:11" x14ac:dyDescent="0.25">
      <c r="A73" s="1971"/>
      <c r="B73" s="19" t="s">
        <v>33</v>
      </c>
      <c r="C73" s="22"/>
      <c r="D73" s="625">
        <v>6</v>
      </c>
      <c r="E73" s="623">
        <v>0</v>
      </c>
      <c r="F73" s="623">
        <v>0</v>
      </c>
      <c r="G73" s="21">
        <f t="shared" si="1"/>
        <v>6</v>
      </c>
      <c r="H73" s="625">
        <v>6</v>
      </c>
      <c r="I73" s="623">
        <v>0</v>
      </c>
      <c r="J73" s="623">
        <v>0</v>
      </c>
      <c r="K73" s="21">
        <f t="shared" si="3"/>
        <v>6</v>
      </c>
    </row>
    <row r="74" spans="1:11" x14ac:dyDescent="0.25">
      <c r="A74" s="1971"/>
      <c r="B74" s="19" t="s">
        <v>34</v>
      </c>
      <c r="C74" s="22"/>
      <c r="D74" s="625">
        <v>8</v>
      </c>
      <c r="E74" s="623">
        <v>0</v>
      </c>
      <c r="F74" s="623">
        <v>0</v>
      </c>
      <c r="G74" s="21">
        <f t="shared" si="1"/>
        <v>8</v>
      </c>
      <c r="H74" s="625">
        <v>8</v>
      </c>
      <c r="I74" s="623">
        <v>0</v>
      </c>
      <c r="J74" s="623">
        <v>0</v>
      </c>
      <c r="K74" s="21">
        <f t="shared" si="3"/>
        <v>8</v>
      </c>
    </row>
    <row r="75" spans="1:11" x14ac:dyDescent="0.25">
      <c r="A75" s="1971"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71"/>
      <c r="B76" s="19" t="s">
        <v>33</v>
      </c>
      <c r="C76" s="22"/>
      <c r="D76" s="38" t="s">
        <v>90</v>
      </c>
      <c r="E76" s="38" t="s">
        <v>90</v>
      </c>
      <c r="F76" s="38" t="s">
        <v>90</v>
      </c>
      <c r="G76" s="21">
        <f t="shared" si="1"/>
        <v>0</v>
      </c>
      <c r="H76" s="38" t="s">
        <v>90</v>
      </c>
      <c r="I76" s="38" t="s">
        <v>90</v>
      </c>
      <c r="J76" s="38" t="s">
        <v>90</v>
      </c>
      <c r="K76" s="21">
        <f t="shared" si="3"/>
        <v>0</v>
      </c>
    </row>
    <row r="77" spans="1:11" x14ac:dyDescent="0.25">
      <c r="A77" s="1971"/>
      <c r="B77" s="13" t="s">
        <v>34</v>
      </c>
      <c r="C77" s="34"/>
      <c r="D77" s="38" t="s">
        <v>90</v>
      </c>
      <c r="E77" s="38" t="s">
        <v>90</v>
      </c>
      <c r="F77" s="38" t="s">
        <v>90</v>
      </c>
      <c r="G77" s="21">
        <f t="shared" si="1"/>
        <v>0</v>
      </c>
      <c r="H77" s="38" t="s">
        <v>90</v>
      </c>
      <c r="I77" s="38" t="s">
        <v>90</v>
      </c>
      <c r="J77" s="38" t="s">
        <v>90</v>
      </c>
      <c r="K77" s="21">
        <f t="shared" si="3"/>
        <v>0</v>
      </c>
    </row>
    <row r="78" spans="1:11" x14ac:dyDescent="0.25">
      <c r="A78" s="1971"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71"/>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71"/>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71"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71"/>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71"/>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41"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41"/>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41"/>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40"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40"/>
      <c r="B89" s="19" t="s">
        <v>33</v>
      </c>
      <c r="C89" s="22"/>
      <c r="D89" s="625">
        <v>0.25</v>
      </c>
      <c r="E89" s="616">
        <v>0</v>
      </c>
      <c r="F89" s="623">
        <v>0</v>
      </c>
      <c r="G89" s="21">
        <f t="shared" si="1"/>
        <v>0.25</v>
      </c>
      <c r="H89" s="625">
        <v>0.25</v>
      </c>
      <c r="I89" s="616">
        <v>0</v>
      </c>
      <c r="J89" s="623">
        <v>0</v>
      </c>
      <c r="K89" s="21">
        <f t="shared" si="6"/>
        <v>0.25</v>
      </c>
    </row>
    <row r="90" spans="1:11" x14ac:dyDescent="0.25">
      <c r="A90" s="1940"/>
      <c r="B90" s="19" t="s">
        <v>34</v>
      </c>
      <c r="C90" s="22"/>
      <c r="D90" s="625">
        <v>0.25</v>
      </c>
      <c r="E90" s="616">
        <v>0</v>
      </c>
      <c r="F90" s="623">
        <v>0</v>
      </c>
      <c r="G90" s="21">
        <f t="shared" si="1"/>
        <v>0.25</v>
      </c>
      <c r="H90" s="625">
        <v>0.25</v>
      </c>
      <c r="I90" s="616">
        <v>0</v>
      </c>
      <c r="J90" s="623">
        <v>0</v>
      </c>
      <c r="K90" s="21">
        <f t="shared" si="6"/>
        <v>0.25</v>
      </c>
    </row>
    <row r="91" spans="1:11" x14ac:dyDescent="0.25">
      <c r="A91" s="1971"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71"/>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71"/>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71"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71"/>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71"/>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71" t="s">
        <v>26</v>
      </c>
      <c r="B97" s="19" t="s">
        <v>32</v>
      </c>
      <c r="C97" s="22"/>
      <c r="D97" s="631">
        <f>4+(0.5*D$3)</f>
        <v>4</v>
      </c>
      <c r="E97" s="625">
        <v>0</v>
      </c>
      <c r="F97" s="625">
        <v>0</v>
      </c>
      <c r="G97" s="21">
        <f t="shared" si="9"/>
        <v>4</v>
      </c>
      <c r="H97" s="631">
        <f>4+(0.5*H$3)</f>
        <v>4</v>
      </c>
      <c r="I97" s="625">
        <v>0</v>
      </c>
      <c r="J97" s="625">
        <v>0</v>
      </c>
      <c r="K97" s="21">
        <f t="shared" si="10"/>
        <v>4</v>
      </c>
    </row>
    <row r="98" spans="1:11" x14ac:dyDescent="0.25">
      <c r="A98" s="1971"/>
      <c r="B98" s="19" t="s">
        <v>33</v>
      </c>
      <c r="C98" s="22"/>
      <c r="D98" s="631">
        <f>4+(0.5*D$3)</f>
        <v>4</v>
      </c>
      <c r="E98" s="625">
        <v>0</v>
      </c>
      <c r="F98" s="625">
        <v>0</v>
      </c>
      <c r="G98" s="21">
        <f t="shared" si="9"/>
        <v>4</v>
      </c>
      <c r="H98" s="631">
        <f>4+(0.5*H$3)</f>
        <v>4</v>
      </c>
      <c r="I98" s="625">
        <v>0</v>
      </c>
      <c r="J98" s="625">
        <v>0</v>
      </c>
      <c r="K98" s="21">
        <f t="shared" si="10"/>
        <v>4</v>
      </c>
    </row>
    <row r="99" spans="1:11" x14ac:dyDescent="0.25">
      <c r="A99" s="1971"/>
      <c r="B99" s="19" t="s">
        <v>34</v>
      </c>
      <c r="C99" s="22"/>
      <c r="D99" s="631">
        <f>4+(0.5*D$3)</f>
        <v>4</v>
      </c>
      <c r="E99" s="625">
        <v>0</v>
      </c>
      <c r="F99" s="625">
        <v>0</v>
      </c>
      <c r="G99" s="21">
        <f t="shared" si="9"/>
        <v>4</v>
      </c>
      <c r="H99" s="631">
        <f>4+(0.5*H$3)</f>
        <v>4</v>
      </c>
      <c r="I99" s="625">
        <v>0</v>
      </c>
      <c r="J99" s="625">
        <v>0</v>
      </c>
      <c r="K99" s="21">
        <f t="shared" si="10"/>
        <v>4</v>
      </c>
    </row>
    <row r="100" spans="1:11" x14ac:dyDescent="0.25">
      <c r="A100" s="1971"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71"/>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71"/>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40"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40"/>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38"/>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22" t="str">
        <f>'Служебный АСУТП'!AD2</f>
        <v>MaxPatrol XDR/EDR</v>
      </c>
      <c r="E1" s="1923"/>
      <c r="F1" s="1923"/>
      <c r="G1" s="1924"/>
      <c r="H1" s="1922" t="str">
        <f>'Служебный АСУТП'!AD3</f>
        <v>Kaspersky EDR</v>
      </c>
      <c r="I1" s="1923"/>
      <c r="J1" s="1923"/>
      <c r="K1" s="1924"/>
    </row>
    <row r="2" spans="1:11" ht="15.75" x14ac:dyDescent="0.25">
      <c r="B2" s="41" t="s">
        <v>37</v>
      </c>
      <c r="C2" s="1932" t="s">
        <v>35</v>
      </c>
      <c r="D2" s="835" t="s">
        <v>1813</v>
      </c>
      <c r="E2" s="717" t="s">
        <v>1814</v>
      </c>
      <c r="F2" s="191" t="s">
        <v>567</v>
      </c>
      <c r="G2" s="1925" t="s">
        <v>38</v>
      </c>
      <c r="H2" s="835" t="s">
        <v>1813</v>
      </c>
      <c r="I2" s="717" t="s">
        <v>1814</v>
      </c>
      <c r="J2" s="191" t="s">
        <v>567</v>
      </c>
      <c r="K2" s="1925" t="s">
        <v>38</v>
      </c>
    </row>
    <row r="3" spans="1:11"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row>
    <row r="4" spans="1:11" ht="16.5" thickBot="1" x14ac:dyDescent="0.3">
      <c r="A4" s="326" t="s">
        <v>448</v>
      </c>
      <c r="B4" s="327"/>
      <c r="C4" s="327"/>
      <c r="D4" s="327"/>
      <c r="E4" s="327"/>
      <c r="F4" s="327"/>
      <c r="G4" s="327"/>
      <c r="H4" s="327"/>
      <c r="I4" s="327"/>
      <c r="J4" s="327"/>
      <c r="K4" s="396"/>
    </row>
    <row r="5" spans="1:11" x14ac:dyDescent="0.25">
      <c r="A5" s="1940" t="s">
        <v>0</v>
      </c>
      <c r="B5" s="1697"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row>
    <row r="6" spans="1:11" x14ac:dyDescent="0.25">
      <c r="A6" s="1940"/>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75"/>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40"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row>
    <row r="9" spans="1:11" x14ac:dyDescent="0.25">
      <c r="A9" s="1940"/>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40"/>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26"/>
      <c r="D11" s="327"/>
      <c r="E11" s="327"/>
      <c r="F11" s="327"/>
      <c r="G11" s="327"/>
      <c r="H11" s="327"/>
      <c r="I11" s="327"/>
      <c r="J11" s="327"/>
      <c r="K11" s="396"/>
    </row>
    <row r="12" spans="1:11" x14ac:dyDescent="0.25">
      <c r="A12" s="1940" t="s">
        <v>2</v>
      </c>
      <c r="B12" s="1697" t="s">
        <v>32</v>
      </c>
      <c r="C12" s="1698"/>
      <c r="D12" s="1700">
        <v>4</v>
      </c>
      <c r="E12" s="1699">
        <f>2*E$3</f>
        <v>0</v>
      </c>
      <c r="F12" s="1699">
        <f>0.5*F$3</f>
        <v>0</v>
      </c>
      <c r="G12" s="1701">
        <f t="shared" si="3"/>
        <v>4</v>
      </c>
      <c r="H12" s="1700">
        <v>4</v>
      </c>
      <c r="I12" s="1699">
        <f>2*I$3</f>
        <v>0</v>
      </c>
      <c r="J12" s="1699">
        <f>0.5*J$3</f>
        <v>0</v>
      </c>
      <c r="K12" s="1701">
        <f xml:space="preserve"> SUM(H12:J12) + $C12</f>
        <v>4</v>
      </c>
    </row>
    <row r="13" spans="1:11" x14ac:dyDescent="0.25">
      <c r="A13" s="1940"/>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40"/>
      <c r="B14" s="13" t="s">
        <v>34</v>
      </c>
      <c r="C14" s="820"/>
      <c r="D14" s="1723">
        <v>2</v>
      </c>
      <c r="E14" s="478">
        <f>IF(E$3&gt;2,0.5*E$3,1)</f>
        <v>1</v>
      </c>
      <c r="F14" s="630">
        <f>IF(F$3=1,18,0)</f>
        <v>0</v>
      </c>
      <c r="G14" s="77">
        <f t="shared" si="3"/>
        <v>3</v>
      </c>
      <c r="H14" s="1723">
        <v>2</v>
      </c>
      <c r="I14" s="478">
        <f>IF(I$3&gt;2,0.5*I$3,1)</f>
        <v>1</v>
      </c>
      <c r="J14" s="630">
        <f>IF(J$3=1,18,0)</f>
        <v>0</v>
      </c>
      <c r="K14" s="77">
        <f xml:space="preserve"> SUM(H14:J14) + $C14</f>
        <v>3</v>
      </c>
    </row>
    <row r="15" spans="1:11" ht="16.5" thickBot="1" x14ac:dyDescent="0.3">
      <c r="A15" s="330" t="s">
        <v>3</v>
      </c>
      <c r="B15" s="329"/>
      <c r="C15" s="1727"/>
      <c r="D15" s="329"/>
      <c r="E15" s="329"/>
      <c r="F15" s="329"/>
      <c r="G15" s="327"/>
      <c r="H15" s="329"/>
      <c r="I15" s="329"/>
      <c r="J15" s="329"/>
      <c r="K15" s="396"/>
    </row>
    <row r="16" spans="1:11" x14ac:dyDescent="0.25">
      <c r="A16" s="1936" t="s">
        <v>4</v>
      </c>
      <c r="B16" s="1705" t="s">
        <v>32</v>
      </c>
      <c r="C16" s="1698"/>
      <c r="D16" s="1706">
        <v>0.25</v>
      </c>
      <c r="E16" s="1707">
        <v>0</v>
      </c>
      <c r="F16" s="1708">
        <v>0</v>
      </c>
      <c r="G16" s="1701">
        <f t="shared" si="3"/>
        <v>0.25</v>
      </c>
      <c r="H16" s="1706">
        <v>0.25</v>
      </c>
      <c r="I16" s="1707">
        <v>0</v>
      </c>
      <c r="J16" s="1708">
        <v>0</v>
      </c>
      <c r="K16" s="1701">
        <f t="shared" ref="K16:K36" si="4" xml:space="preserve"> SUM(H16:J16) + $C16</f>
        <v>0.25</v>
      </c>
    </row>
    <row r="17" spans="1:11" x14ac:dyDescent="0.25">
      <c r="A17" s="1972"/>
      <c r="B17" s="18" t="s">
        <v>33</v>
      </c>
      <c r="C17" s="817"/>
      <c r="D17" s="482" t="s">
        <v>1770</v>
      </c>
      <c r="E17" s="482" t="s">
        <v>1770</v>
      </c>
      <c r="F17" s="482" t="s">
        <v>1770</v>
      </c>
      <c r="G17" s="21">
        <f t="shared" si="3"/>
        <v>0</v>
      </c>
      <c r="H17" s="482" t="s">
        <v>1770</v>
      </c>
      <c r="I17" s="482" t="s">
        <v>1770</v>
      </c>
      <c r="J17" s="482" t="s">
        <v>1770</v>
      </c>
      <c r="K17" s="21">
        <f t="shared" si="4"/>
        <v>0</v>
      </c>
    </row>
    <row r="18" spans="1:11" x14ac:dyDescent="0.25">
      <c r="A18" s="1972"/>
      <c r="B18" s="18" t="s">
        <v>34</v>
      </c>
      <c r="C18" s="817"/>
      <c r="D18" s="482" t="s">
        <v>1770</v>
      </c>
      <c r="E18" s="482" t="s">
        <v>1770</v>
      </c>
      <c r="F18" s="482" t="s">
        <v>1770</v>
      </c>
      <c r="G18" s="21">
        <f t="shared" si="3"/>
        <v>0</v>
      </c>
      <c r="H18" s="482" t="s">
        <v>1770</v>
      </c>
      <c r="I18" s="482" t="s">
        <v>1770</v>
      </c>
      <c r="J18" s="482" t="s">
        <v>1770</v>
      </c>
      <c r="K18" s="21">
        <f t="shared" si="4"/>
        <v>0</v>
      </c>
    </row>
    <row r="19" spans="1:11" x14ac:dyDescent="0.25">
      <c r="A19" s="1972" t="s">
        <v>5</v>
      </c>
      <c r="B19" s="1702" t="s">
        <v>32</v>
      </c>
      <c r="C19" s="1703"/>
      <c r="D19" s="1709">
        <f>0.5*D$3</f>
        <v>0</v>
      </c>
      <c r="E19" s="1710">
        <v>0</v>
      </c>
      <c r="F19" s="1699">
        <f t="shared" ref="F19:F22" si="5">0.5*F$3</f>
        <v>0</v>
      </c>
      <c r="G19" s="1704">
        <f t="shared" si="3"/>
        <v>0</v>
      </c>
      <c r="H19" s="1709">
        <f>0.5*H$3</f>
        <v>0</v>
      </c>
      <c r="I19" s="1710">
        <v>0</v>
      </c>
      <c r="J19" s="1699">
        <f t="shared" ref="J19:J22" si="6">0.5*J$3</f>
        <v>0</v>
      </c>
      <c r="K19" s="1704">
        <f t="shared" si="4"/>
        <v>0</v>
      </c>
    </row>
    <row r="20" spans="1:11" x14ac:dyDescent="0.25">
      <c r="A20" s="1972"/>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72"/>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72" t="s">
        <v>6</v>
      </c>
      <c r="B22" s="1702" t="s">
        <v>32</v>
      </c>
      <c r="C22" s="1703"/>
      <c r="D22" s="1720">
        <v>8</v>
      </c>
      <c r="E22" s="1711">
        <f>0.5*E$3</f>
        <v>0</v>
      </c>
      <c r="F22" s="1711">
        <f t="shared" si="5"/>
        <v>0</v>
      </c>
      <c r="G22" s="1704">
        <f t="shared" si="3"/>
        <v>8</v>
      </c>
      <c r="H22" s="1720">
        <v>8</v>
      </c>
      <c r="I22" s="1711">
        <f>0.5*I$3</f>
        <v>0</v>
      </c>
      <c r="J22" s="1711">
        <f t="shared" si="6"/>
        <v>0</v>
      </c>
      <c r="K22" s="1704">
        <f t="shared" si="4"/>
        <v>8</v>
      </c>
    </row>
    <row r="23" spans="1:11" x14ac:dyDescent="0.25">
      <c r="A23" s="1972"/>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72"/>
      <c r="B24" s="19" t="s">
        <v>34</v>
      </c>
      <c r="C24" s="817"/>
      <c r="D24" s="1723">
        <v>2</v>
      </c>
      <c r="E24" s="478">
        <f>IF(E$3&gt;2,0.5*E$3,1)</f>
        <v>1</v>
      </c>
      <c r="F24" s="630">
        <f>IF(F$3=1,18,0)</f>
        <v>0</v>
      </c>
      <c r="G24" s="21">
        <f t="shared" si="3"/>
        <v>3</v>
      </c>
      <c r="H24" s="1723">
        <v>2</v>
      </c>
      <c r="I24" s="478">
        <f>IF(I$3&gt;2,0.5*I$3,1)</f>
        <v>1</v>
      </c>
      <c r="J24" s="630">
        <f>IF(J$3=1,18,0)</f>
        <v>0</v>
      </c>
      <c r="K24" s="21">
        <f t="shared" si="4"/>
        <v>3</v>
      </c>
    </row>
    <row r="25" spans="1:11" x14ac:dyDescent="0.25">
      <c r="A25" s="1972" t="s">
        <v>7</v>
      </c>
      <c r="B25" s="1702" t="s">
        <v>32</v>
      </c>
      <c r="C25" s="1703"/>
      <c r="D25" s="1709">
        <v>2</v>
      </c>
      <c r="E25" s="1710">
        <v>0</v>
      </c>
      <c r="F25" s="1711">
        <v>0</v>
      </c>
      <c r="G25" s="1704">
        <f t="shared" si="3"/>
        <v>2</v>
      </c>
      <c r="H25" s="1709">
        <v>2</v>
      </c>
      <c r="I25" s="1710">
        <v>0</v>
      </c>
      <c r="J25" s="1711">
        <v>0</v>
      </c>
      <c r="K25" s="1704">
        <f t="shared" si="4"/>
        <v>2</v>
      </c>
    </row>
    <row r="26" spans="1:11" x14ac:dyDescent="0.25">
      <c r="A26" s="1972"/>
      <c r="B26" s="19" t="s">
        <v>33</v>
      </c>
      <c r="C26" s="817"/>
      <c r="D26" s="821">
        <v>1</v>
      </c>
      <c r="E26" s="814">
        <v>0</v>
      </c>
      <c r="F26" s="630">
        <f>IF(F$3=1,4,0)</f>
        <v>0</v>
      </c>
      <c r="G26" s="21">
        <f t="shared" si="3"/>
        <v>1</v>
      </c>
      <c r="H26" s="821">
        <v>1</v>
      </c>
      <c r="I26" s="814">
        <v>0</v>
      </c>
      <c r="J26" s="630">
        <f>IF(J$3=1,4,0)</f>
        <v>0</v>
      </c>
      <c r="K26" s="21">
        <f t="shared" si="4"/>
        <v>1</v>
      </c>
    </row>
    <row r="27" spans="1:11" x14ac:dyDescent="0.25">
      <c r="A27" s="1972"/>
      <c r="B27" s="19" t="s">
        <v>34</v>
      </c>
      <c r="C27" s="817"/>
      <c r="D27" s="807">
        <v>2</v>
      </c>
      <c r="E27" s="814">
        <v>0</v>
      </c>
      <c r="F27" s="630">
        <f>IF(F$3=1,8,0)</f>
        <v>0</v>
      </c>
      <c r="G27" s="21">
        <f t="shared" si="3"/>
        <v>2</v>
      </c>
      <c r="H27" s="807">
        <v>2</v>
      </c>
      <c r="I27" s="814">
        <v>0</v>
      </c>
      <c r="J27" s="630">
        <f>IF(J$3=1,8,0)</f>
        <v>0</v>
      </c>
      <c r="K27" s="21">
        <f t="shared" si="4"/>
        <v>2</v>
      </c>
    </row>
    <row r="28" spans="1:11" x14ac:dyDescent="0.25">
      <c r="A28" s="1972" t="s">
        <v>8</v>
      </c>
      <c r="B28" s="1702" t="s">
        <v>32</v>
      </c>
      <c r="C28" s="1703"/>
      <c r="D28" s="1709">
        <v>2</v>
      </c>
      <c r="E28" s="1710">
        <v>0</v>
      </c>
      <c r="F28" s="1712">
        <v>0</v>
      </c>
      <c r="G28" s="1704">
        <f t="shared" si="3"/>
        <v>2</v>
      </c>
      <c r="H28" s="1709">
        <v>2</v>
      </c>
      <c r="I28" s="1710">
        <v>0</v>
      </c>
      <c r="J28" s="1712">
        <v>0</v>
      </c>
      <c r="K28" s="1704">
        <f t="shared" si="4"/>
        <v>2</v>
      </c>
    </row>
    <row r="29" spans="1:11" x14ac:dyDescent="0.25">
      <c r="A29" s="1972"/>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72"/>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72" t="s">
        <v>9</v>
      </c>
      <c r="B31" s="1702" t="s">
        <v>32</v>
      </c>
      <c r="C31" s="1703"/>
      <c r="D31" s="1709">
        <f>2+(0.5*D$3)</f>
        <v>2</v>
      </c>
      <c r="E31" s="1710">
        <v>0</v>
      </c>
      <c r="F31" s="1709">
        <f>0.5*F$3</f>
        <v>0</v>
      </c>
      <c r="G31" s="1704">
        <f t="shared" si="3"/>
        <v>2</v>
      </c>
      <c r="H31" s="1709">
        <f>2+(0.5*H$3)</f>
        <v>2</v>
      </c>
      <c r="I31" s="1710">
        <v>0</v>
      </c>
      <c r="J31" s="1709">
        <f>0.5*J$3</f>
        <v>0</v>
      </c>
      <c r="K31" s="1704">
        <f t="shared" si="4"/>
        <v>2</v>
      </c>
    </row>
    <row r="32" spans="1:11" x14ac:dyDescent="0.25">
      <c r="A32" s="1972"/>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72"/>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72" t="s">
        <v>10</v>
      </c>
      <c r="B34" s="1702" t="s">
        <v>32</v>
      </c>
      <c r="C34" s="1703"/>
      <c r="D34" s="1709">
        <v>1</v>
      </c>
      <c r="E34" s="1710">
        <v>0</v>
      </c>
      <c r="F34" s="1709">
        <f>0.5*F$3</f>
        <v>0</v>
      </c>
      <c r="G34" s="1704">
        <f t="shared" si="3"/>
        <v>1</v>
      </c>
      <c r="H34" s="1709">
        <v>1</v>
      </c>
      <c r="I34" s="1710">
        <v>0</v>
      </c>
      <c r="J34" s="1709">
        <f>0.5*J$3</f>
        <v>0</v>
      </c>
      <c r="K34" s="1704">
        <f t="shared" si="4"/>
        <v>1</v>
      </c>
    </row>
    <row r="35" spans="1:11" x14ac:dyDescent="0.25">
      <c r="A35" s="1972"/>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39"/>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27"/>
      <c r="D37" s="329"/>
      <c r="E37" s="329"/>
      <c r="F37" s="329"/>
      <c r="G37" s="327"/>
      <c r="H37" s="329"/>
      <c r="I37" s="329"/>
      <c r="J37" s="329"/>
      <c r="K37" s="396"/>
    </row>
    <row r="38" spans="1:11" x14ac:dyDescent="0.25">
      <c r="A38" s="1940" t="s">
        <v>12</v>
      </c>
      <c r="B38" s="1697" t="s">
        <v>32</v>
      </c>
      <c r="C38" s="1698"/>
      <c r="D38" s="1700">
        <f>D$22+D$25+D$28</f>
        <v>12</v>
      </c>
      <c r="E38" s="1699">
        <f>E$22*2</f>
        <v>0</v>
      </c>
      <c r="F38" s="1711">
        <f>0.5*F$3</f>
        <v>0</v>
      </c>
      <c r="G38" s="1701">
        <f t="shared" si="3"/>
        <v>12</v>
      </c>
      <c r="H38" s="1700">
        <f>H$22+H$25+H$28</f>
        <v>12</v>
      </c>
      <c r="I38" s="1699">
        <f>I$22*2</f>
        <v>0</v>
      </c>
      <c r="J38" s="1711">
        <f>0.5*J$3</f>
        <v>0</v>
      </c>
      <c r="K38" s="1701">
        <f xml:space="preserve"> SUM(H38:J38) + $C38</f>
        <v>12</v>
      </c>
    </row>
    <row r="39" spans="1:11" x14ac:dyDescent="0.25">
      <c r="A39" s="1940"/>
      <c r="B39" s="19" t="s">
        <v>33</v>
      </c>
      <c r="C39" s="817"/>
      <c r="D39" s="1724">
        <v>4</v>
      </c>
      <c r="E39" s="478">
        <f>IF(E$3&gt;0,2,0)</f>
        <v>0</v>
      </c>
      <c r="F39" s="630">
        <f>IF(F$3=1,12,0)</f>
        <v>0</v>
      </c>
      <c r="G39" s="21">
        <f t="shared" si="3"/>
        <v>4</v>
      </c>
      <c r="H39" s="1724">
        <v>4</v>
      </c>
      <c r="I39" s="478">
        <f>IF(I$3&gt;0,2,0)</f>
        <v>0</v>
      </c>
      <c r="J39" s="630">
        <f>IF(J$3=1,12,0)</f>
        <v>0</v>
      </c>
      <c r="K39" s="21">
        <f xml:space="preserve"> SUM(H39:J39) + $C39</f>
        <v>4</v>
      </c>
    </row>
    <row r="40" spans="1:11" ht="15.75" thickBot="1" x14ac:dyDescent="0.3">
      <c r="A40" s="1940"/>
      <c r="B40" s="13" t="s">
        <v>34</v>
      </c>
      <c r="C40" s="820"/>
      <c r="D40" s="1724">
        <v>6</v>
      </c>
      <c r="E40" s="478">
        <f>IF(E$3&gt;0,2,0)</f>
        <v>0</v>
      </c>
      <c r="F40" s="630">
        <f>IF(F$3=1,20,0)</f>
        <v>0</v>
      </c>
      <c r="G40" s="77">
        <f t="shared" si="3"/>
        <v>6</v>
      </c>
      <c r="H40" s="1724">
        <v>6</v>
      </c>
      <c r="I40" s="478">
        <f>IF(I$3&gt;0,2,0)</f>
        <v>0</v>
      </c>
      <c r="J40" s="630">
        <f>IF(J$3=1,20,0)</f>
        <v>0</v>
      </c>
      <c r="K40" s="77">
        <f xml:space="preserve"> SUM(H40:J40) + $C40</f>
        <v>6</v>
      </c>
    </row>
    <row r="41" spans="1:11" ht="16.5" thickBot="1" x14ac:dyDescent="0.3">
      <c r="A41" s="330" t="s">
        <v>13</v>
      </c>
      <c r="B41" s="329"/>
      <c r="C41" s="1727"/>
      <c r="D41" s="329"/>
      <c r="E41" s="329"/>
      <c r="F41" s="329"/>
      <c r="G41" s="327"/>
      <c r="H41" s="329"/>
      <c r="I41" s="329"/>
      <c r="J41" s="329"/>
      <c r="K41" s="396"/>
    </row>
    <row r="42" spans="1:11" x14ac:dyDescent="0.25">
      <c r="A42" s="1940" t="s">
        <v>14</v>
      </c>
      <c r="B42" s="1697" t="s">
        <v>32</v>
      </c>
      <c r="C42" s="1698"/>
      <c r="D42" s="1709">
        <f>0.5*D$3</f>
        <v>0</v>
      </c>
      <c r="E42" s="1710">
        <v>0</v>
      </c>
      <c r="F42" s="1699">
        <f>0.5*F$3</f>
        <v>0</v>
      </c>
      <c r="G42" s="1701">
        <f t="shared" si="3"/>
        <v>0</v>
      </c>
      <c r="H42" s="1709">
        <f>0.5*H$3</f>
        <v>0</v>
      </c>
      <c r="I42" s="1710">
        <v>0</v>
      </c>
      <c r="J42" s="1699">
        <f>0.5*J$3</f>
        <v>0</v>
      </c>
      <c r="K42" s="1701">
        <f t="shared" ref="K42:K86" si="7" xml:space="preserve"> SUM(H42:J42) + $C42</f>
        <v>0</v>
      </c>
    </row>
    <row r="43" spans="1:11" x14ac:dyDescent="0.25">
      <c r="A43" s="1940"/>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40"/>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71" t="s">
        <v>15</v>
      </c>
      <c r="B45" s="1702" t="s">
        <v>32</v>
      </c>
      <c r="C45" s="1703"/>
      <c r="D45" s="1709">
        <v>12</v>
      </c>
      <c r="E45" s="1699">
        <f>E$3*2</f>
        <v>0</v>
      </c>
      <c r="F45" s="1709">
        <f>1*F$3</f>
        <v>0</v>
      </c>
      <c r="G45" s="1704">
        <f t="shared" si="3"/>
        <v>12</v>
      </c>
      <c r="H45" s="1709">
        <v>12</v>
      </c>
      <c r="I45" s="1699">
        <f>I$3*2</f>
        <v>0</v>
      </c>
      <c r="J45" s="1709">
        <f>1*J$3</f>
        <v>0</v>
      </c>
      <c r="K45" s="1704">
        <f t="shared" si="7"/>
        <v>12</v>
      </c>
    </row>
    <row r="46" spans="1:11" x14ac:dyDescent="0.25">
      <c r="A46" s="1971"/>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71"/>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71" t="s">
        <v>16</v>
      </c>
      <c r="B48" s="1702" t="s">
        <v>32</v>
      </c>
      <c r="C48" s="1703"/>
      <c r="D48" s="1709">
        <f>1*D$3</f>
        <v>0</v>
      </c>
      <c r="E48" s="1710">
        <v>0</v>
      </c>
      <c r="F48" s="1709">
        <v>0</v>
      </c>
      <c r="G48" s="1704">
        <f t="shared" si="3"/>
        <v>0</v>
      </c>
      <c r="H48" s="1709">
        <f>1*H$3</f>
        <v>0</v>
      </c>
      <c r="I48" s="1710">
        <v>0</v>
      </c>
      <c r="J48" s="1709">
        <v>0</v>
      </c>
      <c r="K48" s="1704">
        <f t="shared" si="7"/>
        <v>0</v>
      </c>
    </row>
    <row r="49" spans="1:11" x14ac:dyDescent="0.25">
      <c r="A49" s="1971"/>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71"/>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71" t="s">
        <v>17</v>
      </c>
      <c r="B51" s="1702" t="s">
        <v>32</v>
      </c>
      <c r="C51" s="1703"/>
      <c r="D51" s="1709">
        <f>1*D$3</f>
        <v>0</v>
      </c>
      <c r="E51" s="1710">
        <v>0</v>
      </c>
      <c r="F51" s="1709">
        <v>0</v>
      </c>
      <c r="G51" s="1704">
        <f t="shared" si="3"/>
        <v>0</v>
      </c>
      <c r="H51" s="1709">
        <f>1*H$3</f>
        <v>0</v>
      </c>
      <c r="I51" s="1710">
        <v>0</v>
      </c>
      <c r="J51" s="1709">
        <v>0</v>
      </c>
      <c r="K51" s="1704">
        <f t="shared" si="7"/>
        <v>0</v>
      </c>
    </row>
    <row r="52" spans="1:11" x14ac:dyDescent="0.25">
      <c r="A52" s="1971"/>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71"/>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71" t="s">
        <v>18</v>
      </c>
      <c r="B54" s="1702" t="s">
        <v>32</v>
      </c>
      <c r="C54" s="1703"/>
      <c r="D54" s="1709">
        <f>1*D$3</f>
        <v>0</v>
      </c>
      <c r="E54" s="1710">
        <v>0</v>
      </c>
      <c r="F54" s="1710">
        <v>0</v>
      </c>
      <c r="G54" s="1704">
        <f t="shared" si="3"/>
        <v>0</v>
      </c>
      <c r="H54" s="1709">
        <f>1*H$3</f>
        <v>0</v>
      </c>
      <c r="I54" s="1710">
        <v>0</v>
      </c>
      <c r="J54" s="1710">
        <v>0</v>
      </c>
      <c r="K54" s="1704">
        <f t="shared" si="7"/>
        <v>0</v>
      </c>
    </row>
    <row r="55" spans="1:11" x14ac:dyDescent="0.25">
      <c r="A55" s="1971"/>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71"/>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71" t="s">
        <v>19</v>
      </c>
      <c r="B57" s="1702" t="s">
        <v>32</v>
      </c>
      <c r="C57" s="1703"/>
      <c r="D57" s="1709">
        <v>2</v>
      </c>
      <c r="E57" s="1710">
        <v>0</v>
      </c>
      <c r="F57" s="1710">
        <v>0</v>
      </c>
      <c r="G57" s="1704">
        <f t="shared" si="3"/>
        <v>2</v>
      </c>
      <c r="H57" s="1709">
        <v>2</v>
      </c>
      <c r="I57" s="1710">
        <v>0</v>
      </c>
      <c r="J57" s="1710">
        <v>0</v>
      </c>
      <c r="K57" s="1704">
        <f t="shared" si="7"/>
        <v>2</v>
      </c>
    </row>
    <row r="58" spans="1:11" x14ac:dyDescent="0.25">
      <c r="A58" s="1971"/>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71"/>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71" t="s">
        <v>20</v>
      </c>
      <c r="B60" s="1702" t="s">
        <v>32</v>
      </c>
      <c r="C60" s="1703"/>
      <c r="D60" s="1709">
        <v>4</v>
      </c>
      <c r="E60" s="1711">
        <f>2*E$3</f>
        <v>0</v>
      </c>
      <c r="F60" s="1699">
        <f>0.5*F$3</f>
        <v>0</v>
      </c>
      <c r="G60" s="1704">
        <f t="shared" si="3"/>
        <v>4</v>
      </c>
      <c r="H60" s="1709">
        <v>4</v>
      </c>
      <c r="I60" s="1711">
        <f>2*I$3</f>
        <v>0</v>
      </c>
      <c r="J60" s="1699">
        <f>0.5*J$3</f>
        <v>0</v>
      </c>
      <c r="K60" s="1704">
        <f t="shared" si="7"/>
        <v>4</v>
      </c>
    </row>
    <row r="61" spans="1:11" x14ac:dyDescent="0.25">
      <c r="A61" s="1971"/>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71"/>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71" t="s">
        <v>451</v>
      </c>
      <c r="B63" s="1702" t="s">
        <v>32</v>
      </c>
      <c r="C63" s="1703"/>
      <c r="D63" s="1713">
        <v>0.25</v>
      </c>
      <c r="E63" s="1711">
        <v>0</v>
      </c>
      <c r="F63" s="1712">
        <v>0</v>
      </c>
      <c r="G63" s="1704">
        <f t="shared" si="3"/>
        <v>0.25</v>
      </c>
      <c r="H63" s="1713">
        <v>0.25</v>
      </c>
      <c r="I63" s="1711">
        <v>0</v>
      </c>
      <c r="J63" s="1712">
        <v>0</v>
      </c>
      <c r="K63" s="1704">
        <f t="shared" si="7"/>
        <v>0.25</v>
      </c>
    </row>
    <row r="64" spans="1:11" x14ac:dyDescent="0.25">
      <c r="A64" s="1971"/>
      <c r="B64" s="19" t="s">
        <v>33</v>
      </c>
      <c r="C64" s="817"/>
      <c r="D64" s="482" t="s">
        <v>1770</v>
      </c>
      <c r="E64" s="482" t="s">
        <v>1770</v>
      </c>
      <c r="F64" s="482" t="s">
        <v>1770</v>
      </c>
      <c r="G64" s="21">
        <f t="shared" si="3"/>
        <v>0</v>
      </c>
      <c r="H64" s="482" t="s">
        <v>1770</v>
      </c>
      <c r="I64" s="482" t="s">
        <v>1770</v>
      </c>
      <c r="J64" s="482" t="s">
        <v>1770</v>
      </c>
      <c r="K64" s="21">
        <f t="shared" si="7"/>
        <v>0</v>
      </c>
    </row>
    <row r="65" spans="1:11" x14ac:dyDescent="0.25">
      <c r="A65" s="1971"/>
      <c r="B65" s="19" t="s">
        <v>34</v>
      </c>
      <c r="C65" s="817"/>
      <c r="D65" s="482" t="s">
        <v>1770</v>
      </c>
      <c r="E65" s="482" t="s">
        <v>1770</v>
      </c>
      <c r="F65" s="482" t="s">
        <v>1770</v>
      </c>
      <c r="G65" s="21">
        <f t="shared" si="3"/>
        <v>0</v>
      </c>
      <c r="H65" s="482" t="s">
        <v>1770</v>
      </c>
      <c r="I65" s="482" t="s">
        <v>1770</v>
      </c>
      <c r="J65" s="482" t="s">
        <v>1770</v>
      </c>
      <c r="K65" s="21">
        <f t="shared" si="7"/>
        <v>0</v>
      </c>
    </row>
    <row r="66" spans="1:11" x14ac:dyDescent="0.25">
      <c r="A66" s="1971" t="s">
        <v>452</v>
      </c>
      <c r="B66" s="1702" t="s">
        <v>32</v>
      </c>
      <c r="C66" s="1703"/>
      <c r="D66" s="1713">
        <v>0.25</v>
      </c>
      <c r="E66" s="1711">
        <v>0</v>
      </c>
      <c r="F66" s="1712">
        <v>0</v>
      </c>
      <c r="G66" s="1704">
        <f t="shared" si="3"/>
        <v>0.25</v>
      </c>
      <c r="H66" s="1713">
        <v>0.25</v>
      </c>
      <c r="I66" s="1711">
        <v>0</v>
      </c>
      <c r="J66" s="1712">
        <v>0</v>
      </c>
      <c r="K66" s="1704">
        <f t="shared" si="7"/>
        <v>0.25</v>
      </c>
    </row>
    <row r="67" spans="1:11" x14ac:dyDescent="0.25">
      <c r="A67" s="1971"/>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71"/>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74" t="s">
        <v>533</v>
      </c>
      <c r="B69" s="1702" t="s">
        <v>32</v>
      </c>
      <c r="C69" s="1703"/>
      <c r="D69" s="1709">
        <f>2+(1.5*D$3)</f>
        <v>2</v>
      </c>
      <c r="E69" s="1699">
        <f>E$3*2</f>
        <v>0</v>
      </c>
      <c r="F69" s="1699">
        <f t="shared" ref="F69:F72" si="8">0.5*F$3</f>
        <v>0</v>
      </c>
      <c r="G69" s="1704">
        <f t="shared" si="3"/>
        <v>2</v>
      </c>
      <c r="H69" s="1709">
        <f>2+(1.5*H$3)</f>
        <v>2</v>
      </c>
      <c r="I69" s="1699">
        <f>I$3*2</f>
        <v>0</v>
      </c>
      <c r="J69" s="1699">
        <f t="shared" ref="J69:J72" si="9">0.5*J$3</f>
        <v>0</v>
      </c>
      <c r="K69" s="1704">
        <f t="shared" si="7"/>
        <v>2</v>
      </c>
    </row>
    <row r="70" spans="1:11" x14ac:dyDescent="0.25">
      <c r="A70" s="1974"/>
      <c r="B70" s="19" t="s">
        <v>33</v>
      </c>
      <c r="C70" s="817"/>
      <c r="D70" s="482" t="s">
        <v>1770</v>
      </c>
      <c r="E70" s="482" t="s">
        <v>1770</v>
      </c>
      <c r="F70" s="482" t="s">
        <v>1770</v>
      </c>
      <c r="G70" s="21">
        <f t="shared" si="3"/>
        <v>0</v>
      </c>
      <c r="H70" s="482" t="s">
        <v>1770</v>
      </c>
      <c r="I70" s="482" t="s">
        <v>1770</v>
      </c>
      <c r="J70" s="482" t="s">
        <v>1770</v>
      </c>
      <c r="K70" s="21">
        <f t="shared" si="7"/>
        <v>0</v>
      </c>
    </row>
    <row r="71" spans="1:11" x14ac:dyDescent="0.25">
      <c r="A71" s="1974"/>
      <c r="B71" s="19" t="s">
        <v>34</v>
      </c>
      <c r="C71" s="817"/>
      <c r="D71" s="482" t="s">
        <v>1770</v>
      </c>
      <c r="E71" s="482" t="s">
        <v>1770</v>
      </c>
      <c r="F71" s="482" t="s">
        <v>1770</v>
      </c>
      <c r="G71" s="21">
        <f t="shared" si="3"/>
        <v>0</v>
      </c>
      <c r="H71" s="482" t="s">
        <v>1770</v>
      </c>
      <c r="I71" s="482" t="s">
        <v>1770</v>
      </c>
      <c r="J71" s="482" t="s">
        <v>1770</v>
      </c>
      <c r="K71" s="21">
        <f t="shared" si="7"/>
        <v>0</v>
      </c>
    </row>
    <row r="72" spans="1:11" x14ac:dyDescent="0.25">
      <c r="A72" s="1971" t="s">
        <v>534</v>
      </c>
      <c r="B72" s="1702" t="s">
        <v>32</v>
      </c>
      <c r="C72" s="1703"/>
      <c r="D72" s="1709">
        <f>2+(1.5*D$3)</f>
        <v>2</v>
      </c>
      <c r="E72" s="1699">
        <f>E$3*2</f>
        <v>0</v>
      </c>
      <c r="F72" s="1699">
        <f t="shared" si="8"/>
        <v>0</v>
      </c>
      <c r="G72" s="1704">
        <f t="shared" si="3"/>
        <v>2</v>
      </c>
      <c r="H72" s="1709">
        <f>2+(1.5*H$3)</f>
        <v>2</v>
      </c>
      <c r="I72" s="1699">
        <f>I$3*2</f>
        <v>0</v>
      </c>
      <c r="J72" s="1699">
        <f t="shared" si="9"/>
        <v>0</v>
      </c>
      <c r="K72" s="1704">
        <f t="shared" si="7"/>
        <v>2</v>
      </c>
    </row>
    <row r="73" spans="1:11" x14ac:dyDescent="0.25">
      <c r="A73" s="1971"/>
      <c r="B73" s="19" t="s">
        <v>33</v>
      </c>
      <c r="C73" s="817"/>
      <c r="D73" s="482" t="s">
        <v>1770</v>
      </c>
      <c r="E73" s="482" t="s">
        <v>1770</v>
      </c>
      <c r="F73" s="482" t="s">
        <v>1770</v>
      </c>
      <c r="G73" s="21">
        <f t="shared" si="3"/>
        <v>0</v>
      </c>
      <c r="H73" s="482" t="s">
        <v>1770</v>
      </c>
      <c r="I73" s="482" t="s">
        <v>1770</v>
      </c>
      <c r="J73" s="482" t="s">
        <v>1770</v>
      </c>
      <c r="K73" s="21">
        <f t="shared" si="7"/>
        <v>0</v>
      </c>
    </row>
    <row r="74" spans="1:11" x14ac:dyDescent="0.25">
      <c r="A74" s="1971"/>
      <c r="B74" s="19" t="s">
        <v>34</v>
      </c>
      <c r="C74" s="817"/>
      <c r="D74" s="482" t="s">
        <v>1770</v>
      </c>
      <c r="E74" s="482" t="s">
        <v>1770</v>
      </c>
      <c r="F74" s="482" t="s">
        <v>1770</v>
      </c>
      <c r="G74" s="21">
        <f t="shared" si="3"/>
        <v>0</v>
      </c>
      <c r="H74" s="482" t="s">
        <v>1770</v>
      </c>
      <c r="I74" s="482" t="s">
        <v>1770</v>
      </c>
      <c r="J74" s="482" t="s">
        <v>1770</v>
      </c>
      <c r="K74" s="21">
        <f t="shared" si="7"/>
        <v>0</v>
      </c>
    </row>
    <row r="75" spans="1:11" x14ac:dyDescent="0.25">
      <c r="A75" s="1971" t="s">
        <v>21</v>
      </c>
      <c r="B75" s="1702" t="s">
        <v>32</v>
      </c>
      <c r="C75" s="1703"/>
      <c r="D75" s="1709" t="s">
        <v>90</v>
      </c>
      <c r="E75" s="1709" t="s">
        <v>90</v>
      </c>
      <c r="F75" s="1709" t="s">
        <v>90</v>
      </c>
      <c r="G75" s="1704">
        <f t="shared" si="3"/>
        <v>0</v>
      </c>
      <c r="H75" s="1709" t="s">
        <v>90</v>
      </c>
      <c r="I75" s="1709" t="s">
        <v>90</v>
      </c>
      <c r="J75" s="1709" t="s">
        <v>90</v>
      </c>
      <c r="K75" s="1704">
        <f t="shared" si="7"/>
        <v>0</v>
      </c>
    </row>
    <row r="76" spans="1:11" x14ac:dyDescent="0.25">
      <c r="A76" s="1971"/>
      <c r="B76" s="19" t="s">
        <v>33</v>
      </c>
      <c r="C76" s="817"/>
      <c r="D76" s="821" t="s">
        <v>90</v>
      </c>
      <c r="E76" s="821" t="s">
        <v>90</v>
      </c>
      <c r="F76" s="821" t="s">
        <v>90</v>
      </c>
      <c r="G76" s="21">
        <f t="shared" si="3"/>
        <v>0</v>
      </c>
      <c r="H76" s="821" t="s">
        <v>90</v>
      </c>
      <c r="I76" s="821" t="s">
        <v>90</v>
      </c>
      <c r="J76" s="821" t="s">
        <v>90</v>
      </c>
      <c r="K76" s="21">
        <f t="shared" si="7"/>
        <v>0</v>
      </c>
    </row>
    <row r="77" spans="1:11" x14ac:dyDescent="0.25">
      <c r="A77" s="1971"/>
      <c r="B77" s="13" t="s">
        <v>34</v>
      </c>
      <c r="C77" s="820"/>
      <c r="D77" s="821" t="s">
        <v>90</v>
      </c>
      <c r="E77" s="821" t="s">
        <v>90</v>
      </c>
      <c r="F77" s="821" t="s">
        <v>90</v>
      </c>
      <c r="G77" s="21">
        <f t="shared" si="3"/>
        <v>0</v>
      </c>
      <c r="H77" s="821" t="s">
        <v>90</v>
      </c>
      <c r="I77" s="821" t="s">
        <v>90</v>
      </c>
      <c r="J77" s="821" t="s">
        <v>90</v>
      </c>
      <c r="K77" s="21">
        <f t="shared" si="7"/>
        <v>0</v>
      </c>
    </row>
    <row r="78" spans="1:11" x14ac:dyDescent="0.25">
      <c r="A78" s="1971" t="s">
        <v>181</v>
      </c>
      <c r="B78" s="1702" t="s">
        <v>32</v>
      </c>
      <c r="C78" s="1703"/>
      <c r="D78" s="1709">
        <f t="shared" ref="D78:D84" si="10">0.25*D$3</f>
        <v>0</v>
      </c>
      <c r="E78" s="1710">
        <v>0</v>
      </c>
      <c r="F78" s="1715">
        <v>0</v>
      </c>
      <c r="G78" s="1704">
        <f t="shared" si="3"/>
        <v>0</v>
      </c>
      <c r="H78" s="1709">
        <f t="shared" ref="H78:H84" si="11">0.25*H$3</f>
        <v>0</v>
      </c>
      <c r="I78" s="1710">
        <v>0</v>
      </c>
      <c r="J78" s="1715">
        <v>0</v>
      </c>
      <c r="K78" s="1704">
        <f t="shared" si="7"/>
        <v>0</v>
      </c>
    </row>
    <row r="79" spans="1:11" x14ac:dyDescent="0.25">
      <c r="A79" s="1971"/>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71"/>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71" t="s">
        <v>182</v>
      </c>
      <c r="B81" s="1702" t="s">
        <v>32</v>
      </c>
      <c r="C81" s="1703"/>
      <c r="D81" s="1709">
        <f t="shared" si="10"/>
        <v>0</v>
      </c>
      <c r="E81" s="1710">
        <v>0</v>
      </c>
      <c r="F81" s="1715">
        <v>0</v>
      </c>
      <c r="G81" s="1704">
        <f t="shared" si="3"/>
        <v>0</v>
      </c>
      <c r="H81" s="1709">
        <f t="shared" si="11"/>
        <v>0</v>
      </c>
      <c r="I81" s="1710">
        <v>0</v>
      </c>
      <c r="J81" s="1715">
        <v>0</v>
      </c>
      <c r="K81" s="1704">
        <f t="shared" si="7"/>
        <v>0</v>
      </c>
    </row>
    <row r="82" spans="1:11" x14ac:dyDescent="0.25">
      <c r="A82" s="1971"/>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71"/>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41" t="s">
        <v>183</v>
      </c>
      <c r="B84" s="1702" t="s">
        <v>32</v>
      </c>
      <c r="C84" s="1703"/>
      <c r="D84" s="1709">
        <f t="shared" si="10"/>
        <v>0</v>
      </c>
      <c r="E84" s="1710">
        <v>0</v>
      </c>
      <c r="F84" s="1715">
        <v>0</v>
      </c>
      <c r="G84" s="1704">
        <f t="shared" si="3"/>
        <v>0</v>
      </c>
      <c r="H84" s="1709">
        <f t="shared" si="11"/>
        <v>0</v>
      </c>
      <c r="I84" s="1710">
        <v>0</v>
      </c>
      <c r="J84" s="1715">
        <v>0</v>
      </c>
      <c r="K84" s="1704">
        <f t="shared" si="7"/>
        <v>0</v>
      </c>
    </row>
    <row r="85" spans="1:11" x14ac:dyDescent="0.25">
      <c r="A85" s="1941"/>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41"/>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27"/>
      <c r="D87" s="329"/>
      <c r="E87" s="329"/>
      <c r="F87" s="329"/>
      <c r="G87" s="327"/>
      <c r="H87" s="329"/>
      <c r="I87" s="329"/>
      <c r="J87" s="329"/>
      <c r="K87" s="396"/>
    </row>
    <row r="88" spans="1:11" x14ac:dyDescent="0.25">
      <c r="A88" s="1940" t="s">
        <v>23</v>
      </c>
      <c r="B88" s="1697" t="s">
        <v>32</v>
      </c>
      <c r="C88" s="1698"/>
      <c r="D88" s="1716">
        <v>0.25</v>
      </c>
      <c r="E88" s="1707">
        <v>0</v>
      </c>
      <c r="F88" s="1717">
        <v>0</v>
      </c>
      <c r="G88" s="1701">
        <f t="shared" si="3"/>
        <v>0.25</v>
      </c>
      <c r="H88" s="1716">
        <v>0.25</v>
      </c>
      <c r="I88" s="1707">
        <v>0</v>
      </c>
      <c r="J88" s="1717">
        <v>0</v>
      </c>
      <c r="K88" s="1701">
        <f t="shared" ref="K88:K93" si="12" xml:space="preserve"> SUM(H88:J88) + $C88</f>
        <v>0.25</v>
      </c>
    </row>
    <row r="89" spans="1:11" x14ac:dyDescent="0.25">
      <c r="A89" s="1940"/>
      <c r="B89" s="19" t="s">
        <v>33</v>
      </c>
      <c r="C89" s="817"/>
      <c r="D89" s="503" t="s">
        <v>1770</v>
      </c>
      <c r="E89" s="482" t="s">
        <v>1770</v>
      </c>
      <c r="F89" s="1733" t="s">
        <v>1770</v>
      </c>
      <c r="G89" s="21">
        <f t="shared" si="3"/>
        <v>0</v>
      </c>
      <c r="H89" s="503" t="s">
        <v>1770</v>
      </c>
      <c r="I89" s="482" t="s">
        <v>1770</v>
      </c>
      <c r="J89" s="1733" t="s">
        <v>1770</v>
      </c>
      <c r="K89" s="21">
        <f t="shared" si="12"/>
        <v>0</v>
      </c>
    </row>
    <row r="90" spans="1:11" x14ac:dyDescent="0.25">
      <c r="A90" s="1940"/>
      <c r="B90" s="19" t="s">
        <v>34</v>
      </c>
      <c r="C90" s="817"/>
      <c r="D90" s="503" t="s">
        <v>1770</v>
      </c>
      <c r="E90" s="482" t="s">
        <v>1770</v>
      </c>
      <c r="F90" s="1733" t="s">
        <v>1770</v>
      </c>
      <c r="G90" s="21">
        <f t="shared" si="3"/>
        <v>0</v>
      </c>
      <c r="H90" s="503" t="s">
        <v>1770</v>
      </c>
      <c r="I90" s="482" t="s">
        <v>1770</v>
      </c>
      <c r="J90" s="1733" t="s">
        <v>1770</v>
      </c>
      <c r="K90" s="21">
        <f t="shared" si="12"/>
        <v>0</v>
      </c>
    </row>
    <row r="91" spans="1:11" x14ac:dyDescent="0.25">
      <c r="A91" s="1971" t="s">
        <v>24</v>
      </c>
      <c r="B91" s="1702" t="s">
        <v>32</v>
      </c>
      <c r="C91" s="1703"/>
      <c r="D91" s="1714">
        <v>6</v>
      </c>
      <c r="E91" s="1711">
        <f>1*E$3</f>
        <v>0</v>
      </c>
      <c r="F91" s="1718">
        <f>0.5*F$3</f>
        <v>0</v>
      </c>
      <c r="G91" s="1704">
        <f t="shared" si="3"/>
        <v>6</v>
      </c>
      <c r="H91" s="1714">
        <v>6</v>
      </c>
      <c r="I91" s="1711">
        <f>1*I$3</f>
        <v>0</v>
      </c>
      <c r="J91" s="1718">
        <f>0.5*J$3</f>
        <v>0</v>
      </c>
      <c r="K91" s="1704">
        <f t="shared" si="12"/>
        <v>6</v>
      </c>
    </row>
    <row r="92" spans="1:11" x14ac:dyDescent="0.25">
      <c r="A92" s="1971"/>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71"/>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71" t="s">
        <v>25</v>
      </c>
      <c r="B94" s="1702" t="s">
        <v>32</v>
      </c>
      <c r="C94" s="1703"/>
      <c r="D94" s="1714">
        <v>2</v>
      </c>
      <c r="E94" s="1712">
        <v>0</v>
      </c>
      <c r="F94" s="1715">
        <v>0</v>
      </c>
      <c r="G94" s="1704">
        <f t="shared" ref="G94:G105" si="13" xml:space="preserve"> SUM(D94:F94) + $C94</f>
        <v>2</v>
      </c>
      <c r="H94" s="1714">
        <v>2</v>
      </c>
      <c r="I94" s="1712">
        <v>0</v>
      </c>
      <c r="J94" s="1715">
        <v>0</v>
      </c>
      <c r="K94" s="1704">
        <f t="shared" ref="K94:K105" si="14" xml:space="preserve"> SUM(H94:J94) + $C94</f>
        <v>2</v>
      </c>
    </row>
    <row r="95" spans="1:11" x14ac:dyDescent="0.25">
      <c r="A95" s="1971"/>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71"/>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71" t="s">
        <v>26</v>
      </c>
      <c r="B97" s="1702" t="s">
        <v>32</v>
      </c>
      <c r="C97" s="1703"/>
      <c r="D97" s="1714">
        <v>12</v>
      </c>
      <c r="E97" s="1699">
        <f>E$3*2</f>
        <v>0</v>
      </c>
      <c r="F97" s="1719">
        <f>1*F$3</f>
        <v>0</v>
      </c>
      <c r="G97" s="1704">
        <f t="shared" si="13"/>
        <v>12</v>
      </c>
      <c r="H97" s="1714">
        <v>12</v>
      </c>
      <c r="I97" s="1699">
        <f>I$3*2</f>
        <v>0</v>
      </c>
      <c r="J97" s="1719">
        <f>1*J$3</f>
        <v>0</v>
      </c>
      <c r="K97" s="1704">
        <f t="shared" si="14"/>
        <v>12</v>
      </c>
    </row>
    <row r="98" spans="1:11" x14ac:dyDescent="0.25">
      <c r="A98" s="1971"/>
      <c r="B98" s="19" t="s">
        <v>33</v>
      </c>
      <c r="C98" s="817"/>
      <c r="D98" s="1734">
        <f>IF(D$3&gt;1,D$3*0.25+1,1)</f>
        <v>1</v>
      </c>
      <c r="E98" s="478">
        <f>IF(E$3&gt;1,1,0)</f>
        <v>0</v>
      </c>
      <c r="F98" s="229">
        <f>IF(F$3=1,4,0)</f>
        <v>0</v>
      </c>
      <c r="G98" s="21">
        <f t="shared" si="13"/>
        <v>1</v>
      </c>
      <c r="H98" s="1734">
        <f>IF(H$3&gt;1,H$3*0.25+1,1)</f>
        <v>1</v>
      </c>
      <c r="I98" s="478">
        <f>IF(I$3&gt;1,1,0)</f>
        <v>0</v>
      </c>
      <c r="J98" s="229">
        <f>IF(J$3=1,4,0)</f>
        <v>0</v>
      </c>
      <c r="K98" s="21">
        <f t="shared" si="14"/>
        <v>1</v>
      </c>
    </row>
    <row r="99" spans="1:11" x14ac:dyDescent="0.25">
      <c r="A99" s="1971"/>
      <c r="B99" s="19" t="s">
        <v>34</v>
      </c>
      <c r="C99" s="817"/>
      <c r="D99" s="1734">
        <f>IF(D$3&gt;1,D$3*0.25+2,2)</f>
        <v>2</v>
      </c>
      <c r="E99" s="478">
        <f>IF(E$3&gt;1,1,0)</f>
        <v>0</v>
      </c>
      <c r="F99" s="229">
        <f>IF(F$3=1,6,0)</f>
        <v>0</v>
      </c>
      <c r="G99" s="21">
        <f t="shared" si="13"/>
        <v>2</v>
      </c>
      <c r="H99" s="1734">
        <f>IF(H$3&gt;1,H$3*0.25+2,2)</f>
        <v>2</v>
      </c>
      <c r="I99" s="478">
        <f>IF(I$3&gt;1,1,0)</f>
        <v>0</v>
      </c>
      <c r="J99" s="229">
        <f>IF(J$3=1,6,0)</f>
        <v>0</v>
      </c>
      <c r="K99" s="21">
        <f t="shared" si="14"/>
        <v>2</v>
      </c>
    </row>
    <row r="100" spans="1:11" x14ac:dyDescent="0.25">
      <c r="A100" s="1971" t="s">
        <v>27</v>
      </c>
      <c r="B100" s="1702" t="s">
        <v>32</v>
      </c>
      <c r="C100" s="1703"/>
      <c r="D100" s="1714">
        <v>6</v>
      </c>
      <c r="E100" s="1699">
        <f>E$3*2</f>
        <v>0</v>
      </c>
      <c r="F100" s="1719">
        <f>1*F$3</f>
        <v>0</v>
      </c>
      <c r="G100" s="1704">
        <f t="shared" si="13"/>
        <v>6</v>
      </c>
      <c r="H100" s="1714">
        <v>6</v>
      </c>
      <c r="I100" s="1699">
        <f>I$3*2</f>
        <v>0</v>
      </c>
      <c r="J100" s="1719">
        <f>1*J$3</f>
        <v>0</v>
      </c>
      <c r="K100" s="1704">
        <f t="shared" si="14"/>
        <v>6</v>
      </c>
    </row>
    <row r="101" spans="1:11" x14ac:dyDescent="0.25">
      <c r="A101" s="1971"/>
      <c r="B101" s="19" t="s">
        <v>33</v>
      </c>
      <c r="C101" s="817"/>
      <c r="D101" s="1734">
        <f>IF(D$3&gt;1,D$3*0.25+1,1)</f>
        <v>1</v>
      </c>
      <c r="E101" s="478">
        <f>IF(E$3&gt;1,1,0)</f>
        <v>0</v>
      </c>
      <c r="F101" s="229">
        <f>IF(F$3=1,4,0)</f>
        <v>0</v>
      </c>
      <c r="G101" s="21">
        <f t="shared" si="13"/>
        <v>1</v>
      </c>
      <c r="H101" s="1734">
        <f>IF(H$3&gt;1,H$3*0.25+1,1)</f>
        <v>1</v>
      </c>
      <c r="I101" s="478">
        <f>IF(I$3&gt;1,1,0)</f>
        <v>0</v>
      </c>
      <c r="J101" s="229">
        <f>IF(J$3=1,4,0)</f>
        <v>0</v>
      </c>
      <c r="K101" s="21">
        <f t="shared" si="14"/>
        <v>1</v>
      </c>
    </row>
    <row r="102" spans="1:11" x14ac:dyDescent="0.25">
      <c r="A102" s="1971"/>
      <c r="B102" s="19" t="s">
        <v>34</v>
      </c>
      <c r="C102" s="817"/>
      <c r="D102" s="1734">
        <f>IF(D$3&gt;1,D$3*0.25+2,2)</f>
        <v>2</v>
      </c>
      <c r="E102" s="478">
        <f>IF(E$3&gt;1,1,0)</f>
        <v>0</v>
      </c>
      <c r="F102" s="229">
        <f>IF(F$3=1,6,0)</f>
        <v>0</v>
      </c>
      <c r="G102" s="21">
        <f t="shared" si="13"/>
        <v>2</v>
      </c>
      <c r="H102" s="1734">
        <f>IF(H$3&gt;1,H$3*0.25+2,2)</f>
        <v>2</v>
      </c>
      <c r="I102" s="478">
        <f>IF(I$3&gt;1,1,0)</f>
        <v>0</v>
      </c>
      <c r="J102" s="229">
        <f>IF(J$3=1,6,0)</f>
        <v>0</v>
      </c>
      <c r="K102" s="21">
        <f t="shared" si="14"/>
        <v>2</v>
      </c>
    </row>
    <row r="103" spans="1:11" x14ac:dyDescent="0.25">
      <c r="A103" s="1940" t="s">
        <v>28</v>
      </c>
      <c r="B103" s="1702" t="s">
        <v>32</v>
      </c>
      <c r="C103" s="1703"/>
      <c r="D103" s="1714">
        <v>2</v>
      </c>
      <c r="E103" s="1720">
        <f t="shared" ref="E103:F103" si="15">0.5*E$3</f>
        <v>0</v>
      </c>
      <c r="F103" s="1721">
        <f t="shared" si="15"/>
        <v>0</v>
      </c>
      <c r="G103" s="1704">
        <f t="shared" si="13"/>
        <v>2</v>
      </c>
      <c r="H103" s="1714">
        <v>2</v>
      </c>
      <c r="I103" s="1720">
        <f t="shared" ref="I103:J103" si="16">0.5*I$3</f>
        <v>0</v>
      </c>
      <c r="J103" s="1721">
        <f t="shared" si="16"/>
        <v>0</v>
      </c>
      <c r="K103" s="1704">
        <f t="shared" si="14"/>
        <v>2</v>
      </c>
    </row>
    <row r="104" spans="1:11" x14ac:dyDescent="0.25">
      <c r="A104" s="1940"/>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38"/>
      <c r="B105" s="20" t="s">
        <v>34</v>
      </c>
      <c r="C105" s="818"/>
      <c r="D105" s="507">
        <v>2</v>
      </c>
      <c r="E105" s="1735">
        <f>IF(E$3&gt;1,1,0)</f>
        <v>0</v>
      </c>
      <c r="F105" s="1694">
        <f>IF(F$3=1,4,0)</f>
        <v>0</v>
      </c>
      <c r="G105" s="24">
        <f t="shared" si="13"/>
        <v>2</v>
      </c>
      <c r="H105" s="507">
        <v>2</v>
      </c>
      <c r="I105" s="1735">
        <f>IF(I$3&gt;1,1,0)</f>
        <v>0</v>
      </c>
      <c r="J105" s="1694">
        <f>IF(J$3=1,4,0)</f>
        <v>0</v>
      </c>
      <c r="K105" s="24">
        <f t="shared" si="14"/>
        <v>2</v>
      </c>
    </row>
    <row r="107" spans="1:11" ht="15.75" x14ac:dyDescent="0.25">
      <c r="A107" s="1690" t="s">
        <v>1705</v>
      </c>
      <c r="B107" s="1690" t="s">
        <v>1706</v>
      </c>
      <c r="C107" s="1722"/>
      <c r="D107" s="1695"/>
      <c r="E107" s="1722" t="s">
        <v>1707</v>
      </c>
      <c r="F107" s="1722"/>
    </row>
    <row r="108" spans="1:11" ht="130.15" customHeight="1" x14ac:dyDescent="0.25">
      <c r="A108" s="1691" t="s">
        <v>1813</v>
      </c>
      <c r="B108" s="1691" t="s">
        <v>1778</v>
      </c>
      <c r="C108" s="1722"/>
      <c r="D108" s="1722"/>
      <c r="E108" s="1722"/>
      <c r="F108" s="1722"/>
    </row>
    <row r="109" spans="1:11" ht="45" x14ac:dyDescent="0.25">
      <c r="A109" s="1691" t="s">
        <v>1814</v>
      </c>
      <c r="B109" s="1691" t="s">
        <v>1815</v>
      </c>
      <c r="C109" s="1722"/>
      <c r="D109" s="1722"/>
      <c r="E109" s="1722"/>
      <c r="F109" s="1722"/>
    </row>
    <row r="110" spans="1:11" ht="60" x14ac:dyDescent="0.25">
      <c r="A110" s="1691" t="s">
        <v>1811</v>
      </c>
      <c r="B110" s="1691" t="s">
        <v>1812</v>
      </c>
      <c r="C110" s="1722"/>
      <c r="D110" s="1722"/>
      <c r="E110" s="1722"/>
      <c r="F110" s="1722"/>
    </row>
    <row r="111" spans="1:11" x14ac:dyDescent="0.25">
      <c r="A111" s="1722"/>
      <c r="B111" s="1722"/>
      <c r="C111" s="1722"/>
      <c r="D111" s="1722"/>
      <c r="E111" s="1722"/>
      <c r="F111" s="1722"/>
    </row>
    <row r="112" spans="1:11" x14ac:dyDescent="0.25">
      <c r="A112" s="1692" t="s">
        <v>89</v>
      </c>
      <c r="B112" s="1722"/>
      <c r="C112" s="1722"/>
      <c r="D112" s="1722"/>
      <c r="E112" s="1722"/>
      <c r="F112" s="1722"/>
    </row>
    <row r="113" spans="1:6" ht="15.75" x14ac:dyDescent="0.25">
      <c r="A113" s="2311" t="str">
        <f>A5</f>
        <v>ТЗ</v>
      </c>
      <c r="B113" s="2312"/>
      <c r="C113" s="1722"/>
      <c r="D113" s="1693" t="s">
        <v>66</v>
      </c>
      <c r="E113" s="1693" t="s">
        <v>65</v>
      </c>
      <c r="F113" s="1693" t="s">
        <v>64</v>
      </c>
    </row>
    <row r="114" spans="1:6" x14ac:dyDescent="0.25">
      <c r="A114" s="132" t="s">
        <v>1709</v>
      </c>
      <c r="B114" s="905" t="s">
        <v>33</v>
      </c>
      <c r="C114" s="1722"/>
      <c r="D114" s="658"/>
      <c r="E114" s="658"/>
      <c r="F114" s="658" t="s">
        <v>1802</v>
      </c>
    </row>
    <row r="115" spans="1:6" x14ac:dyDescent="0.25">
      <c r="A115" s="132" t="s">
        <v>1710</v>
      </c>
      <c r="B115" s="905" t="s">
        <v>34</v>
      </c>
      <c r="C115" s="1722"/>
      <c r="D115" s="658"/>
      <c r="E115" s="658"/>
      <c r="F115" s="658" t="s">
        <v>1800</v>
      </c>
    </row>
    <row r="116" spans="1:6" ht="15.75" x14ac:dyDescent="0.25">
      <c r="A116" s="2311" t="str">
        <f>A8</f>
        <v>ФТТ</v>
      </c>
      <c r="B116" s="2312"/>
      <c r="C116" s="1722"/>
      <c r="D116" s="1693" t="s">
        <v>66</v>
      </c>
      <c r="E116" s="1693" t="s">
        <v>65</v>
      </c>
      <c r="F116" s="1693" t="s">
        <v>64</v>
      </c>
    </row>
    <row r="117" spans="1:6" x14ac:dyDescent="0.25">
      <c r="A117" s="132" t="s">
        <v>1711</v>
      </c>
      <c r="B117" s="905" t="s">
        <v>33</v>
      </c>
      <c r="C117" s="1722"/>
      <c r="D117" s="658"/>
      <c r="E117" s="658"/>
      <c r="F117" s="658" t="s">
        <v>1802</v>
      </c>
    </row>
    <row r="118" spans="1:6" x14ac:dyDescent="0.25">
      <c r="A118" s="132" t="s">
        <v>1712</v>
      </c>
      <c r="B118" s="905" t="s">
        <v>34</v>
      </c>
      <c r="C118" s="1722"/>
      <c r="D118" s="658"/>
      <c r="E118" s="658"/>
      <c r="F118" s="658" t="s">
        <v>1800</v>
      </c>
    </row>
    <row r="119" spans="1:6" ht="15.75" x14ac:dyDescent="0.25">
      <c r="A119" s="2311" t="str">
        <f>A12</f>
        <v>Пояснительная записка к эскизному проекту</v>
      </c>
      <c r="B119" s="2312"/>
      <c r="C119" s="1722"/>
      <c r="D119" s="1693" t="s">
        <v>66</v>
      </c>
      <c r="E119" s="1693" t="s">
        <v>65</v>
      </c>
      <c r="F119" s="1693" t="s">
        <v>64</v>
      </c>
    </row>
    <row r="120" spans="1:6" x14ac:dyDescent="0.25">
      <c r="A120" s="132" t="s">
        <v>1713</v>
      </c>
      <c r="B120" s="905" t="s">
        <v>33</v>
      </c>
      <c r="C120" s="1722"/>
      <c r="D120" s="658"/>
      <c r="E120" s="658" t="s">
        <v>1817</v>
      </c>
      <c r="F120" s="658" t="s">
        <v>1805</v>
      </c>
    </row>
    <row r="121" spans="1:6" x14ac:dyDescent="0.25">
      <c r="A121" s="132" t="s">
        <v>1714</v>
      </c>
      <c r="B121" s="905" t="s">
        <v>34</v>
      </c>
      <c r="C121" s="1722"/>
      <c r="D121" s="658"/>
      <c r="E121" s="658" t="s">
        <v>1817</v>
      </c>
      <c r="F121" s="658" t="s">
        <v>1824</v>
      </c>
    </row>
    <row r="122" spans="1:6" ht="15.75" x14ac:dyDescent="0.25">
      <c r="A122" s="2311" t="str">
        <f>A19</f>
        <v xml:space="preserve">Ведомость покупных изделий </v>
      </c>
      <c r="B122" s="2312"/>
      <c r="C122" s="1722"/>
      <c r="D122" s="1693" t="s">
        <v>66</v>
      </c>
      <c r="E122" s="1693" t="s">
        <v>65</v>
      </c>
      <c r="F122" s="1693" t="s">
        <v>64</v>
      </c>
    </row>
    <row r="123" spans="1:6" x14ac:dyDescent="0.25">
      <c r="A123" s="132" t="s">
        <v>1715</v>
      </c>
      <c r="B123" s="905" t="s">
        <v>33</v>
      </c>
      <c r="C123" s="1722"/>
      <c r="D123" s="658" t="s">
        <v>1772</v>
      </c>
      <c r="E123" s="658" t="s">
        <v>1818</v>
      </c>
      <c r="F123" s="658"/>
    </row>
    <row r="124" spans="1:6" x14ac:dyDescent="0.25">
      <c r="A124" s="132" t="s">
        <v>1716</v>
      </c>
      <c r="B124" s="905" t="s">
        <v>34</v>
      </c>
      <c r="C124" s="1722"/>
      <c r="D124" s="658" t="s">
        <v>1772</v>
      </c>
      <c r="E124" s="658" t="s">
        <v>1818</v>
      </c>
      <c r="F124" s="658"/>
    </row>
    <row r="125" spans="1:6" ht="15.75" x14ac:dyDescent="0.25">
      <c r="A125" s="2311" t="str">
        <f>A22</f>
        <v xml:space="preserve">Пояснительная записка к техническому проекту </v>
      </c>
      <c r="B125" s="2312"/>
      <c r="C125" s="1722"/>
      <c r="D125" s="1693" t="s">
        <v>66</v>
      </c>
      <c r="E125" s="1693" t="s">
        <v>65</v>
      </c>
      <c r="F125" s="1693" t="s">
        <v>64</v>
      </c>
    </row>
    <row r="126" spans="1:6" x14ac:dyDescent="0.25">
      <c r="A126" s="132" t="s">
        <v>1717</v>
      </c>
      <c r="B126" s="905" t="s">
        <v>33</v>
      </c>
      <c r="C126" s="1722"/>
      <c r="D126" s="658"/>
      <c r="E126" s="658" t="s">
        <v>1817</v>
      </c>
      <c r="F126" s="658" t="s">
        <v>1805</v>
      </c>
    </row>
    <row r="127" spans="1:6" x14ac:dyDescent="0.25">
      <c r="A127" s="132" t="s">
        <v>1718</v>
      </c>
      <c r="B127" s="905" t="s">
        <v>34</v>
      </c>
      <c r="C127" s="1722"/>
      <c r="D127" s="658"/>
      <c r="E127" s="658" t="s">
        <v>1817</v>
      </c>
      <c r="F127" s="658" t="s">
        <v>1824</v>
      </c>
    </row>
    <row r="128" spans="1:6" ht="15.75" x14ac:dyDescent="0.25">
      <c r="A128" s="2311" t="str">
        <f>A25</f>
        <v xml:space="preserve">Описание комплекса технических средств </v>
      </c>
      <c r="B128" s="2312"/>
      <c r="C128" s="1722"/>
      <c r="D128" s="1693" t="s">
        <v>66</v>
      </c>
      <c r="E128" s="1693" t="s">
        <v>65</v>
      </c>
      <c r="F128" s="1693" t="s">
        <v>64</v>
      </c>
    </row>
    <row r="129" spans="1:6" x14ac:dyDescent="0.25">
      <c r="A129" s="132" t="s">
        <v>1719</v>
      </c>
      <c r="B129" s="905" t="s">
        <v>33</v>
      </c>
      <c r="C129" s="1722"/>
      <c r="D129" s="658"/>
      <c r="E129" s="658"/>
      <c r="F129" s="658" t="s">
        <v>1800</v>
      </c>
    </row>
    <row r="130" spans="1:6" x14ac:dyDescent="0.25">
      <c r="A130" s="132" t="s">
        <v>1720</v>
      </c>
      <c r="B130" s="905" t="s">
        <v>34</v>
      </c>
      <c r="C130" s="1722"/>
      <c r="D130" s="658"/>
      <c r="E130" s="658"/>
      <c r="F130" s="658" t="s">
        <v>1801</v>
      </c>
    </row>
    <row r="131" spans="1:6" ht="15.75" x14ac:dyDescent="0.25">
      <c r="A131" s="2311" t="str">
        <f>A28</f>
        <v xml:space="preserve">Описание программного обеспечения </v>
      </c>
      <c r="B131" s="2312"/>
      <c r="C131" s="1722"/>
      <c r="D131" s="1693" t="s">
        <v>66</v>
      </c>
      <c r="E131" s="1693" t="s">
        <v>65</v>
      </c>
      <c r="F131" s="1693" t="s">
        <v>64</v>
      </c>
    </row>
    <row r="132" spans="1:6" x14ac:dyDescent="0.25">
      <c r="A132" s="132" t="s">
        <v>1721</v>
      </c>
      <c r="B132" s="905" t="s">
        <v>33</v>
      </c>
      <c r="C132" s="1722"/>
      <c r="D132" s="658"/>
      <c r="E132" s="658" t="s">
        <v>1821</v>
      </c>
      <c r="F132" s="658" t="s">
        <v>1805</v>
      </c>
    </row>
    <row r="133" spans="1:6" x14ac:dyDescent="0.25">
      <c r="A133" s="132" t="s">
        <v>1722</v>
      </c>
      <c r="B133" s="905" t="s">
        <v>34</v>
      </c>
      <c r="C133" s="1722"/>
      <c r="D133" s="658"/>
      <c r="E133" s="658" t="s">
        <v>1822</v>
      </c>
      <c r="F133" s="658" t="s">
        <v>1820</v>
      </c>
    </row>
    <row r="134" spans="1:6" ht="15.75" x14ac:dyDescent="0.25">
      <c r="A134" s="2311" t="str">
        <f>A31</f>
        <v>Схема структурная</v>
      </c>
      <c r="B134" s="2312"/>
      <c r="C134" s="1722"/>
      <c r="D134" s="1693" t="s">
        <v>66</v>
      </c>
      <c r="E134" s="1693" t="s">
        <v>65</v>
      </c>
      <c r="F134" s="1693" t="s">
        <v>64</v>
      </c>
    </row>
    <row r="135" spans="1:6" x14ac:dyDescent="0.25">
      <c r="A135" s="132" t="s">
        <v>1723</v>
      </c>
      <c r="B135" s="905" t="s">
        <v>33</v>
      </c>
      <c r="C135" s="1722"/>
      <c r="D135" s="658" t="s">
        <v>1772</v>
      </c>
      <c r="E135" s="658" t="s">
        <v>1823</v>
      </c>
      <c r="F135" s="658" t="s">
        <v>1802</v>
      </c>
    </row>
    <row r="136" spans="1:6" x14ac:dyDescent="0.25">
      <c r="A136" s="132" t="s">
        <v>1724</v>
      </c>
      <c r="B136" s="905" t="s">
        <v>34</v>
      </c>
      <c r="C136" s="1722"/>
      <c r="D136" s="658" t="s">
        <v>1772</v>
      </c>
      <c r="E136" s="658" t="s">
        <v>1823</v>
      </c>
      <c r="F136" s="658" t="s">
        <v>1800</v>
      </c>
    </row>
    <row r="137" spans="1:6" ht="15.75" x14ac:dyDescent="0.25">
      <c r="A137" s="2311" t="str">
        <f>A34</f>
        <v>Схема функциональная</v>
      </c>
      <c r="B137" s="2312"/>
      <c r="C137" s="1722"/>
      <c r="D137" s="1693" t="s">
        <v>66</v>
      </c>
      <c r="E137" s="1693" t="s">
        <v>65</v>
      </c>
      <c r="F137" s="1693" t="s">
        <v>64</v>
      </c>
    </row>
    <row r="138" spans="1:6" x14ac:dyDescent="0.25">
      <c r="A138" s="132" t="s">
        <v>1725</v>
      </c>
      <c r="B138" s="905" t="s">
        <v>33</v>
      </c>
      <c r="C138" s="1722"/>
      <c r="D138" s="658"/>
      <c r="E138" s="658" t="s">
        <v>1821</v>
      </c>
      <c r="F138" s="658" t="s">
        <v>1800</v>
      </c>
    </row>
    <row r="139" spans="1:6" x14ac:dyDescent="0.25">
      <c r="A139" s="132" t="s">
        <v>1726</v>
      </c>
      <c r="B139" s="905" t="s">
        <v>34</v>
      </c>
      <c r="C139" s="1722"/>
      <c r="D139" s="658"/>
      <c r="E139" s="658" t="s">
        <v>1822</v>
      </c>
      <c r="F139" s="658" t="s">
        <v>1803</v>
      </c>
    </row>
    <row r="140" spans="1:6" ht="15.75" x14ac:dyDescent="0.25">
      <c r="A140" s="2311" t="str">
        <f>A38</f>
        <v xml:space="preserve">Пояснительная записка к технорабочему проекту </v>
      </c>
      <c r="B140" s="2312"/>
      <c r="C140" s="1722"/>
      <c r="D140" s="1693" t="s">
        <v>66</v>
      </c>
      <c r="E140" s="1693" t="s">
        <v>65</v>
      </c>
      <c r="F140" s="1693" t="s">
        <v>64</v>
      </c>
    </row>
    <row r="141" spans="1:6" x14ac:dyDescent="0.25">
      <c r="A141" s="132" t="s">
        <v>1727</v>
      </c>
      <c r="B141" s="905" t="s">
        <v>33</v>
      </c>
      <c r="C141" s="1722"/>
      <c r="D141" s="658"/>
      <c r="E141" s="658" t="s">
        <v>1822</v>
      </c>
      <c r="F141" s="658" t="s">
        <v>1807</v>
      </c>
    </row>
    <row r="142" spans="1:6" x14ac:dyDescent="0.25">
      <c r="A142" s="132" t="s">
        <v>1728</v>
      </c>
      <c r="B142" s="905" t="s">
        <v>34</v>
      </c>
      <c r="C142" s="1722"/>
      <c r="D142" s="658"/>
      <c r="E142" s="658" t="s">
        <v>1822</v>
      </c>
      <c r="F142" s="658" t="s">
        <v>1819</v>
      </c>
    </row>
    <row r="143" spans="1:6" ht="15.75" x14ac:dyDescent="0.25">
      <c r="A143" s="2311" t="str">
        <f>A42</f>
        <v xml:space="preserve">Спецификация оборудования </v>
      </c>
      <c r="B143" s="2312"/>
      <c r="C143" s="1722"/>
      <c r="D143" s="1693" t="s">
        <v>66</v>
      </c>
      <c r="E143" s="1693" t="s">
        <v>65</v>
      </c>
      <c r="F143" s="1693" t="s">
        <v>64</v>
      </c>
    </row>
    <row r="144" spans="1:6" x14ac:dyDescent="0.25">
      <c r="A144" s="132" t="s">
        <v>1729</v>
      </c>
      <c r="B144" s="905" t="s">
        <v>33</v>
      </c>
      <c r="C144" s="1722"/>
      <c r="D144" s="658" t="s">
        <v>1772</v>
      </c>
      <c r="E144" s="658" t="s">
        <v>1818</v>
      </c>
      <c r="F144" s="658"/>
    </row>
    <row r="145" spans="1:6" x14ac:dyDescent="0.25">
      <c r="A145" s="132" t="s">
        <v>1730</v>
      </c>
      <c r="B145" s="905" t="s">
        <v>34</v>
      </c>
      <c r="C145" s="1722"/>
      <c r="D145" s="658" t="s">
        <v>1772</v>
      </c>
      <c r="E145" s="658" t="s">
        <v>1818</v>
      </c>
      <c r="F145" s="658"/>
    </row>
    <row r="146" spans="1:6" ht="15.75" x14ac:dyDescent="0.25">
      <c r="A146" s="2311" t="str">
        <f>A45</f>
        <v>Инструкция по установке и настройке</v>
      </c>
      <c r="B146" s="2312"/>
      <c r="C146" s="1722"/>
      <c r="D146" s="1693" t="s">
        <v>66</v>
      </c>
      <c r="E146" s="1693" t="s">
        <v>65</v>
      </c>
      <c r="F146" s="1693" t="s">
        <v>64</v>
      </c>
    </row>
    <row r="147" spans="1:6" x14ac:dyDescent="0.25">
      <c r="A147" s="132" t="s">
        <v>1731</v>
      </c>
      <c r="B147" s="905" t="s">
        <v>33</v>
      </c>
      <c r="C147" s="1722"/>
      <c r="D147" s="658"/>
      <c r="E147" s="658" t="s">
        <v>1822</v>
      </c>
      <c r="F147" s="658" t="s">
        <v>1796</v>
      </c>
    </row>
    <row r="148" spans="1:6" x14ac:dyDescent="0.25">
      <c r="A148" s="132" t="s">
        <v>1732</v>
      </c>
      <c r="B148" s="905" t="s">
        <v>34</v>
      </c>
      <c r="C148" s="1722"/>
      <c r="D148" s="658"/>
      <c r="E148" s="658" t="s">
        <v>1825</v>
      </c>
      <c r="F148" s="658" t="s">
        <v>1802</v>
      </c>
    </row>
    <row r="149" spans="1:6" ht="15.75" x14ac:dyDescent="0.25">
      <c r="A149" s="2311" t="str">
        <f>A48</f>
        <v xml:space="preserve">Схема соединений внешних проводок </v>
      </c>
      <c r="B149" s="2312"/>
      <c r="C149" s="1722"/>
      <c r="D149" s="1693" t="s">
        <v>66</v>
      </c>
      <c r="E149" s="1693" t="s">
        <v>65</v>
      </c>
      <c r="F149" s="1693" t="s">
        <v>64</v>
      </c>
    </row>
    <row r="150" spans="1:6" x14ac:dyDescent="0.25">
      <c r="A150" s="132" t="s">
        <v>1733</v>
      </c>
      <c r="B150" s="905" t="s">
        <v>33</v>
      </c>
      <c r="C150" s="1722"/>
      <c r="D150" s="658" t="s">
        <v>1771</v>
      </c>
      <c r="E150" s="658" t="s">
        <v>1826</v>
      </c>
      <c r="F150" s="658" t="s">
        <v>1796</v>
      </c>
    </row>
    <row r="151" spans="1:6" x14ac:dyDescent="0.25">
      <c r="A151" s="132" t="s">
        <v>1734</v>
      </c>
      <c r="B151" s="905" t="s">
        <v>34</v>
      </c>
      <c r="C151" s="1722"/>
      <c r="D151" s="658" t="s">
        <v>1771</v>
      </c>
      <c r="E151" s="658" t="s">
        <v>1826</v>
      </c>
      <c r="F151" s="658" t="s">
        <v>1796</v>
      </c>
    </row>
    <row r="152" spans="1:6" ht="15.75" x14ac:dyDescent="0.25">
      <c r="A152" s="2311" t="str">
        <f>A51</f>
        <v xml:space="preserve">Таблица соединений и подключений </v>
      </c>
      <c r="B152" s="2312"/>
      <c r="C152" s="1722"/>
      <c r="D152" s="1693" t="s">
        <v>66</v>
      </c>
      <c r="E152" s="1693" t="s">
        <v>65</v>
      </c>
      <c r="F152" s="1693" t="s">
        <v>64</v>
      </c>
    </row>
    <row r="153" spans="1:6" x14ac:dyDescent="0.25">
      <c r="A153" s="132" t="s">
        <v>1735</v>
      </c>
      <c r="B153" s="905" t="s">
        <v>33</v>
      </c>
      <c r="C153" s="1722"/>
      <c r="D153" s="658" t="s">
        <v>1771</v>
      </c>
      <c r="E153" s="658" t="s">
        <v>1826</v>
      </c>
      <c r="F153" s="658" t="s">
        <v>1796</v>
      </c>
    </row>
    <row r="154" spans="1:6" x14ac:dyDescent="0.25">
      <c r="A154" s="132" t="s">
        <v>1736</v>
      </c>
      <c r="B154" s="905" t="s">
        <v>34</v>
      </c>
      <c r="C154" s="1722"/>
      <c r="D154" s="658" t="s">
        <v>1771</v>
      </c>
      <c r="E154" s="658" t="s">
        <v>1826</v>
      </c>
      <c r="F154" s="658" t="s">
        <v>1796</v>
      </c>
    </row>
    <row r="155" spans="1:6" ht="15.75" x14ac:dyDescent="0.25">
      <c r="A155" s="2311" t="str">
        <f>A54</f>
        <v xml:space="preserve">План расположения </v>
      </c>
      <c r="B155" s="2312"/>
      <c r="C155" s="1722"/>
      <c r="D155" s="1693" t="s">
        <v>66</v>
      </c>
      <c r="E155" s="1693" t="s">
        <v>65</v>
      </c>
      <c r="F155" s="1693" t="s">
        <v>64</v>
      </c>
    </row>
    <row r="156" spans="1:6" x14ac:dyDescent="0.25">
      <c r="A156" s="132" t="s">
        <v>1737</v>
      </c>
      <c r="B156" s="905" t="s">
        <v>33</v>
      </c>
      <c r="C156" s="1722"/>
      <c r="D156" s="658" t="s">
        <v>1772</v>
      </c>
      <c r="E156" s="658" t="s">
        <v>1826</v>
      </c>
      <c r="F156" s="658" t="s">
        <v>1796</v>
      </c>
    </row>
    <row r="157" spans="1:6" x14ac:dyDescent="0.25">
      <c r="A157" s="132" t="s">
        <v>1738</v>
      </c>
      <c r="B157" s="905" t="s">
        <v>34</v>
      </c>
      <c r="C157" s="1722"/>
      <c r="D157" s="658" t="s">
        <v>1772</v>
      </c>
      <c r="E157" s="658" t="s">
        <v>1826</v>
      </c>
      <c r="F157" s="658" t="s">
        <v>1796</v>
      </c>
    </row>
    <row r="158" spans="1:6" ht="15.75" x14ac:dyDescent="0.25">
      <c r="A158" s="2311" t="str">
        <f>A57</f>
        <v>Паспорт</v>
      </c>
      <c r="B158" s="2312"/>
      <c r="C158" s="1722"/>
      <c r="D158" s="1693" t="s">
        <v>66</v>
      </c>
      <c r="E158" s="1693" t="s">
        <v>65</v>
      </c>
      <c r="F158" s="1693" t="s">
        <v>64</v>
      </c>
    </row>
    <row r="159" spans="1:6" x14ac:dyDescent="0.25">
      <c r="A159" s="132" t="s">
        <v>1746</v>
      </c>
      <c r="B159" s="905" t="s">
        <v>33</v>
      </c>
      <c r="C159" s="1722"/>
      <c r="D159" s="658"/>
      <c r="E159" s="658" t="s">
        <v>1821</v>
      </c>
      <c r="F159" s="658" t="s">
        <v>1805</v>
      </c>
    </row>
    <row r="160" spans="1:6" x14ac:dyDescent="0.25">
      <c r="A160" s="132" t="s">
        <v>1745</v>
      </c>
      <c r="B160" s="905" t="s">
        <v>34</v>
      </c>
      <c r="C160" s="1722"/>
      <c r="D160" s="658"/>
      <c r="E160" s="658" t="s">
        <v>1821</v>
      </c>
      <c r="F160" s="658" t="s">
        <v>1806</v>
      </c>
    </row>
    <row r="161" spans="1:6" ht="15.75" x14ac:dyDescent="0.25">
      <c r="A161" s="2311" t="str">
        <f>A60</f>
        <v>ПиМИ</v>
      </c>
      <c r="B161" s="2312"/>
      <c r="C161" s="1722"/>
      <c r="D161" s="1693" t="s">
        <v>66</v>
      </c>
      <c r="E161" s="1693" t="s">
        <v>65</v>
      </c>
      <c r="F161" s="1693" t="s">
        <v>64</v>
      </c>
    </row>
    <row r="162" spans="1:6" x14ac:dyDescent="0.25">
      <c r="A162" s="132" t="s">
        <v>1744</v>
      </c>
      <c r="B162" s="905" t="s">
        <v>33</v>
      </c>
      <c r="C162" s="1722"/>
      <c r="D162" s="658"/>
      <c r="E162" s="658" t="s">
        <v>1821</v>
      </c>
      <c r="F162" s="658" t="s">
        <v>1800</v>
      </c>
    </row>
    <row r="163" spans="1:6" x14ac:dyDescent="0.25">
      <c r="A163" s="132" t="s">
        <v>1743</v>
      </c>
      <c r="B163" s="905" t="s">
        <v>34</v>
      </c>
      <c r="C163" s="1722"/>
      <c r="D163" s="658"/>
      <c r="E163" s="658" t="s">
        <v>1822</v>
      </c>
      <c r="F163" s="658" t="s">
        <v>1803</v>
      </c>
    </row>
    <row r="164" spans="1:6" ht="15.75" x14ac:dyDescent="0.25">
      <c r="A164" s="2311" t="str">
        <f>A63</f>
        <v>Технические условия для монтажа оборудования</v>
      </c>
      <c r="B164" s="2312"/>
      <c r="C164" s="1722"/>
      <c r="D164" s="1693" t="s">
        <v>66</v>
      </c>
      <c r="E164" s="1693" t="s">
        <v>65</v>
      </c>
      <c r="F164" s="1693" t="s">
        <v>64</v>
      </c>
    </row>
    <row r="165" spans="1:6" x14ac:dyDescent="0.25">
      <c r="A165" s="132" t="s">
        <v>1742</v>
      </c>
      <c r="B165" s="905" t="s">
        <v>33</v>
      </c>
      <c r="C165" s="1722"/>
      <c r="D165" s="658"/>
      <c r="E165" s="658"/>
      <c r="F165" s="658"/>
    </row>
    <row r="166" spans="1:6" x14ac:dyDescent="0.25">
      <c r="A166" s="132" t="s">
        <v>1741</v>
      </c>
      <c r="B166" s="905" t="s">
        <v>34</v>
      </c>
      <c r="C166" s="1722"/>
      <c r="D166" s="658"/>
      <c r="E166" s="658"/>
      <c r="F166" s="658"/>
    </row>
    <row r="167" spans="1:6" ht="15.75" x14ac:dyDescent="0.25">
      <c r="A167" s="2311" t="str">
        <f>A66</f>
        <v>Эскизная схема расположения оборудования</v>
      </c>
      <c r="B167" s="2312"/>
      <c r="C167" s="1722"/>
      <c r="D167" s="1693" t="s">
        <v>66</v>
      </c>
      <c r="E167" s="1693" t="s">
        <v>65</v>
      </c>
      <c r="F167" s="1693" t="s">
        <v>64</v>
      </c>
    </row>
    <row r="168" spans="1:6" x14ac:dyDescent="0.25">
      <c r="A168" s="132" t="s">
        <v>1739</v>
      </c>
      <c r="B168" s="905" t="s">
        <v>33</v>
      </c>
      <c r="C168" s="1722"/>
      <c r="D168" s="658" t="s">
        <v>1772</v>
      </c>
      <c r="E168" s="658" t="s">
        <v>1827</v>
      </c>
      <c r="F168" s="658" t="s">
        <v>1796</v>
      </c>
    </row>
    <row r="169" spans="1:6" x14ac:dyDescent="0.25">
      <c r="A169" s="132" t="s">
        <v>1740</v>
      </c>
      <c r="B169" s="905" t="s">
        <v>34</v>
      </c>
      <c r="C169" s="1722"/>
      <c r="D169" s="658" t="s">
        <v>1772</v>
      </c>
      <c r="E169" s="658" t="s">
        <v>1827</v>
      </c>
      <c r="F169" s="658" t="s">
        <v>1796</v>
      </c>
    </row>
    <row r="170" spans="1:6" ht="15.75" x14ac:dyDescent="0.25">
      <c r="A170" s="2311" t="str">
        <f>A69</f>
        <v>Сетевая схема L2</v>
      </c>
      <c r="B170" s="2312"/>
      <c r="C170" s="1722"/>
      <c r="D170" s="1693" t="s">
        <v>66</v>
      </c>
      <c r="E170" s="1693" t="s">
        <v>65</v>
      </c>
      <c r="F170" s="1693" t="s">
        <v>64</v>
      </c>
    </row>
    <row r="171" spans="1:6" x14ac:dyDescent="0.25">
      <c r="A171" s="132" t="s">
        <v>1747</v>
      </c>
      <c r="B171" s="905" t="s">
        <v>33</v>
      </c>
      <c r="C171" s="1722"/>
      <c r="D171" s="658"/>
      <c r="E171" s="658"/>
      <c r="F171" s="658"/>
    </row>
    <row r="172" spans="1:6" x14ac:dyDescent="0.25">
      <c r="A172" s="132" t="s">
        <v>1748</v>
      </c>
      <c r="B172" s="905" t="s">
        <v>34</v>
      </c>
      <c r="C172" s="1722"/>
      <c r="D172" s="658"/>
      <c r="E172" s="658"/>
      <c r="F172" s="658"/>
    </row>
    <row r="173" spans="1:6" ht="15.75" x14ac:dyDescent="0.25">
      <c r="A173" s="2311" t="str">
        <f>A72</f>
        <v>Сетевая схема L3</v>
      </c>
      <c r="B173" s="2312"/>
      <c r="C173" s="1722"/>
      <c r="D173" s="1693" t="s">
        <v>66</v>
      </c>
      <c r="E173" s="1693" t="s">
        <v>65</v>
      </c>
      <c r="F173" s="1693" t="s">
        <v>64</v>
      </c>
    </row>
    <row r="174" spans="1:6" x14ac:dyDescent="0.25">
      <c r="A174" s="132" t="s">
        <v>1749</v>
      </c>
      <c r="B174" s="905" t="s">
        <v>33</v>
      </c>
      <c r="C174" s="1722"/>
      <c r="D174" s="658"/>
      <c r="E174" s="658"/>
      <c r="F174" s="658"/>
    </row>
    <row r="175" spans="1:6" x14ac:dyDescent="0.25">
      <c r="A175" s="132" t="s">
        <v>1750</v>
      </c>
      <c r="B175" s="905" t="s">
        <v>34</v>
      </c>
      <c r="C175" s="1722"/>
      <c r="D175" s="658"/>
      <c r="E175" s="658"/>
      <c r="F175" s="658"/>
    </row>
    <row r="176" spans="1:6" ht="15.75" x14ac:dyDescent="0.25">
      <c r="A176" s="2311" t="str">
        <f>A78</f>
        <v>Принципиальная схема электропитания оборудования (СБ)</v>
      </c>
      <c r="B176" s="2312"/>
      <c r="C176" s="1722"/>
      <c r="D176" s="1693" t="s">
        <v>66</v>
      </c>
      <c r="E176" s="1693" t="s">
        <v>65</v>
      </c>
      <c r="F176" s="1693" t="s">
        <v>64</v>
      </c>
    </row>
    <row r="177" spans="1:6" x14ac:dyDescent="0.25">
      <c r="A177" s="132" t="s">
        <v>1751</v>
      </c>
      <c r="B177" s="905" t="s">
        <v>33</v>
      </c>
      <c r="C177" s="1722"/>
      <c r="D177" s="658" t="s">
        <v>1794</v>
      </c>
      <c r="E177" s="658" t="s">
        <v>1826</v>
      </c>
      <c r="F177" s="658" t="s">
        <v>1796</v>
      </c>
    </row>
    <row r="178" spans="1:6" x14ac:dyDescent="0.25">
      <c r="A178" s="132" t="s">
        <v>1752</v>
      </c>
      <c r="B178" s="905" t="s">
        <v>34</v>
      </c>
      <c r="C178" s="1722"/>
      <c r="D178" s="658" t="s">
        <v>1794</v>
      </c>
      <c r="E178" s="658" t="s">
        <v>1826</v>
      </c>
      <c r="F178" s="658" t="s">
        <v>1796</v>
      </c>
    </row>
    <row r="179" spans="1:6" ht="15.75" x14ac:dyDescent="0.25">
      <c r="A179" s="2311" t="str">
        <f>A81</f>
        <v>Схема подключения внешних проводок (С5)</v>
      </c>
      <c r="B179" s="2312"/>
      <c r="C179" s="1722"/>
      <c r="D179" s="1693" t="s">
        <v>66</v>
      </c>
      <c r="E179" s="1693" t="s">
        <v>65</v>
      </c>
      <c r="F179" s="1693" t="s">
        <v>64</v>
      </c>
    </row>
    <row r="180" spans="1:6" x14ac:dyDescent="0.25">
      <c r="A180" s="132" t="s">
        <v>1753</v>
      </c>
      <c r="B180" s="905" t="s">
        <v>33</v>
      </c>
      <c r="C180" s="1722"/>
      <c r="D180" s="658" t="s">
        <v>1771</v>
      </c>
      <c r="E180" s="658" t="s">
        <v>1826</v>
      </c>
      <c r="F180" s="658" t="s">
        <v>1796</v>
      </c>
    </row>
    <row r="181" spans="1:6" x14ac:dyDescent="0.25">
      <c r="A181" s="132" t="s">
        <v>1754</v>
      </c>
      <c r="B181" s="905" t="s">
        <v>34</v>
      </c>
      <c r="C181" s="1722"/>
      <c r="D181" s="658" t="s">
        <v>1771</v>
      </c>
      <c r="E181" s="658" t="s">
        <v>1826</v>
      </c>
      <c r="F181" s="658" t="s">
        <v>1796</v>
      </c>
    </row>
    <row r="182" spans="1:6" ht="15.75" x14ac:dyDescent="0.25">
      <c r="A182" s="2311" t="str">
        <f>A84</f>
        <v>Чертеж установки технических средств (СА)</v>
      </c>
      <c r="B182" s="2312"/>
      <c r="C182" s="1722"/>
      <c r="D182" s="1693" t="s">
        <v>66</v>
      </c>
      <c r="E182" s="1693" t="s">
        <v>65</v>
      </c>
      <c r="F182" s="1693" t="s">
        <v>64</v>
      </c>
    </row>
    <row r="183" spans="1:6" x14ac:dyDescent="0.25">
      <c r="A183" s="132" t="s">
        <v>1755</v>
      </c>
      <c r="B183" s="905" t="s">
        <v>33</v>
      </c>
      <c r="C183" s="1722"/>
      <c r="D183" s="658" t="s">
        <v>1772</v>
      </c>
      <c r="E183" s="658" t="s">
        <v>1826</v>
      </c>
      <c r="F183" s="658" t="s">
        <v>1796</v>
      </c>
    </row>
    <row r="184" spans="1:6" x14ac:dyDescent="0.25">
      <c r="A184" s="132" t="s">
        <v>1756</v>
      </c>
      <c r="B184" s="905" t="s">
        <v>34</v>
      </c>
      <c r="C184" s="1722"/>
      <c r="D184" s="658" t="s">
        <v>1772</v>
      </c>
      <c r="E184" s="658" t="s">
        <v>1826</v>
      </c>
      <c r="F184" s="658" t="s">
        <v>1796</v>
      </c>
    </row>
    <row r="185" spans="1:6" ht="15.75" x14ac:dyDescent="0.25">
      <c r="A185" s="2311" t="str">
        <f>A88</f>
        <v xml:space="preserve">Ведомость эксплуатационных документов </v>
      </c>
      <c r="B185" s="2312"/>
      <c r="C185" s="1722"/>
      <c r="D185" s="1693" t="s">
        <v>66</v>
      </c>
      <c r="E185" s="1693" t="s">
        <v>65</v>
      </c>
      <c r="F185" s="1693" t="s">
        <v>64</v>
      </c>
    </row>
    <row r="186" spans="1:6" x14ac:dyDescent="0.25">
      <c r="A186" s="132" t="s">
        <v>1757</v>
      </c>
      <c r="B186" s="905" t="s">
        <v>33</v>
      </c>
      <c r="C186" s="1722"/>
      <c r="D186" s="658"/>
      <c r="E186" s="658"/>
      <c r="F186" s="658"/>
    </row>
    <row r="187" spans="1:6" x14ac:dyDescent="0.25">
      <c r="A187" s="132" t="s">
        <v>1758</v>
      </c>
      <c r="B187" s="905" t="s">
        <v>34</v>
      </c>
      <c r="C187" s="1722"/>
      <c r="D187" s="658"/>
      <c r="E187" s="658"/>
      <c r="F187" s="658"/>
    </row>
    <row r="188" spans="1:6" ht="15.75" x14ac:dyDescent="0.25">
      <c r="A188" s="2311" t="str">
        <f>A91</f>
        <v>Руководство администратора</v>
      </c>
      <c r="B188" s="2312"/>
      <c r="C188" s="1722"/>
      <c r="D188" s="1693" t="s">
        <v>66</v>
      </c>
      <c r="E188" s="1693" t="s">
        <v>65</v>
      </c>
      <c r="F188" s="1693" t="s">
        <v>64</v>
      </c>
    </row>
    <row r="189" spans="1:6" x14ac:dyDescent="0.25">
      <c r="A189" s="132" t="s">
        <v>1759</v>
      </c>
      <c r="B189" s="905" t="s">
        <v>33</v>
      </c>
      <c r="C189" s="1722"/>
      <c r="D189" s="658"/>
      <c r="E189" s="658" t="s">
        <v>1821</v>
      </c>
      <c r="F189" s="658" t="s">
        <v>1801</v>
      </c>
    </row>
    <row r="190" spans="1:6" x14ac:dyDescent="0.25">
      <c r="A190" s="132" t="s">
        <v>1760</v>
      </c>
      <c r="B190" s="905" t="s">
        <v>34</v>
      </c>
      <c r="C190" s="1722"/>
      <c r="D190" s="658"/>
      <c r="E190" s="658" t="s">
        <v>1821</v>
      </c>
      <c r="F190" s="658" t="s">
        <v>1807</v>
      </c>
    </row>
    <row r="191" spans="1:6" ht="15.75" x14ac:dyDescent="0.25">
      <c r="A191" s="2311" t="str">
        <f>A94</f>
        <v xml:space="preserve">Руководство пользователя </v>
      </c>
      <c r="B191" s="2312"/>
      <c r="C191" s="1722"/>
      <c r="D191" s="1693" t="s">
        <v>66</v>
      </c>
      <c r="E191" s="1693" t="s">
        <v>65</v>
      </c>
      <c r="F191" s="1693" t="s">
        <v>64</v>
      </c>
    </row>
    <row r="192" spans="1:6" x14ac:dyDescent="0.25">
      <c r="A192" s="132" t="s">
        <v>1761</v>
      </c>
      <c r="B192" s="905" t="s">
        <v>33</v>
      </c>
      <c r="C192" s="1722"/>
      <c r="D192" s="658"/>
      <c r="E192" s="658" t="s">
        <v>1822</v>
      </c>
      <c r="F192" s="658" t="s">
        <v>1801</v>
      </c>
    </row>
    <row r="193" spans="1:6" x14ac:dyDescent="0.25">
      <c r="A193" s="132" t="s">
        <v>1762</v>
      </c>
      <c r="B193" s="905" t="s">
        <v>34</v>
      </c>
      <c r="C193" s="1722"/>
      <c r="D193" s="658"/>
      <c r="E193" s="658" t="s">
        <v>1822</v>
      </c>
      <c r="F193" s="658" t="s">
        <v>1807</v>
      </c>
    </row>
    <row r="194" spans="1:6" ht="15.75" x14ac:dyDescent="0.25">
      <c r="A194" s="2311" t="str">
        <f>A97</f>
        <v>Руководство по мониторингу</v>
      </c>
      <c r="B194" s="2312"/>
      <c r="C194" s="1722"/>
      <c r="D194" s="1693" t="s">
        <v>66</v>
      </c>
      <c r="E194" s="1693" t="s">
        <v>65</v>
      </c>
      <c r="F194" s="1693" t="s">
        <v>64</v>
      </c>
    </row>
    <row r="195" spans="1:6" x14ac:dyDescent="0.25">
      <c r="A195" s="132" t="s">
        <v>1763</v>
      </c>
      <c r="B195" s="905" t="s">
        <v>33</v>
      </c>
      <c r="C195" s="1722"/>
      <c r="D195" s="658" t="s">
        <v>1794</v>
      </c>
      <c r="E195" s="658" t="s">
        <v>1821</v>
      </c>
      <c r="F195" s="658" t="s">
        <v>1800</v>
      </c>
    </row>
    <row r="196" spans="1:6" x14ac:dyDescent="0.25">
      <c r="A196" s="132" t="s">
        <v>1764</v>
      </c>
      <c r="B196" s="905" t="s">
        <v>34</v>
      </c>
      <c r="C196" s="1722"/>
      <c r="D196" s="658" t="s">
        <v>1808</v>
      </c>
      <c r="E196" s="658" t="s">
        <v>1821</v>
      </c>
      <c r="F196" s="658" t="s">
        <v>1803</v>
      </c>
    </row>
    <row r="197" spans="1:6" ht="15.75" x14ac:dyDescent="0.25">
      <c r="A197" s="2311" t="str">
        <f>A100</f>
        <v>План резервного копирования</v>
      </c>
      <c r="B197" s="2312"/>
      <c r="C197" s="1722"/>
      <c r="D197" s="1693" t="s">
        <v>66</v>
      </c>
      <c r="E197" s="1693" t="s">
        <v>65</v>
      </c>
      <c r="F197" s="1693" t="s">
        <v>64</v>
      </c>
    </row>
    <row r="198" spans="1:6" x14ac:dyDescent="0.25">
      <c r="A198" s="132" t="s">
        <v>1765</v>
      </c>
      <c r="B198" s="905" t="s">
        <v>33</v>
      </c>
      <c r="C198" s="1722"/>
      <c r="D198" s="658" t="s">
        <v>1794</v>
      </c>
      <c r="E198" s="658" t="s">
        <v>1821</v>
      </c>
      <c r="F198" s="658" t="s">
        <v>1800</v>
      </c>
    </row>
    <row r="199" spans="1:6" x14ac:dyDescent="0.25">
      <c r="A199" s="132" t="s">
        <v>1766</v>
      </c>
      <c r="B199" s="905" t="s">
        <v>34</v>
      </c>
      <c r="C199" s="1722"/>
      <c r="D199" s="658" t="s">
        <v>1808</v>
      </c>
      <c r="E199" s="658" t="s">
        <v>1821</v>
      </c>
      <c r="F199" s="658" t="s">
        <v>1803</v>
      </c>
    </row>
    <row r="200" spans="1:6" ht="15.75" x14ac:dyDescent="0.25">
      <c r="A200" s="2311" t="str">
        <f>A103</f>
        <v>План опытной эксплуатации</v>
      </c>
      <c r="B200" s="2312"/>
      <c r="C200" s="1722"/>
      <c r="D200" s="1693" t="s">
        <v>66</v>
      </c>
      <c r="E200" s="1693" t="s">
        <v>65</v>
      </c>
      <c r="F200" s="1693" t="s">
        <v>64</v>
      </c>
    </row>
    <row r="201" spans="1:6" x14ac:dyDescent="0.25">
      <c r="A201" s="132" t="s">
        <v>1767</v>
      </c>
      <c r="B201" s="905" t="s">
        <v>33</v>
      </c>
      <c r="C201" s="1722"/>
      <c r="D201" s="658"/>
      <c r="E201" s="658" t="s">
        <v>1821</v>
      </c>
      <c r="F201" s="658" t="s">
        <v>1802</v>
      </c>
    </row>
    <row r="202" spans="1:6" x14ac:dyDescent="0.25">
      <c r="A202" s="132" t="s">
        <v>1768</v>
      </c>
      <c r="B202" s="905" t="s">
        <v>34</v>
      </c>
      <c r="C202" s="1722"/>
      <c r="D202" s="658"/>
      <c r="E202" s="658" t="s">
        <v>1821</v>
      </c>
      <c r="F202" s="658" t="s">
        <v>1800</v>
      </c>
    </row>
  </sheetData>
  <autoFilter ref="A2:K105" xr:uid="{00000000-0001-0000-5F00-000000000000}"/>
  <mergeCells count="67">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8:A30"/>
    <mergeCell ref="D1:G1"/>
    <mergeCell ref="H1:K1"/>
    <mergeCell ref="C2:C3"/>
    <mergeCell ref="G2:G3"/>
    <mergeCell ref="K2:K3"/>
    <mergeCell ref="A8:A10"/>
    <mergeCell ref="A12:A14"/>
    <mergeCell ref="A16:A18"/>
    <mergeCell ref="A19:A21"/>
    <mergeCell ref="A22:A24"/>
    <mergeCell ref="A25:A27"/>
    <mergeCell ref="A5:A7"/>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100:A102"/>
    <mergeCell ref="A103:A105"/>
    <mergeCell ref="A81:A83"/>
    <mergeCell ref="A84:A86"/>
    <mergeCell ref="A88:A90"/>
    <mergeCell ref="A91:A93"/>
    <mergeCell ref="A94:A96"/>
    <mergeCell ref="A97:A99"/>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22" t="str">
        <f>'Служебный АСУТП'!R2</f>
        <v>R-Vision SOAR</v>
      </c>
      <c r="E1" s="1923"/>
      <c r="F1" s="1923"/>
      <c r="G1" s="1924"/>
      <c r="H1" s="1922" t="str">
        <f>'Служебный АСУТП'!R3</f>
        <v>Security Vision SOAR</v>
      </c>
      <c r="I1" s="1923"/>
      <c r="J1" s="1923"/>
      <c r="K1" s="1924"/>
      <c r="L1" s="1922" t="str">
        <f>'Служебный АСУТП'!R4</f>
        <v>UDV SOAR</v>
      </c>
      <c r="M1" s="1923"/>
      <c r="N1" s="1923"/>
      <c r="O1" s="1924"/>
    </row>
    <row r="2" spans="1:15" ht="15.75" x14ac:dyDescent="0.25">
      <c r="B2" s="41" t="s">
        <v>37</v>
      </c>
      <c r="C2" s="1932" t="s">
        <v>35</v>
      </c>
      <c r="D2" s="835" t="s">
        <v>1831</v>
      </c>
      <c r="E2" s="717" t="s">
        <v>1833</v>
      </c>
      <c r="F2" s="717" t="s">
        <v>1830</v>
      </c>
      <c r="G2" s="1925" t="s">
        <v>38</v>
      </c>
      <c r="H2" s="835" t="s">
        <v>1831</v>
      </c>
      <c r="I2" s="717" t="s">
        <v>1833</v>
      </c>
      <c r="J2" s="717" t="s">
        <v>1830</v>
      </c>
      <c r="K2" s="1925" t="s">
        <v>38</v>
      </c>
      <c r="L2" s="835" t="s">
        <v>1831</v>
      </c>
      <c r="M2" s="717" t="s">
        <v>1833</v>
      </c>
      <c r="N2" s="717" t="s">
        <v>1830</v>
      </c>
      <c r="O2" s="1925" t="s">
        <v>38</v>
      </c>
    </row>
    <row r="3" spans="1:15" ht="16.5" thickBot="1" x14ac:dyDescent="0.3">
      <c r="A3" s="12" t="s">
        <v>36</v>
      </c>
      <c r="B3" s="295">
        <f>ТрЗ_ОП!F5</f>
        <v>1</v>
      </c>
      <c r="C3" s="1933"/>
      <c r="D3" s="37">
        <f>INDEX(ТрЗ_ОП!$P$11:$P$102,MATCH(D2,ТрЗ_ОП!$O$11:$O$102,0))</f>
        <v>0</v>
      </c>
      <c r="E3" s="37">
        <f>INDEX(ТрЗ_ОП!$P$11:$P$102,MATCH(E2,ТрЗ_ОП!$O$11:$O$102,0))</f>
        <v>0</v>
      </c>
      <c r="F3" s="37">
        <f>INDEX(ТрЗ_ОП!$P$11:$P$102,MATCH(F2,ТрЗ_ОП!$O$11:$O$102,0))</f>
        <v>0</v>
      </c>
      <c r="G3" s="1925"/>
      <c r="H3" s="37">
        <f>INDEX(ТрЗ_ОП!$P$11:$P$102,MATCH(H2,ТрЗ_ОП!$O$11:$O$102,0))</f>
        <v>0</v>
      </c>
      <c r="I3" s="37">
        <f>INDEX(ТрЗ_ОП!$P$11:$P$102,MATCH(I2,ТрЗ_ОП!$O$11:$O$102,0))</f>
        <v>0</v>
      </c>
      <c r="J3" s="37">
        <f>INDEX(ТрЗ_ОП!$P$11:$P$102,MATCH(J2,ТрЗ_ОП!$O$11:$O$102,0))</f>
        <v>0</v>
      </c>
      <c r="K3" s="1925"/>
      <c r="L3" s="37">
        <f>INDEX(ТрЗ_ОП!$P$11:$P$102,MATCH(L2,ТрЗ_ОП!$O$11:$O$102,0))</f>
        <v>0</v>
      </c>
      <c r="M3" s="37">
        <f>INDEX(ТрЗ_ОП!$P$11:$P$102,MATCH(M2,ТрЗ_ОП!$O$11:$O$102,0))</f>
        <v>0</v>
      </c>
      <c r="N3" s="37">
        <f>INDEX(ТрЗ_ОП!$P$11:$P$102,MATCH(N2,ТрЗ_ОП!$O$11:$O$102,0))</f>
        <v>0</v>
      </c>
      <c r="O3" s="1925"/>
    </row>
    <row r="4" spans="1:15" ht="16.5" thickBot="1" x14ac:dyDescent="0.3">
      <c r="A4" s="326" t="s">
        <v>448</v>
      </c>
      <c r="B4" s="327"/>
      <c r="C4" s="327"/>
      <c r="D4" s="327"/>
      <c r="E4" s="327"/>
      <c r="F4" s="327"/>
      <c r="G4" s="327"/>
      <c r="H4" s="327"/>
      <c r="I4" s="327"/>
      <c r="J4" s="327"/>
      <c r="K4" s="327"/>
      <c r="L4" s="327"/>
      <c r="M4" s="327"/>
      <c r="N4" s="327"/>
      <c r="O4" s="327"/>
    </row>
    <row r="5" spans="1:15" x14ac:dyDescent="0.25">
      <c r="A5" s="1937" t="s">
        <v>0</v>
      </c>
      <c r="B5" s="1736" t="s">
        <v>32</v>
      </c>
      <c r="C5" s="1725"/>
      <c r="D5" s="1700">
        <v>1</v>
      </c>
      <c r="E5" s="1700">
        <f t="shared" ref="E5:F8" si="0">0.25*E$3</f>
        <v>0</v>
      </c>
      <c r="F5" s="1699">
        <f t="shared" si="0"/>
        <v>0</v>
      </c>
      <c r="G5" s="1701">
        <f xml:space="preserve"> SUM(D5:F5) + $C5</f>
        <v>1</v>
      </c>
      <c r="H5" s="1700">
        <v>1</v>
      </c>
      <c r="I5" s="1700">
        <f t="shared" ref="I5:J8" si="1">0.25*I$3</f>
        <v>0</v>
      </c>
      <c r="J5" s="1699">
        <f t="shared" si="1"/>
        <v>0</v>
      </c>
      <c r="K5" s="1701">
        <f t="shared" ref="K5:K10" si="2" xml:space="preserve"> SUM(H5:J5) + $C5</f>
        <v>1</v>
      </c>
      <c r="L5" s="1700">
        <v>1</v>
      </c>
      <c r="M5" s="1700">
        <f t="shared" ref="M5:N8" si="3">0.25*M$3</f>
        <v>0</v>
      </c>
      <c r="N5" s="1699">
        <f t="shared" si="3"/>
        <v>0</v>
      </c>
      <c r="O5" s="1701">
        <f t="shared" ref="O5:O10" si="4" xml:space="preserve"> SUM(L5:N5) + $C5</f>
        <v>1</v>
      </c>
    </row>
    <row r="6" spans="1:15" x14ac:dyDescent="0.25">
      <c r="A6" s="1940"/>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75"/>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40" t="s">
        <v>449</v>
      </c>
      <c r="B8" s="1697" t="s">
        <v>32</v>
      </c>
      <c r="C8" s="1698"/>
      <c r="D8" s="1700">
        <v>1</v>
      </c>
      <c r="E8" s="1700">
        <f t="shared" si="0"/>
        <v>0</v>
      </c>
      <c r="F8" s="1699">
        <f t="shared" si="0"/>
        <v>0</v>
      </c>
      <c r="G8" s="1704">
        <f xml:space="preserve"> SUM(D8:F8) + $C8</f>
        <v>1</v>
      </c>
      <c r="H8" s="1700">
        <v>1</v>
      </c>
      <c r="I8" s="1700">
        <f t="shared" si="1"/>
        <v>0</v>
      </c>
      <c r="J8" s="1699">
        <f t="shared" si="1"/>
        <v>0</v>
      </c>
      <c r="K8" s="1704">
        <f t="shared" si="2"/>
        <v>1</v>
      </c>
      <c r="L8" s="1700">
        <v>1</v>
      </c>
      <c r="M8" s="1700">
        <f t="shared" si="3"/>
        <v>0</v>
      </c>
      <c r="N8" s="1699">
        <f t="shared" si="3"/>
        <v>0</v>
      </c>
      <c r="O8" s="1704">
        <f t="shared" si="4"/>
        <v>1</v>
      </c>
    </row>
    <row r="9" spans="1:15" x14ac:dyDescent="0.25">
      <c r="A9" s="1940"/>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40"/>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40" t="s">
        <v>2</v>
      </c>
      <c r="B12" s="1697" t="s">
        <v>32</v>
      </c>
      <c r="C12" s="1698"/>
      <c r="D12" s="1700">
        <v>4</v>
      </c>
      <c r="E12" s="1699">
        <f>2*E$3</f>
        <v>0</v>
      </c>
      <c r="F12" s="1699">
        <f>0.5*F$3</f>
        <v>0</v>
      </c>
      <c r="G12" s="1701">
        <f t="shared" si="5"/>
        <v>4</v>
      </c>
      <c r="H12" s="1700">
        <v>4</v>
      </c>
      <c r="I12" s="1699">
        <f>2*I$3</f>
        <v>0</v>
      </c>
      <c r="J12" s="1699">
        <f>0.5*J$3</f>
        <v>0</v>
      </c>
      <c r="K12" s="1701">
        <f xml:space="preserve"> SUM(H12:J12) + $C12</f>
        <v>4</v>
      </c>
      <c r="L12" s="1700">
        <v>4</v>
      </c>
      <c r="M12" s="1699">
        <f>2*M$3</f>
        <v>0</v>
      </c>
      <c r="N12" s="1699">
        <f>0.5*N$3</f>
        <v>0</v>
      </c>
      <c r="O12" s="1701">
        <f xml:space="preserve"> SUM(L12:N12) + $C12</f>
        <v>4</v>
      </c>
    </row>
    <row r="13" spans="1:15" x14ac:dyDescent="0.25">
      <c r="A13" s="1940"/>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40"/>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36" t="s">
        <v>4</v>
      </c>
      <c r="B16" s="1705" t="s">
        <v>32</v>
      </c>
      <c r="C16" s="1698"/>
      <c r="D16" s="1706">
        <v>0.25</v>
      </c>
      <c r="E16" s="1707">
        <v>0</v>
      </c>
      <c r="F16" s="1708">
        <v>0</v>
      </c>
      <c r="G16" s="1701">
        <f t="shared" si="5"/>
        <v>0.25</v>
      </c>
      <c r="H16" s="1706">
        <v>0.25</v>
      </c>
      <c r="I16" s="1707">
        <v>0</v>
      </c>
      <c r="J16" s="1708">
        <v>0</v>
      </c>
      <c r="K16" s="1701">
        <f t="shared" ref="K16:K36" si="6" xml:space="preserve"> SUM(H16:J16) + $C16</f>
        <v>0.25</v>
      </c>
      <c r="L16" s="1706">
        <v>0.25</v>
      </c>
      <c r="M16" s="1707">
        <v>0</v>
      </c>
      <c r="N16" s="1708">
        <v>0</v>
      </c>
      <c r="O16" s="1701">
        <f t="shared" ref="O16:O36" si="7" xml:space="preserve"> SUM(L16:N16) + $C16</f>
        <v>0.25</v>
      </c>
    </row>
    <row r="17" spans="1:15" x14ac:dyDescent="0.25">
      <c r="A17" s="1972"/>
      <c r="B17" s="18" t="s">
        <v>33</v>
      </c>
      <c r="C17" s="22"/>
      <c r="D17" s="482" t="s">
        <v>1770</v>
      </c>
      <c r="E17" s="482" t="s">
        <v>1770</v>
      </c>
      <c r="F17" s="482" t="s">
        <v>1770</v>
      </c>
      <c r="G17" s="21">
        <f t="shared" si="5"/>
        <v>0</v>
      </c>
      <c r="H17" s="482" t="s">
        <v>1770</v>
      </c>
      <c r="I17" s="482" t="s">
        <v>1770</v>
      </c>
      <c r="J17" s="482" t="s">
        <v>1770</v>
      </c>
      <c r="K17" s="21">
        <f t="shared" si="6"/>
        <v>0</v>
      </c>
      <c r="L17" s="482" t="s">
        <v>1770</v>
      </c>
      <c r="M17" s="482" t="s">
        <v>1770</v>
      </c>
      <c r="N17" s="482" t="s">
        <v>1770</v>
      </c>
      <c r="O17" s="21">
        <f t="shared" si="7"/>
        <v>0</v>
      </c>
    </row>
    <row r="18" spans="1:15" x14ac:dyDescent="0.25">
      <c r="A18" s="1972"/>
      <c r="B18" s="18" t="s">
        <v>34</v>
      </c>
      <c r="C18" s="22"/>
      <c r="D18" s="482" t="s">
        <v>1770</v>
      </c>
      <c r="E18" s="482" t="s">
        <v>1770</v>
      </c>
      <c r="F18" s="482" t="s">
        <v>1770</v>
      </c>
      <c r="G18" s="21">
        <f t="shared" si="5"/>
        <v>0</v>
      </c>
      <c r="H18" s="482" t="s">
        <v>1770</v>
      </c>
      <c r="I18" s="482" t="s">
        <v>1770</v>
      </c>
      <c r="J18" s="482" t="s">
        <v>1770</v>
      </c>
      <c r="K18" s="21">
        <f t="shared" si="6"/>
        <v>0</v>
      </c>
      <c r="L18" s="482" t="s">
        <v>1770</v>
      </c>
      <c r="M18" s="482" t="s">
        <v>1770</v>
      </c>
      <c r="N18" s="482" t="s">
        <v>1770</v>
      </c>
      <c r="O18" s="21">
        <f t="shared" si="7"/>
        <v>0</v>
      </c>
    </row>
    <row r="19" spans="1:15" x14ac:dyDescent="0.25">
      <c r="A19" s="1972" t="s">
        <v>5</v>
      </c>
      <c r="B19" s="1702" t="s">
        <v>32</v>
      </c>
      <c r="C19" s="1703"/>
      <c r="D19" s="1709">
        <f>0.5*D$3</f>
        <v>0</v>
      </c>
      <c r="E19" s="1710">
        <v>0</v>
      </c>
      <c r="F19" s="1699">
        <f t="shared" ref="F19:F22" si="8">0.5*F$3</f>
        <v>0</v>
      </c>
      <c r="G19" s="1704">
        <f t="shared" si="5"/>
        <v>0</v>
      </c>
      <c r="H19" s="1709">
        <f>0.5*H$3</f>
        <v>0</v>
      </c>
      <c r="I19" s="1710">
        <v>0</v>
      </c>
      <c r="J19" s="1699">
        <f t="shared" ref="J19:J22" si="9">0.5*J$3</f>
        <v>0</v>
      </c>
      <c r="K19" s="1704">
        <f t="shared" si="6"/>
        <v>0</v>
      </c>
      <c r="L19" s="1709">
        <f>0.5*L$3</f>
        <v>0</v>
      </c>
      <c r="M19" s="1710">
        <v>0</v>
      </c>
      <c r="N19" s="1699">
        <f t="shared" ref="N19:N22" si="10">0.5*N$3</f>
        <v>0</v>
      </c>
      <c r="O19" s="1704">
        <f t="shared" si="7"/>
        <v>0</v>
      </c>
    </row>
    <row r="20" spans="1:15" x14ac:dyDescent="0.25">
      <c r="A20" s="1972"/>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72"/>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72" t="s">
        <v>6</v>
      </c>
      <c r="B22" s="1702" t="s">
        <v>32</v>
      </c>
      <c r="C22" s="1703"/>
      <c r="D22" s="1720">
        <v>8</v>
      </c>
      <c r="E22" s="1711">
        <f>0.5*E$3</f>
        <v>0</v>
      </c>
      <c r="F22" s="1711">
        <f t="shared" si="8"/>
        <v>0</v>
      </c>
      <c r="G22" s="1704">
        <f t="shared" si="5"/>
        <v>8</v>
      </c>
      <c r="H22" s="1720">
        <v>8</v>
      </c>
      <c r="I22" s="1711">
        <f>0.5*I$3</f>
        <v>0</v>
      </c>
      <c r="J22" s="1711">
        <f t="shared" si="9"/>
        <v>0</v>
      </c>
      <c r="K22" s="1704">
        <f t="shared" si="6"/>
        <v>8</v>
      </c>
      <c r="L22" s="1720">
        <v>8</v>
      </c>
      <c r="M22" s="1711">
        <f>0.5*M$3</f>
        <v>0</v>
      </c>
      <c r="N22" s="1711">
        <f t="shared" si="10"/>
        <v>0</v>
      </c>
      <c r="O22" s="1704">
        <f t="shared" si="7"/>
        <v>8</v>
      </c>
    </row>
    <row r="23" spans="1:15" x14ac:dyDescent="0.25">
      <c r="A23" s="1972"/>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72"/>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72" t="s">
        <v>7</v>
      </c>
      <c r="B25" s="1702" t="s">
        <v>32</v>
      </c>
      <c r="C25" s="1703"/>
      <c r="D25" s="1709">
        <v>2</v>
      </c>
      <c r="E25" s="1710">
        <v>0</v>
      </c>
      <c r="F25" s="1711">
        <v>0</v>
      </c>
      <c r="G25" s="1704">
        <f t="shared" si="5"/>
        <v>2</v>
      </c>
      <c r="H25" s="1709">
        <v>2</v>
      </c>
      <c r="I25" s="1710">
        <v>0</v>
      </c>
      <c r="J25" s="1711">
        <v>0</v>
      </c>
      <c r="K25" s="1704">
        <f t="shared" si="6"/>
        <v>2</v>
      </c>
      <c r="L25" s="1709">
        <v>2</v>
      </c>
      <c r="M25" s="1710">
        <v>0</v>
      </c>
      <c r="N25" s="1711">
        <v>0</v>
      </c>
      <c r="O25" s="1704">
        <f t="shared" si="7"/>
        <v>2</v>
      </c>
    </row>
    <row r="26" spans="1:15" x14ac:dyDescent="0.25">
      <c r="A26" s="1972"/>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72"/>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72" t="s">
        <v>8</v>
      </c>
      <c r="B28" s="1702" t="s">
        <v>32</v>
      </c>
      <c r="C28" s="1703"/>
      <c r="D28" s="1709">
        <v>2</v>
      </c>
      <c r="E28" s="1710">
        <v>0</v>
      </c>
      <c r="F28" s="1712">
        <v>0</v>
      </c>
      <c r="G28" s="1704">
        <f t="shared" si="5"/>
        <v>2</v>
      </c>
      <c r="H28" s="1709">
        <v>2</v>
      </c>
      <c r="I28" s="1710">
        <v>0</v>
      </c>
      <c r="J28" s="1712">
        <v>0</v>
      </c>
      <c r="K28" s="1704">
        <f t="shared" si="6"/>
        <v>2</v>
      </c>
      <c r="L28" s="1709">
        <v>2</v>
      </c>
      <c r="M28" s="1710">
        <v>0</v>
      </c>
      <c r="N28" s="1712">
        <v>0</v>
      </c>
      <c r="O28" s="1704">
        <f t="shared" si="7"/>
        <v>2</v>
      </c>
    </row>
    <row r="29" spans="1:15" x14ac:dyDescent="0.25">
      <c r="A29" s="1972"/>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72"/>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72" t="s">
        <v>9</v>
      </c>
      <c r="B31" s="1702" t="s">
        <v>32</v>
      </c>
      <c r="C31" s="1703"/>
      <c r="D31" s="1709">
        <f>2+(0.5*D$3)</f>
        <v>2</v>
      </c>
      <c r="E31" s="1710">
        <v>0</v>
      </c>
      <c r="F31" s="1709">
        <f>0.5*F$3</f>
        <v>0</v>
      </c>
      <c r="G31" s="1704">
        <f t="shared" si="5"/>
        <v>2</v>
      </c>
      <c r="H31" s="1709">
        <f>2+(0.5*H$3)</f>
        <v>2</v>
      </c>
      <c r="I31" s="1710">
        <v>0</v>
      </c>
      <c r="J31" s="1709">
        <f>0.5*J$3</f>
        <v>0</v>
      </c>
      <c r="K31" s="1704">
        <f t="shared" si="6"/>
        <v>2</v>
      </c>
      <c r="L31" s="1709">
        <f>2+(0.5*L$3)</f>
        <v>2</v>
      </c>
      <c r="M31" s="1710">
        <v>0</v>
      </c>
      <c r="N31" s="1709">
        <f>0.5*N$3</f>
        <v>0</v>
      </c>
      <c r="O31" s="1704">
        <f t="shared" si="7"/>
        <v>2</v>
      </c>
    </row>
    <row r="32" spans="1:15" x14ac:dyDescent="0.25">
      <c r="A32" s="1972"/>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72"/>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72" t="s">
        <v>10</v>
      </c>
      <c r="B34" s="1702" t="s">
        <v>32</v>
      </c>
      <c r="C34" s="1703"/>
      <c r="D34" s="1709">
        <v>1</v>
      </c>
      <c r="E34" s="1710">
        <v>0</v>
      </c>
      <c r="F34" s="1709">
        <f>0.5*F$3</f>
        <v>0</v>
      </c>
      <c r="G34" s="1704">
        <f t="shared" si="5"/>
        <v>1</v>
      </c>
      <c r="H34" s="1709">
        <v>1</v>
      </c>
      <c r="I34" s="1710">
        <v>0</v>
      </c>
      <c r="J34" s="1709">
        <f>0.5*J$3</f>
        <v>0</v>
      </c>
      <c r="K34" s="1704">
        <f t="shared" si="6"/>
        <v>1</v>
      </c>
      <c r="L34" s="1709">
        <v>1</v>
      </c>
      <c r="M34" s="1710">
        <v>0</v>
      </c>
      <c r="N34" s="1709">
        <f>0.5*N$3</f>
        <v>0</v>
      </c>
      <c r="O34" s="1704">
        <f t="shared" si="7"/>
        <v>1</v>
      </c>
    </row>
    <row r="35" spans="1:15" x14ac:dyDescent="0.25">
      <c r="A35" s="1972"/>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39"/>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40" t="s">
        <v>12</v>
      </c>
      <c r="B38" s="1697" t="s">
        <v>32</v>
      </c>
      <c r="C38" s="1698"/>
      <c r="D38" s="1700">
        <f>D$22+D$25+D$28</f>
        <v>12</v>
      </c>
      <c r="E38" s="1699">
        <f>E$22*2</f>
        <v>0</v>
      </c>
      <c r="F38" s="1711">
        <f>0.5*F$3</f>
        <v>0</v>
      </c>
      <c r="G38" s="1701">
        <f t="shared" si="5"/>
        <v>12</v>
      </c>
      <c r="H38" s="1700">
        <f>H$22+H$25+H$28</f>
        <v>12</v>
      </c>
      <c r="I38" s="1699">
        <f>I$22*2</f>
        <v>0</v>
      </c>
      <c r="J38" s="1711">
        <f>0.5*J$3</f>
        <v>0</v>
      </c>
      <c r="K38" s="1701">
        <f xml:space="preserve"> SUM(H38:J38) + $C38</f>
        <v>12</v>
      </c>
      <c r="L38" s="1700">
        <f>L$22+L$25+L$28</f>
        <v>12</v>
      </c>
      <c r="M38" s="1699">
        <f>M$22*2</f>
        <v>0</v>
      </c>
      <c r="N38" s="1711">
        <f>0.5*N$3</f>
        <v>0</v>
      </c>
      <c r="O38" s="1701">
        <f xml:space="preserve"> SUM(L38:N38) + $C38</f>
        <v>12</v>
      </c>
    </row>
    <row r="39" spans="1:15" x14ac:dyDescent="0.25">
      <c r="A39" s="1940"/>
      <c r="B39" s="19" t="s">
        <v>33</v>
      </c>
      <c r="C39" s="22"/>
      <c r="D39" s="1724">
        <v>8</v>
      </c>
      <c r="E39" s="814">
        <v>0</v>
      </c>
      <c r="F39" s="630">
        <f>IF(F$3=1,16,0)</f>
        <v>0</v>
      </c>
      <c r="G39" s="21">
        <f t="shared" si="5"/>
        <v>8</v>
      </c>
      <c r="H39" s="1724">
        <v>8</v>
      </c>
      <c r="I39" s="814">
        <v>0</v>
      </c>
      <c r="J39" s="630">
        <f>IF(J$3=1,16,0)</f>
        <v>0</v>
      </c>
      <c r="K39" s="21">
        <f xml:space="preserve"> SUM(H39:J39) + $C39</f>
        <v>8</v>
      </c>
      <c r="L39" s="1724">
        <v>8</v>
      </c>
      <c r="M39" s="814">
        <v>0</v>
      </c>
      <c r="N39" s="630">
        <f>IF(N$3=1,16,0)</f>
        <v>0</v>
      </c>
      <c r="O39" s="21">
        <f xml:space="preserve"> SUM(L39:N39) + $C39</f>
        <v>8</v>
      </c>
    </row>
    <row r="40" spans="1:15" ht="15.75" thickBot="1" x14ac:dyDescent="0.3">
      <c r="A40" s="1940"/>
      <c r="B40" s="13" t="s">
        <v>34</v>
      </c>
      <c r="C40" s="34"/>
      <c r="D40" s="1724">
        <v>12</v>
      </c>
      <c r="E40" s="814">
        <v>0</v>
      </c>
      <c r="F40" s="630">
        <f>IF(F$3=1,24,0)</f>
        <v>0</v>
      </c>
      <c r="G40" s="77">
        <f t="shared" si="5"/>
        <v>12</v>
      </c>
      <c r="H40" s="1724">
        <v>12</v>
      </c>
      <c r="I40" s="814">
        <v>0</v>
      </c>
      <c r="J40" s="630">
        <f>IF(J$3=1,24,0)</f>
        <v>0</v>
      </c>
      <c r="K40" s="77">
        <f xml:space="preserve"> SUM(H40:J40) + $C40</f>
        <v>12</v>
      </c>
      <c r="L40" s="1724">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40" t="s">
        <v>14</v>
      </c>
      <c r="B42" s="1697" t="s">
        <v>32</v>
      </c>
      <c r="C42" s="1725"/>
      <c r="D42" s="1709">
        <f>0.5*D$3</f>
        <v>0</v>
      </c>
      <c r="E42" s="1710">
        <v>0</v>
      </c>
      <c r="F42" s="1699">
        <f>0.5*F$3</f>
        <v>0</v>
      </c>
      <c r="G42" s="1701">
        <f t="shared" si="5"/>
        <v>0</v>
      </c>
      <c r="H42" s="1709">
        <f>0.5*H$3</f>
        <v>0</v>
      </c>
      <c r="I42" s="1710">
        <v>0</v>
      </c>
      <c r="J42" s="1699">
        <f>0.5*J$3</f>
        <v>0</v>
      </c>
      <c r="K42" s="1701">
        <f t="shared" ref="K42:K86" si="11" xml:space="preserve"> SUM(H42:J42) + $C42</f>
        <v>0</v>
      </c>
      <c r="L42" s="1709">
        <f>0.5*L$3</f>
        <v>0</v>
      </c>
      <c r="M42" s="1710">
        <v>0</v>
      </c>
      <c r="N42" s="1699">
        <f>0.5*N$3</f>
        <v>0</v>
      </c>
      <c r="O42" s="1701">
        <f t="shared" ref="O42:O86" si="12" xml:space="preserve"> SUM(L42:N42) + $C42</f>
        <v>0</v>
      </c>
    </row>
    <row r="43" spans="1:15" x14ac:dyDescent="0.25">
      <c r="A43" s="1940"/>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40"/>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71" t="s">
        <v>15</v>
      </c>
      <c r="B45" s="1702" t="s">
        <v>32</v>
      </c>
      <c r="C45" s="1703"/>
      <c r="D45" s="1709">
        <v>12</v>
      </c>
      <c r="E45" s="1699">
        <f>E$3*2</f>
        <v>0</v>
      </c>
      <c r="F45" s="1709">
        <f>1*F$3</f>
        <v>0</v>
      </c>
      <c r="G45" s="1704">
        <f t="shared" si="5"/>
        <v>12</v>
      </c>
      <c r="H45" s="1709">
        <v>12</v>
      </c>
      <c r="I45" s="1699">
        <f>I$3*2</f>
        <v>0</v>
      </c>
      <c r="J45" s="1709">
        <f>1*J$3</f>
        <v>0</v>
      </c>
      <c r="K45" s="1704">
        <f t="shared" si="11"/>
        <v>12</v>
      </c>
      <c r="L45" s="1709">
        <v>12</v>
      </c>
      <c r="M45" s="1699">
        <f>M$3*2</f>
        <v>0</v>
      </c>
      <c r="N45" s="1709">
        <f>1*N$3</f>
        <v>0</v>
      </c>
      <c r="O45" s="1704">
        <f t="shared" si="12"/>
        <v>12</v>
      </c>
    </row>
    <row r="46" spans="1:15" x14ac:dyDescent="0.25">
      <c r="A46" s="1971"/>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71"/>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71" t="s">
        <v>16</v>
      </c>
      <c r="B48" s="1702" t="s">
        <v>32</v>
      </c>
      <c r="C48" s="1703"/>
      <c r="D48" s="1709">
        <f>1*D$3</f>
        <v>0</v>
      </c>
      <c r="E48" s="1710">
        <v>0</v>
      </c>
      <c r="F48" s="1709">
        <v>0</v>
      </c>
      <c r="G48" s="1704">
        <f t="shared" si="5"/>
        <v>0</v>
      </c>
      <c r="H48" s="1709">
        <f>1*H$3</f>
        <v>0</v>
      </c>
      <c r="I48" s="1710">
        <v>0</v>
      </c>
      <c r="J48" s="1709">
        <v>0</v>
      </c>
      <c r="K48" s="1704">
        <f t="shared" si="11"/>
        <v>0</v>
      </c>
      <c r="L48" s="1709">
        <f>1*L$3</f>
        <v>0</v>
      </c>
      <c r="M48" s="1710">
        <v>0</v>
      </c>
      <c r="N48" s="1709">
        <v>0</v>
      </c>
      <c r="O48" s="1704">
        <f t="shared" si="12"/>
        <v>0</v>
      </c>
    </row>
    <row r="49" spans="1:15" x14ac:dyDescent="0.25">
      <c r="A49" s="1971"/>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71"/>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71" t="s">
        <v>17</v>
      </c>
      <c r="B51" s="1702" t="s">
        <v>32</v>
      </c>
      <c r="C51" s="1703"/>
      <c r="D51" s="1709">
        <f>1*D$3</f>
        <v>0</v>
      </c>
      <c r="E51" s="1710">
        <v>0</v>
      </c>
      <c r="F51" s="1709">
        <v>0</v>
      </c>
      <c r="G51" s="1704">
        <f t="shared" si="5"/>
        <v>0</v>
      </c>
      <c r="H51" s="1709">
        <f>1*H$3</f>
        <v>0</v>
      </c>
      <c r="I51" s="1710">
        <v>0</v>
      </c>
      <c r="J51" s="1709">
        <v>0</v>
      </c>
      <c r="K51" s="1704">
        <f t="shared" si="11"/>
        <v>0</v>
      </c>
      <c r="L51" s="1709">
        <f>1*L$3</f>
        <v>0</v>
      </c>
      <c r="M51" s="1710">
        <v>0</v>
      </c>
      <c r="N51" s="1709">
        <v>0</v>
      </c>
      <c r="O51" s="1704">
        <f t="shared" si="12"/>
        <v>0</v>
      </c>
    </row>
    <row r="52" spans="1:15" x14ac:dyDescent="0.25">
      <c r="A52" s="1971"/>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71"/>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71" t="s">
        <v>18</v>
      </c>
      <c r="B54" s="1702" t="s">
        <v>32</v>
      </c>
      <c r="C54" s="1703"/>
      <c r="D54" s="1709">
        <f>1*D$3</f>
        <v>0</v>
      </c>
      <c r="E54" s="1710">
        <v>0</v>
      </c>
      <c r="F54" s="1710">
        <v>0</v>
      </c>
      <c r="G54" s="1704">
        <f t="shared" si="5"/>
        <v>0</v>
      </c>
      <c r="H54" s="1709">
        <f>1*H$3</f>
        <v>0</v>
      </c>
      <c r="I54" s="1710">
        <v>0</v>
      </c>
      <c r="J54" s="1710">
        <v>0</v>
      </c>
      <c r="K54" s="1704">
        <f t="shared" si="11"/>
        <v>0</v>
      </c>
      <c r="L54" s="1709">
        <f>1*L$3</f>
        <v>0</v>
      </c>
      <c r="M54" s="1710">
        <v>0</v>
      </c>
      <c r="N54" s="1710">
        <v>0</v>
      </c>
      <c r="O54" s="1704">
        <f t="shared" si="12"/>
        <v>0</v>
      </c>
    </row>
    <row r="55" spans="1:15" x14ac:dyDescent="0.25">
      <c r="A55" s="1971"/>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71"/>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71" t="s">
        <v>19</v>
      </c>
      <c r="B57" s="1702" t="s">
        <v>32</v>
      </c>
      <c r="C57" s="1703"/>
      <c r="D57" s="1709">
        <v>2</v>
      </c>
      <c r="E57" s="1710">
        <v>0</v>
      </c>
      <c r="F57" s="1710">
        <v>0</v>
      </c>
      <c r="G57" s="1704">
        <f t="shared" si="5"/>
        <v>2</v>
      </c>
      <c r="H57" s="1709">
        <v>2</v>
      </c>
      <c r="I57" s="1710">
        <v>0</v>
      </c>
      <c r="J57" s="1710">
        <v>0</v>
      </c>
      <c r="K57" s="1704">
        <f t="shared" si="11"/>
        <v>2</v>
      </c>
      <c r="L57" s="1709">
        <v>2</v>
      </c>
      <c r="M57" s="1710">
        <v>0</v>
      </c>
      <c r="N57" s="1710">
        <v>0</v>
      </c>
      <c r="O57" s="1704">
        <f t="shared" si="12"/>
        <v>2</v>
      </c>
    </row>
    <row r="58" spans="1:15" x14ac:dyDescent="0.25">
      <c r="A58" s="1971"/>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71"/>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71" t="s">
        <v>20</v>
      </c>
      <c r="B60" s="1702" t="s">
        <v>32</v>
      </c>
      <c r="C60" s="1703"/>
      <c r="D60" s="1709">
        <v>4</v>
      </c>
      <c r="E60" s="1711">
        <f>2*E$3</f>
        <v>0</v>
      </c>
      <c r="F60" s="1699">
        <f>0.5*F$3</f>
        <v>0</v>
      </c>
      <c r="G60" s="1704">
        <f t="shared" si="5"/>
        <v>4</v>
      </c>
      <c r="H60" s="1709">
        <v>4</v>
      </c>
      <c r="I60" s="1711">
        <f>2*I$3</f>
        <v>0</v>
      </c>
      <c r="J60" s="1699">
        <f>0.5*J$3</f>
        <v>0</v>
      </c>
      <c r="K60" s="1704">
        <f t="shared" si="11"/>
        <v>4</v>
      </c>
      <c r="L60" s="1709">
        <v>4</v>
      </c>
      <c r="M60" s="1711">
        <f>2*M$3</f>
        <v>0</v>
      </c>
      <c r="N60" s="1699">
        <f>0.5*N$3</f>
        <v>0</v>
      </c>
      <c r="O60" s="1704">
        <f t="shared" si="12"/>
        <v>4</v>
      </c>
    </row>
    <row r="61" spans="1:15" x14ac:dyDescent="0.25">
      <c r="A61" s="1971"/>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71"/>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71" t="s">
        <v>451</v>
      </c>
      <c r="B63" s="1702" t="s">
        <v>32</v>
      </c>
      <c r="C63" s="1703"/>
      <c r="D63" s="1713">
        <v>0.25</v>
      </c>
      <c r="E63" s="1711">
        <v>0</v>
      </c>
      <c r="F63" s="1712">
        <v>0</v>
      </c>
      <c r="G63" s="1704">
        <f t="shared" si="5"/>
        <v>0.25</v>
      </c>
      <c r="H63" s="1713">
        <v>0.25</v>
      </c>
      <c r="I63" s="1711">
        <v>0</v>
      </c>
      <c r="J63" s="1712">
        <v>0</v>
      </c>
      <c r="K63" s="1704">
        <f t="shared" si="11"/>
        <v>0.25</v>
      </c>
      <c r="L63" s="1713">
        <v>0.25</v>
      </c>
      <c r="M63" s="1711">
        <v>0</v>
      </c>
      <c r="N63" s="1712">
        <v>0</v>
      </c>
      <c r="O63" s="1704">
        <f t="shared" si="12"/>
        <v>0.25</v>
      </c>
    </row>
    <row r="64" spans="1:15" x14ac:dyDescent="0.25">
      <c r="A64" s="1971"/>
      <c r="B64" s="19" t="s">
        <v>33</v>
      </c>
      <c r="C64" s="817"/>
      <c r="D64" s="482" t="s">
        <v>1770</v>
      </c>
      <c r="E64" s="482" t="s">
        <v>1770</v>
      </c>
      <c r="F64" s="482" t="s">
        <v>1770</v>
      </c>
      <c r="G64" s="21">
        <f t="shared" si="5"/>
        <v>0</v>
      </c>
      <c r="H64" s="482" t="s">
        <v>1770</v>
      </c>
      <c r="I64" s="482" t="s">
        <v>1770</v>
      </c>
      <c r="J64" s="482" t="s">
        <v>1770</v>
      </c>
      <c r="K64" s="21">
        <f t="shared" si="11"/>
        <v>0</v>
      </c>
      <c r="L64" s="482" t="s">
        <v>1770</v>
      </c>
      <c r="M64" s="482" t="s">
        <v>1770</v>
      </c>
      <c r="N64" s="482" t="s">
        <v>1770</v>
      </c>
      <c r="O64" s="21">
        <f t="shared" si="12"/>
        <v>0</v>
      </c>
    </row>
    <row r="65" spans="1:15" x14ac:dyDescent="0.25">
      <c r="A65" s="1971"/>
      <c r="B65" s="19" t="s">
        <v>34</v>
      </c>
      <c r="C65" s="817"/>
      <c r="D65" s="482" t="s">
        <v>1770</v>
      </c>
      <c r="E65" s="482" t="s">
        <v>1770</v>
      </c>
      <c r="F65" s="482" t="s">
        <v>1770</v>
      </c>
      <c r="G65" s="21">
        <f t="shared" si="5"/>
        <v>0</v>
      </c>
      <c r="H65" s="482" t="s">
        <v>1770</v>
      </c>
      <c r="I65" s="482" t="s">
        <v>1770</v>
      </c>
      <c r="J65" s="482" t="s">
        <v>1770</v>
      </c>
      <c r="K65" s="21">
        <f t="shared" si="11"/>
        <v>0</v>
      </c>
      <c r="L65" s="482" t="s">
        <v>1770</v>
      </c>
      <c r="M65" s="482" t="s">
        <v>1770</v>
      </c>
      <c r="N65" s="482" t="s">
        <v>1770</v>
      </c>
      <c r="O65" s="21">
        <f t="shared" si="12"/>
        <v>0</v>
      </c>
    </row>
    <row r="66" spans="1:15" x14ac:dyDescent="0.25">
      <c r="A66" s="1971" t="s">
        <v>452</v>
      </c>
      <c r="B66" s="1702" t="s">
        <v>32</v>
      </c>
      <c r="C66" s="1703"/>
      <c r="D66" s="1713">
        <v>0.25</v>
      </c>
      <c r="E66" s="1711">
        <v>0</v>
      </c>
      <c r="F66" s="1712">
        <v>0</v>
      </c>
      <c r="G66" s="1704">
        <f t="shared" si="5"/>
        <v>0.25</v>
      </c>
      <c r="H66" s="1713">
        <v>0.25</v>
      </c>
      <c r="I66" s="1711">
        <v>0</v>
      </c>
      <c r="J66" s="1712">
        <v>0</v>
      </c>
      <c r="K66" s="1704">
        <f t="shared" si="11"/>
        <v>0.25</v>
      </c>
      <c r="L66" s="1713">
        <v>0.25</v>
      </c>
      <c r="M66" s="1711">
        <v>0</v>
      </c>
      <c r="N66" s="1712">
        <v>0</v>
      </c>
      <c r="O66" s="1704">
        <f t="shared" si="12"/>
        <v>0.25</v>
      </c>
    </row>
    <row r="67" spans="1:15" x14ac:dyDescent="0.25">
      <c r="A67" s="1971"/>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71"/>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74" t="s">
        <v>533</v>
      </c>
      <c r="B69" s="1702" t="s">
        <v>32</v>
      </c>
      <c r="C69" s="1703"/>
      <c r="D69" s="1709">
        <f>2+(1.5*D$3)</f>
        <v>2</v>
      </c>
      <c r="E69" s="1699">
        <f>E$3*2</f>
        <v>0</v>
      </c>
      <c r="F69" s="1699">
        <f t="shared" ref="F69:F72" si="13">0.5*F$3</f>
        <v>0</v>
      </c>
      <c r="G69" s="1704">
        <f t="shared" si="5"/>
        <v>2</v>
      </c>
      <c r="H69" s="1709">
        <f>2+(1.5*H$3)</f>
        <v>2</v>
      </c>
      <c r="I69" s="1699">
        <f>I$3*2</f>
        <v>0</v>
      </c>
      <c r="J69" s="1699">
        <f t="shared" ref="J69:J72" si="14">0.5*J$3</f>
        <v>0</v>
      </c>
      <c r="K69" s="1704">
        <f t="shared" si="11"/>
        <v>2</v>
      </c>
      <c r="L69" s="1709">
        <f>2+(1.5*L$3)</f>
        <v>2</v>
      </c>
      <c r="M69" s="1699">
        <f>M$3*2</f>
        <v>0</v>
      </c>
      <c r="N69" s="1699">
        <f t="shared" ref="N69:N72" si="15">0.5*N$3</f>
        <v>0</v>
      </c>
      <c r="O69" s="1704">
        <f t="shared" si="12"/>
        <v>2</v>
      </c>
    </row>
    <row r="70" spans="1:15" x14ac:dyDescent="0.25">
      <c r="A70" s="1974"/>
      <c r="B70" s="19" t="s">
        <v>33</v>
      </c>
      <c r="C70" s="817"/>
      <c r="D70" s="482" t="s">
        <v>1770</v>
      </c>
      <c r="E70" s="482" t="s">
        <v>1770</v>
      </c>
      <c r="F70" s="482" t="s">
        <v>1770</v>
      </c>
      <c r="G70" s="21">
        <f t="shared" si="5"/>
        <v>0</v>
      </c>
      <c r="H70" s="482" t="s">
        <v>1770</v>
      </c>
      <c r="I70" s="482" t="s">
        <v>1770</v>
      </c>
      <c r="J70" s="482" t="s">
        <v>1770</v>
      </c>
      <c r="K70" s="21">
        <f t="shared" si="11"/>
        <v>0</v>
      </c>
      <c r="L70" s="482" t="s">
        <v>1770</v>
      </c>
      <c r="M70" s="482" t="s">
        <v>1770</v>
      </c>
      <c r="N70" s="482" t="s">
        <v>1770</v>
      </c>
      <c r="O70" s="21">
        <f t="shared" si="12"/>
        <v>0</v>
      </c>
    </row>
    <row r="71" spans="1:15" x14ac:dyDescent="0.25">
      <c r="A71" s="1974"/>
      <c r="B71" s="19" t="s">
        <v>34</v>
      </c>
      <c r="C71" s="817"/>
      <c r="D71" s="482" t="s">
        <v>1770</v>
      </c>
      <c r="E71" s="482" t="s">
        <v>1770</v>
      </c>
      <c r="F71" s="482" t="s">
        <v>1770</v>
      </c>
      <c r="G71" s="21">
        <f t="shared" si="5"/>
        <v>0</v>
      </c>
      <c r="H71" s="482" t="s">
        <v>1770</v>
      </c>
      <c r="I71" s="482" t="s">
        <v>1770</v>
      </c>
      <c r="J71" s="482" t="s">
        <v>1770</v>
      </c>
      <c r="K71" s="21">
        <f t="shared" si="11"/>
        <v>0</v>
      </c>
      <c r="L71" s="482" t="s">
        <v>1770</v>
      </c>
      <c r="M71" s="482" t="s">
        <v>1770</v>
      </c>
      <c r="N71" s="482" t="s">
        <v>1770</v>
      </c>
      <c r="O71" s="21">
        <f t="shared" si="12"/>
        <v>0</v>
      </c>
    </row>
    <row r="72" spans="1:15" x14ac:dyDescent="0.25">
      <c r="A72" s="1971" t="s">
        <v>534</v>
      </c>
      <c r="B72" s="1702" t="s">
        <v>32</v>
      </c>
      <c r="C72" s="1703"/>
      <c r="D72" s="1709">
        <f>2+(1.5*D$3)</f>
        <v>2</v>
      </c>
      <c r="E72" s="1699">
        <f>E$3*2</f>
        <v>0</v>
      </c>
      <c r="F72" s="1699">
        <f t="shared" si="13"/>
        <v>0</v>
      </c>
      <c r="G72" s="1704">
        <f t="shared" si="5"/>
        <v>2</v>
      </c>
      <c r="H72" s="1709">
        <f>2+(1.5*H$3)</f>
        <v>2</v>
      </c>
      <c r="I72" s="1699">
        <f>I$3*2</f>
        <v>0</v>
      </c>
      <c r="J72" s="1699">
        <f t="shared" si="14"/>
        <v>0</v>
      </c>
      <c r="K72" s="1704">
        <f t="shared" si="11"/>
        <v>2</v>
      </c>
      <c r="L72" s="1709">
        <f>2+(1.5*L$3)</f>
        <v>2</v>
      </c>
      <c r="M72" s="1699">
        <f>M$3*2</f>
        <v>0</v>
      </c>
      <c r="N72" s="1699">
        <f t="shared" si="15"/>
        <v>0</v>
      </c>
      <c r="O72" s="1704">
        <f t="shared" si="12"/>
        <v>2</v>
      </c>
    </row>
    <row r="73" spans="1:15" x14ac:dyDescent="0.25">
      <c r="A73" s="1971"/>
      <c r="B73" s="19" t="s">
        <v>33</v>
      </c>
      <c r="C73" s="817"/>
      <c r="D73" s="482" t="s">
        <v>1770</v>
      </c>
      <c r="E73" s="482" t="s">
        <v>1770</v>
      </c>
      <c r="F73" s="482" t="s">
        <v>1770</v>
      </c>
      <c r="G73" s="21">
        <f t="shared" si="5"/>
        <v>0</v>
      </c>
      <c r="H73" s="482" t="s">
        <v>1770</v>
      </c>
      <c r="I73" s="482" t="s">
        <v>1770</v>
      </c>
      <c r="J73" s="482" t="s">
        <v>1770</v>
      </c>
      <c r="K73" s="21">
        <f t="shared" si="11"/>
        <v>0</v>
      </c>
      <c r="L73" s="482" t="s">
        <v>1770</v>
      </c>
      <c r="M73" s="482" t="s">
        <v>1770</v>
      </c>
      <c r="N73" s="482" t="s">
        <v>1770</v>
      </c>
      <c r="O73" s="21">
        <f t="shared" si="12"/>
        <v>0</v>
      </c>
    </row>
    <row r="74" spans="1:15" x14ac:dyDescent="0.25">
      <c r="A74" s="1971"/>
      <c r="B74" s="19" t="s">
        <v>34</v>
      </c>
      <c r="C74" s="817"/>
      <c r="D74" s="482" t="s">
        <v>1770</v>
      </c>
      <c r="E74" s="482" t="s">
        <v>1770</v>
      </c>
      <c r="F74" s="482" t="s">
        <v>1770</v>
      </c>
      <c r="G74" s="21">
        <f t="shared" si="5"/>
        <v>0</v>
      </c>
      <c r="H74" s="482" t="s">
        <v>1770</v>
      </c>
      <c r="I74" s="482" t="s">
        <v>1770</v>
      </c>
      <c r="J74" s="482" t="s">
        <v>1770</v>
      </c>
      <c r="K74" s="21">
        <f t="shared" si="11"/>
        <v>0</v>
      </c>
      <c r="L74" s="482" t="s">
        <v>1770</v>
      </c>
      <c r="M74" s="482" t="s">
        <v>1770</v>
      </c>
      <c r="N74" s="482" t="s">
        <v>1770</v>
      </c>
      <c r="O74" s="21">
        <f t="shared" si="12"/>
        <v>0</v>
      </c>
    </row>
    <row r="75" spans="1:15" x14ac:dyDescent="0.25">
      <c r="A75" s="1971" t="s">
        <v>21</v>
      </c>
      <c r="B75" s="1702" t="s">
        <v>32</v>
      </c>
      <c r="C75" s="1703"/>
      <c r="D75" s="1709" t="s">
        <v>90</v>
      </c>
      <c r="E75" s="1709" t="s">
        <v>90</v>
      </c>
      <c r="F75" s="1709" t="s">
        <v>90</v>
      </c>
      <c r="G75" s="1704">
        <f t="shared" si="5"/>
        <v>0</v>
      </c>
      <c r="H75" s="1709" t="s">
        <v>90</v>
      </c>
      <c r="I75" s="1709" t="s">
        <v>90</v>
      </c>
      <c r="J75" s="1709" t="s">
        <v>90</v>
      </c>
      <c r="K75" s="1704">
        <f t="shared" si="11"/>
        <v>0</v>
      </c>
      <c r="L75" s="1709" t="s">
        <v>90</v>
      </c>
      <c r="M75" s="1709" t="s">
        <v>90</v>
      </c>
      <c r="N75" s="1709" t="s">
        <v>90</v>
      </c>
      <c r="O75" s="1704">
        <f t="shared" si="12"/>
        <v>0</v>
      </c>
    </row>
    <row r="76" spans="1:15" x14ac:dyDescent="0.25">
      <c r="A76" s="1971"/>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71"/>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71" t="s">
        <v>181</v>
      </c>
      <c r="B78" s="1702" t="s">
        <v>32</v>
      </c>
      <c r="C78" s="1703"/>
      <c r="D78" s="1709">
        <f t="shared" ref="D78:D84" si="16">0.25*D$3</f>
        <v>0</v>
      </c>
      <c r="E78" s="1710">
        <v>0</v>
      </c>
      <c r="F78" s="1715">
        <v>0</v>
      </c>
      <c r="G78" s="1704">
        <f t="shared" si="5"/>
        <v>0</v>
      </c>
      <c r="H78" s="1709">
        <f t="shared" ref="H78:H84" si="17">0.25*H$3</f>
        <v>0</v>
      </c>
      <c r="I78" s="1710">
        <v>0</v>
      </c>
      <c r="J78" s="1715">
        <v>0</v>
      </c>
      <c r="K78" s="1704">
        <f t="shared" si="11"/>
        <v>0</v>
      </c>
      <c r="L78" s="1709">
        <f t="shared" ref="L78:L84" si="18">0.25*L$3</f>
        <v>0</v>
      </c>
      <c r="M78" s="1710">
        <v>0</v>
      </c>
      <c r="N78" s="1715">
        <v>0</v>
      </c>
      <c r="O78" s="1704">
        <f t="shared" si="12"/>
        <v>0</v>
      </c>
    </row>
    <row r="79" spans="1:15" x14ac:dyDescent="0.25">
      <c r="A79" s="1971"/>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71"/>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71" t="s">
        <v>182</v>
      </c>
      <c r="B81" s="1702" t="s">
        <v>32</v>
      </c>
      <c r="C81" s="1703"/>
      <c r="D81" s="1709">
        <f t="shared" si="16"/>
        <v>0</v>
      </c>
      <c r="E81" s="1710">
        <v>0</v>
      </c>
      <c r="F81" s="1715">
        <v>0</v>
      </c>
      <c r="G81" s="1704">
        <f t="shared" si="5"/>
        <v>0</v>
      </c>
      <c r="H81" s="1709">
        <f t="shared" si="17"/>
        <v>0</v>
      </c>
      <c r="I81" s="1710">
        <v>0</v>
      </c>
      <c r="J81" s="1715">
        <v>0</v>
      </c>
      <c r="K81" s="1704">
        <f t="shared" si="11"/>
        <v>0</v>
      </c>
      <c r="L81" s="1709">
        <f t="shared" si="18"/>
        <v>0</v>
      </c>
      <c r="M81" s="1710">
        <v>0</v>
      </c>
      <c r="N81" s="1715">
        <v>0</v>
      </c>
      <c r="O81" s="1704">
        <f t="shared" si="12"/>
        <v>0</v>
      </c>
    </row>
    <row r="82" spans="1:15" x14ac:dyDescent="0.25">
      <c r="A82" s="1971"/>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71"/>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41" t="s">
        <v>183</v>
      </c>
      <c r="B84" s="1702" t="s">
        <v>32</v>
      </c>
      <c r="C84" s="1703"/>
      <c r="D84" s="1709">
        <f t="shared" si="16"/>
        <v>0</v>
      </c>
      <c r="E84" s="1710">
        <v>0</v>
      </c>
      <c r="F84" s="1715">
        <v>0</v>
      </c>
      <c r="G84" s="1704">
        <f t="shared" si="5"/>
        <v>0</v>
      </c>
      <c r="H84" s="1709">
        <f t="shared" si="17"/>
        <v>0</v>
      </c>
      <c r="I84" s="1710">
        <v>0</v>
      </c>
      <c r="J84" s="1715">
        <v>0</v>
      </c>
      <c r="K84" s="1704">
        <f t="shared" si="11"/>
        <v>0</v>
      </c>
      <c r="L84" s="1709">
        <f t="shared" si="18"/>
        <v>0</v>
      </c>
      <c r="M84" s="1710">
        <v>0</v>
      </c>
      <c r="N84" s="1715">
        <v>0</v>
      </c>
      <c r="O84" s="1704">
        <f t="shared" si="12"/>
        <v>0</v>
      </c>
    </row>
    <row r="85" spans="1:15" x14ac:dyDescent="0.25">
      <c r="A85" s="1941"/>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41"/>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40" t="s">
        <v>23</v>
      </c>
      <c r="B88" s="1697" t="s">
        <v>32</v>
      </c>
      <c r="C88" s="1698"/>
      <c r="D88" s="1706">
        <v>0.25</v>
      </c>
      <c r="E88" s="1707">
        <v>0</v>
      </c>
      <c r="F88" s="1717">
        <v>0</v>
      </c>
      <c r="G88" s="1701">
        <f t="shared" si="5"/>
        <v>0.25</v>
      </c>
      <c r="H88" s="1706">
        <v>0.25</v>
      </c>
      <c r="I88" s="1707">
        <v>0</v>
      </c>
      <c r="J88" s="1717">
        <v>0</v>
      </c>
      <c r="K88" s="1701">
        <f t="shared" ref="K88:K93" si="19" xml:space="preserve"> SUM(H88:J88) + $C88</f>
        <v>0.25</v>
      </c>
      <c r="L88" s="1706">
        <v>0.25</v>
      </c>
      <c r="M88" s="1707">
        <v>0</v>
      </c>
      <c r="N88" s="1717">
        <v>0</v>
      </c>
      <c r="O88" s="1701">
        <f t="shared" ref="O88:O93" si="20" xml:space="preserve"> SUM(L88:N88) + $C88</f>
        <v>0.25</v>
      </c>
    </row>
    <row r="89" spans="1:15" x14ac:dyDescent="0.25">
      <c r="A89" s="1940"/>
      <c r="B89" s="19" t="s">
        <v>33</v>
      </c>
      <c r="C89" s="22"/>
      <c r="D89" s="482" t="s">
        <v>1770</v>
      </c>
      <c r="E89" s="482" t="s">
        <v>1770</v>
      </c>
      <c r="F89" s="482" t="s">
        <v>1770</v>
      </c>
      <c r="G89" s="21">
        <f t="shared" si="5"/>
        <v>0</v>
      </c>
      <c r="H89" s="482" t="s">
        <v>1770</v>
      </c>
      <c r="I89" s="482" t="s">
        <v>1770</v>
      </c>
      <c r="J89" s="482" t="s">
        <v>1770</v>
      </c>
      <c r="K89" s="21">
        <f t="shared" si="19"/>
        <v>0</v>
      </c>
      <c r="L89" s="482" t="s">
        <v>1770</v>
      </c>
      <c r="M89" s="482" t="s">
        <v>1770</v>
      </c>
      <c r="N89" s="482" t="s">
        <v>1770</v>
      </c>
      <c r="O89" s="21">
        <f t="shared" si="20"/>
        <v>0</v>
      </c>
    </row>
    <row r="90" spans="1:15" x14ac:dyDescent="0.25">
      <c r="A90" s="1940"/>
      <c r="B90" s="19" t="s">
        <v>34</v>
      </c>
      <c r="C90" s="22"/>
      <c r="D90" s="482" t="s">
        <v>1770</v>
      </c>
      <c r="E90" s="482" t="s">
        <v>1770</v>
      </c>
      <c r="F90" s="482" t="s">
        <v>1770</v>
      </c>
      <c r="G90" s="21">
        <f t="shared" si="5"/>
        <v>0</v>
      </c>
      <c r="H90" s="482" t="s">
        <v>1770</v>
      </c>
      <c r="I90" s="482" t="s">
        <v>1770</v>
      </c>
      <c r="J90" s="482" t="s">
        <v>1770</v>
      </c>
      <c r="K90" s="21">
        <f t="shared" si="19"/>
        <v>0</v>
      </c>
      <c r="L90" s="482" t="s">
        <v>1770</v>
      </c>
      <c r="M90" s="482" t="s">
        <v>1770</v>
      </c>
      <c r="N90" s="482" t="s">
        <v>1770</v>
      </c>
      <c r="O90" s="21">
        <f t="shared" si="20"/>
        <v>0</v>
      </c>
    </row>
    <row r="91" spans="1:15" x14ac:dyDescent="0.25">
      <c r="A91" s="1971" t="s">
        <v>24</v>
      </c>
      <c r="B91" s="1702" t="s">
        <v>32</v>
      </c>
      <c r="C91" s="1703"/>
      <c r="D91" s="1709">
        <v>6</v>
      </c>
      <c r="E91" s="1711">
        <f>1*E$3</f>
        <v>0</v>
      </c>
      <c r="F91" s="1718">
        <f>0.5*F$3</f>
        <v>0</v>
      </c>
      <c r="G91" s="1704">
        <f t="shared" si="5"/>
        <v>6</v>
      </c>
      <c r="H91" s="1709">
        <v>6</v>
      </c>
      <c r="I91" s="1711">
        <f>1*I$3</f>
        <v>0</v>
      </c>
      <c r="J91" s="1718">
        <f>0.5*J$3</f>
        <v>0</v>
      </c>
      <c r="K91" s="1704">
        <f t="shared" si="19"/>
        <v>6</v>
      </c>
      <c r="L91" s="1709">
        <v>6</v>
      </c>
      <c r="M91" s="1711">
        <f>1*M$3</f>
        <v>0</v>
      </c>
      <c r="N91" s="1718">
        <f>0.5*N$3</f>
        <v>0</v>
      </c>
      <c r="O91" s="1704">
        <f t="shared" si="20"/>
        <v>6</v>
      </c>
    </row>
    <row r="92" spans="1:15" x14ac:dyDescent="0.25">
      <c r="A92" s="1971"/>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71"/>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71" t="s">
        <v>25</v>
      </c>
      <c r="B94" s="1702" t="s">
        <v>32</v>
      </c>
      <c r="C94" s="1703"/>
      <c r="D94" s="1709">
        <v>2</v>
      </c>
      <c r="E94" s="1712">
        <v>0</v>
      </c>
      <c r="F94" s="1715">
        <v>0</v>
      </c>
      <c r="G94" s="1704">
        <f t="shared" ref="G94:G105" si="21" xml:space="preserve"> SUM(D94:F94) + $C94</f>
        <v>2</v>
      </c>
      <c r="H94" s="1709">
        <v>2</v>
      </c>
      <c r="I94" s="1712">
        <v>0</v>
      </c>
      <c r="J94" s="1715">
        <v>0</v>
      </c>
      <c r="K94" s="1704">
        <f t="shared" ref="K94:K105" si="22" xml:space="preserve"> SUM(H94:J94) + $C94</f>
        <v>2</v>
      </c>
      <c r="L94" s="1709">
        <v>2</v>
      </c>
      <c r="M94" s="1712">
        <v>0</v>
      </c>
      <c r="N94" s="1715">
        <v>0</v>
      </c>
      <c r="O94" s="1704">
        <f t="shared" ref="O94:O105" si="23" xml:space="preserve"> SUM(L94:N94) + $C94</f>
        <v>2</v>
      </c>
    </row>
    <row r="95" spans="1:15" x14ac:dyDescent="0.25">
      <c r="A95" s="1971"/>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71"/>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71" t="s">
        <v>26</v>
      </c>
      <c r="B97" s="1702" t="s">
        <v>32</v>
      </c>
      <c r="C97" s="1703"/>
      <c r="D97" s="1709">
        <v>12</v>
      </c>
      <c r="E97" s="1699">
        <f>E$3*2</f>
        <v>0</v>
      </c>
      <c r="F97" s="1719">
        <f>1*F$3</f>
        <v>0</v>
      </c>
      <c r="G97" s="1704">
        <f t="shared" si="21"/>
        <v>12</v>
      </c>
      <c r="H97" s="1709">
        <v>12</v>
      </c>
      <c r="I97" s="1699">
        <f>I$3*2</f>
        <v>0</v>
      </c>
      <c r="J97" s="1719">
        <f>1*J$3</f>
        <v>0</v>
      </c>
      <c r="K97" s="1704">
        <f t="shared" si="22"/>
        <v>12</v>
      </c>
      <c r="L97" s="1709">
        <v>12</v>
      </c>
      <c r="M97" s="1699">
        <f>M$3*2</f>
        <v>0</v>
      </c>
      <c r="N97" s="1719">
        <f>1*N$3</f>
        <v>0</v>
      </c>
      <c r="O97" s="1704">
        <f t="shared" si="23"/>
        <v>12</v>
      </c>
    </row>
    <row r="98" spans="1:15" x14ac:dyDescent="0.25">
      <c r="A98" s="1971"/>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71"/>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71" t="s">
        <v>27</v>
      </c>
      <c r="B100" s="1702" t="s">
        <v>32</v>
      </c>
      <c r="C100" s="1703"/>
      <c r="D100" s="1709">
        <v>6</v>
      </c>
      <c r="E100" s="1699">
        <f>E$3*2</f>
        <v>0</v>
      </c>
      <c r="F100" s="1719">
        <f>1*F$3</f>
        <v>0</v>
      </c>
      <c r="G100" s="1704">
        <f t="shared" si="21"/>
        <v>6</v>
      </c>
      <c r="H100" s="1709">
        <v>6</v>
      </c>
      <c r="I100" s="1699">
        <f>I$3*2</f>
        <v>0</v>
      </c>
      <c r="J100" s="1719">
        <f>1*J$3</f>
        <v>0</v>
      </c>
      <c r="K100" s="1704">
        <f t="shared" si="22"/>
        <v>6</v>
      </c>
      <c r="L100" s="1709">
        <v>6</v>
      </c>
      <c r="M100" s="1699">
        <f>M$3*2</f>
        <v>0</v>
      </c>
      <c r="N100" s="1719">
        <f>1*N$3</f>
        <v>0</v>
      </c>
      <c r="O100" s="1704">
        <f t="shared" si="23"/>
        <v>6</v>
      </c>
    </row>
    <row r="101" spans="1:15" x14ac:dyDescent="0.25">
      <c r="A101" s="1971"/>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71"/>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40" t="s">
        <v>28</v>
      </c>
      <c r="B103" s="1702" t="s">
        <v>32</v>
      </c>
      <c r="C103" s="1703"/>
      <c r="D103" s="1709">
        <v>2</v>
      </c>
      <c r="E103" s="1720">
        <f t="shared" ref="E103:F103" si="24">0.5*E$3</f>
        <v>0</v>
      </c>
      <c r="F103" s="1721">
        <f t="shared" si="24"/>
        <v>0</v>
      </c>
      <c r="G103" s="1704">
        <f t="shared" si="21"/>
        <v>2</v>
      </c>
      <c r="H103" s="1709">
        <v>2</v>
      </c>
      <c r="I103" s="1720">
        <f t="shared" ref="I103:J103" si="25">0.5*I$3</f>
        <v>0</v>
      </c>
      <c r="J103" s="1721">
        <f t="shared" si="25"/>
        <v>0</v>
      </c>
      <c r="K103" s="1704">
        <f t="shared" si="22"/>
        <v>2</v>
      </c>
      <c r="L103" s="1709">
        <v>2</v>
      </c>
      <c r="M103" s="1720">
        <f t="shared" ref="M103:N103" si="26">0.5*M$3</f>
        <v>0</v>
      </c>
      <c r="N103" s="1721">
        <f t="shared" si="26"/>
        <v>0</v>
      </c>
      <c r="O103" s="1704">
        <f t="shared" si="23"/>
        <v>2</v>
      </c>
    </row>
    <row r="104" spans="1:15" x14ac:dyDescent="0.25">
      <c r="A104" s="1940"/>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38"/>
      <c r="B105" s="20" t="s">
        <v>34</v>
      </c>
      <c r="C105" s="23"/>
      <c r="D105" s="507">
        <v>4</v>
      </c>
      <c r="E105" s="491">
        <v>0</v>
      </c>
      <c r="F105" s="1694">
        <f>IF(F$3=1,16,0)</f>
        <v>0</v>
      </c>
      <c r="G105" s="24">
        <f t="shared" si="21"/>
        <v>4</v>
      </c>
      <c r="H105" s="507">
        <v>4</v>
      </c>
      <c r="I105" s="491">
        <v>0</v>
      </c>
      <c r="J105" s="1694">
        <f>IF(J$3=1,16,0)</f>
        <v>0</v>
      </c>
      <c r="K105" s="24">
        <f t="shared" si="22"/>
        <v>4</v>
      </c>
      <c r="L105" s="507">
        <v>4</v>
      </c>
      <c r="M105" s="491">
        <v>0</v>
      </c>
      <c r="N105" s="1694">
        <f>IF(N$3=1,16,0)</f>
        <v>0</v>
      </c>
      <c r="O105" s="24">
        <f t="shared" si="23"/>
        <v>4</v>
      </c>
    </row>
    <row r="107" spans="1:15" ht="15.75" x14ac:dyDescent="0.25">
      <c r="A107" s="1690" t="s">
        <v>1705</v>
      </c>
      <c r="B107" s="1690" t="s">
        <v>1706</v>
      </c>
      <c r="C107" s="1722"/>
      <c r="D107" s="1695"/>
      <c r="E107" s="1722" t="s">
        <v>1707</v>
      </c>
      <c r="F107" s="1722"/>
    </row>
    <row r="108" spans="1:15" ht="120" x14ac:dyDescent="0.25">
      <c r="A108" s="1757" t="s">
        <v>1831</v>
      </c>
      <c r="B108" s="1757" t="s">
        <v>1832</v>
      </c>
      <c r="C108" s="1722"/>
      <c r="D108" s="1722"/>
      <c r="E108" s="1722"/>
      <c r="F108" s="1722"/>
    </row>
    <row r="109" spans="1:15" ht="90" x14ac:dyDescent="0.25">
      <c r="A109" s="1757" t="s">
        <v>1833</v>
      </c>
      <c r="B109" s="1757" t="s">
        <v>1834</v>
      </c>
      <c r="C109" s="1722"/>
      <c r="D109" s="1722"/>
      <c r="E109" s="1722"/>
      <c r="F109" s="1722"/>
    </row>
    <row r="110" spans="1:15" ht="60" x14ac:dyDescent="0.25">
      <c r="A110" s="1691" t="s">
        <v>1830</v>
      </c>
      <c r="B110" s="1691" t="s">
        <v>1812</v>
      </c>
      <c r="C110" s="1722"/>
      <c r="D110" s="1722"/>
      <c r="E110" s="1722"/>
      <c r="F110" s="1722"/>
    </row>
    <row r="111" spans="1:15" x14ac:dyDescent="0.25">
      <c r="A111" s="1722"/>
      <c r="B111" s="1722"/>
      <c r="C111" s="1722"/>
      <c r="D111" s="1722"/>
      <c r="E111" s="1722"/>
      <c r="F111" s="1722"/>
    </row>
    <row r="112" spans="1:15" x14ac:dyDescent="0.25">
      <c r="A112" s="1692" t="s">
        <v>89</v>
      </c>
      <c r="B112" s="1722"/>
      <c r="C112" s="1722"/>
      <c r="D112" s="1722"/>
      <c r="E112" s="1722"/>
      <c r="F112" s="1722"/>
    </row>
    <row r="113" spans="1:6" ht="15.75" x14ac:dyDescent="0.25">
      <c r="A113" s="2311" t="str">
        <f>A5</f>
        <v>ТЗ</v>
      </c>
      <c r="B113" s="2312"/>
      <c r="C113" s="1722"/>
      <c r="D113" s="1693" t="s">
        <v>66</v>
      </c>
      <c r="E113" s="1693" t="s">
        <v>65</v>
      </c>
      <c r="F113" s="1693" t="s">
        <v>64</v>
      </c>
    </row>
    <row r="114" spans="1:6" x14ac:dyDescent="0.25">
      <c r="A114" s="132" t="s">
        <v>1709</v>
      </c>
      <c r="B114" s="905" t="s">
        <v>33</v>
      </c>
      <c r="C114" s="1722"/>
      <c r="D114" s="658"/>
      <c r="E114" s="658"/>
      <c r="F114" s="658" t="s">
        <v>1773</v>
      </c>
    </row>
    <row r="115" spans="1:6" x14ac:dyDescent="0.25">
      <c r="A115" s="132" t="s">
        <v>1710</v>
      </c>
      <c r="B115" s="905" t="s">
        <v>34</v>
      </c>
      <c r="C115" s="1722"/>
      <c r="D115" s="658"/>
      <c r="E115" s="658"/>
      <c r="F115" s="658" t="s">
        <v>1835</v>
      </c>
    </row>
    <row r="116" spans="1:6" ht="15.75" x14ac:dyDescent="0.25">
      <c r="A116" s="2311" t="str">
        <f>A8</f>
        <v>ФТТ</v>
      </c>
      <c r="B116" s="2312"/>
      <c r="C116" s="1722"/>
      <c r="D116" s="1693" t="s">
        <v>66</v>
      </c>
      <c r="E116" s="1693" t="s">
        <v>65</v>
      </c>
      <c r="F116" s="1693" t="s">
        <v>64</v>
      </c>
    </row>
    <row r="117" spans="1:6" x14ac:dyDescent="0.25">
      <c r="A117" s="132" t="s">
        <v>1711</v>
      </c>
      <c r="B117" s="905" t="s">
        <v>33</v>
      </c>
      <c r="C117" s="1722"/>
      <c r="D117" s="658"/>
      <c r="E117" s="658"/>
      <c r="F117" s="658" t="s">
        <v>1773</v>
      </c>
    </row>
    <row r="118" spans="1:6" x14ac:dyDescent="0.25">
      <c r="A118" s="132" t="s">
        <v>1712</v>
      </c>
      <c r="B118" s="905" t="s">
        <v>34</v>
      </c>
      <c r="C118" s="1722"/>
      <c r="D118" s="658"/>
      <c r="E118" s="658"/>
      <c r="F118" s="658" t="s">
        <v>1835</v>
      </c>
    </row>
    <row r="119" spans="1:6" ht="15.75" x14ac:dyDescent="0.25">
      <c r="A119" s="2311" t="str">
        <f>A12</f>
        <v>Пояснительная записка к эскизному проекту</v>
      </c>
      <c r="B119" s="2312"/>
      <c r="C119" s="1722"/>
      <c r="D119" s="1693" t="s">
        <v>66</v>
      </c>
      <c r="E119" s="1693" t="s">
        <v>65</v>
      </c>
      <c r="F119" s="1693" t="s">
        <v>64</v>
      </c>
    </row>
    <row r="120" spans="1:6" x14ac:dyDescent="0.25">
      <c r="A120" s="132" t="s">
        <v>1713</v>
      </c>
      <c r="B120" s="905" t="s">
        <v>33</v>
      </c>
      <c r="C120" s="1722"/>
      <c r="D120" s="658" t="s">
        <v>1837</v>
      </c>
      <c r="E120" s="658"/>
      <c r="F120" s="658" t="s">
        <v>1806</v>
      </c>
    </row>
    <row r="121" spans="1:6" x14ac:dyDescent="0.25">
      <c r="A121" s="132" t="s">
        <v>1714</v>
      </c>
      <c r="B121" s="905" t="s">
        <v>34</v>
      </c>
      <c r="C121" s="1722"/>
      <c r="D121" s="658" t="s">
        <v>1838</v>
      </c>
      <c r="E121" s="658"/>
      <c r="F121" s="658" t="s">
        <v>1836</v>
      </c>
    </row>
    <row r="122" spans="1:6" ht="15.75" x14ac:dyDescent="0.25">
      <c r="A122" s="2311" t="str">
        <f>A19</f>
        <v xml:space="preserve">Ведомость покупных изделий </v>
      </c>
      <c r="B122" s="2312"/>
      <c r="C122" s="1722"/>
      <c r="D122" s="1693" t="s">
        <v>66</v>
      </c>
      <c r="E122" s="1693" t="s">
        <v>65</v>
      </c>
      <c r="F122" s="1693" t="s">
        <v>64</v>
      </c>
    </row>
    <row r="123" spans="1:6" x14ac:dyDescent="0.25">
      <c r="A123" s="132" t="s">
        <v>1715</v>
      </c>
      <c r="B123" s="905" t="s">
        <v>33</v>
      </c>
      <c r="C123" s="1722"/>
      <c r="D123" s="658" t="s">
        <v>1839</v>
      </c>
      <c r="E123" s="658"/>
      <c r="F123" s="658"/>
    </row>
    <row r="124" spans="1:6" x14ac:dyDescent="0.25">
      <c r="A124" s="132" t="s">
        <v>1716</v>
      </c>
      <c r="B124" s="905" t="s">
        <v>34</v>
      </c>
      <c r="C124" s="1722"/>
      <c r="D124" s="658" t="s">
        <v>1839</v>
      </c>
      <c r="E124" s="658"/>
      <c r="F124" s="658"/>
    </row>
    <row r="125" spans="1:6" ht="15.75" x14ac:dyDescent="0.25">
      <c r="A125" s="2311" t="str">
        <f>A22</f>
        <v xml:space="preserve">Пояснительная записка к техническому проекту </v>
      </c>
      <c r="B125" s="2312"/>
      <c r="C125" s="1722"/>
      <c r="D125" s="1693" t="s">
        <v>66</v>
      </c>
      <c r="E125" s="1693" t="s">
        <v>65</v>
      </c>
      <c r="F125" s="1693" t="s">
        <v>64</v>
      </c>
    </row>
    <row r="126" spans="1:6" x14ac:dyDescent="0.25">
      <c r="A126" s="132" t="s">
        <v>1717</v>
      </c>
      <c r="B126" s="905" t="s">
        <v>33</v>
      </c>
      <c r="C126" s="1722"/>
      <c r="D126" s="658" t="s">
        <v>1837</v>
      </c>
      <c r="E126" s="658"/>
      <c r="F126" s="658" t="s">
        <v>1806</v>
      </c>
    </row>
    <row r="127" spans="1:6" x14ac:dyDescent="0.25">
      <c r="A127" s="132" t="s">
        <v>1718</v>
      </c>
      <c r="B127" s="905" t="s">
        <v>34</v>
      </c>
      <c r="C127" s="1722"/>
      <c r="D127" s="658" t="s">
        <v>1838</v>
      </c>
      <c r="E127" s="658"/>
      <c r="F127" s="658" t="s">
        <v>1836</v>
      </c>
    </row>
    <row r="128" spans="1:6" ht="15.75" x14ac:dyDescent="0.25">
      <c r="A128" s="2311" t="str">
        <f>A25</f>
        <v xml:space="preserve">Описание комплекса технических средств </v>
      </c>
      <c r="B128" s="2312"/>
      <c r="C128" s="1722"/>
      <c r="D128" s="1693" t="s">
        <v>66</v>
      </c>
      <c r="E128" s="1693" t="s">
        <v>65</v>
      </c>
      <c r="F128" s="1693" t="s">
        <v>64</v>
      </c>
    </row>
    <row r="129" spans="1:6" x14ac:dyDescent="0.25">
      <c r="A129" s="132" t="s">
        <v>1719</v>
      </c>
      <c r="B129" s="905" t="s">
        <v>33</v>
      </c>
      <c r="C129" s="1722"/>
      <c r="D129" s="658"/>
      <c r="E129" s="658"/>
      <c r="F129" s="658" t="s">
        <v>1782</v>
      </c>
    </row>
    <row r="130" spans="1:6" x14ac:dyDescent="0.25">
      <c r="A130" s="132" t="s">
        <v>1720</v>
      </c>
      <c r="B130" s="905" t="s">
        <v>34</v>
      </c>
      <c r="C130" s="1722"/>
      <c r="D130" s="658"/>
      <c r="E130" s="658"/>
      <c r="F130" s="658" t="s">
        <v>1783</v>
      </c>
    </row>
    <row r="131" spans="1:6" ht="15.75" x14ac:dyDescent="0.25">
      <c r="A131" s="2311" t="str">
        <f>A28</f>
        <v xml:space="preserve">Описание программного обеспечения </v>
      </c>
      <c r="B131" s="2312"/>
      <c r="C131" s="1722"/>
      <c r="D131" s="1693" t="s">
        <v>66</v>
      </c>
      <c r="E131" s="1693" t="s">
        <v>65</v>
      </c>
      <c r="F131" s="1693" t="s">
        <v>64</v>
      </c>
    </row>
    <row r="132" spans="1:6" x14ac:dyDescent="0.25">
      <c r="A132" s="132" t="s">
        <v>1721</v>
      </c>
      <c r="B132" s="905" t="s">
        <v>33</v>
      </c>
      <c r="C132" s="1722"/>
      <c r="D132" s="658"/>
      <c r="E132" s="658"/>
      <c r="F132" s="658" t="s">
        <v>1784</v>
      </c>
    </row>
    <row r="133" spans="1:6" x14ac:dyDescent="0.25">
      <c r="A133" s="132" t="s">
        <v>1722</v>
      </c>
      <c r="B133" s="905" t="s">
        <v>34</v>
      </c>
      <c r="C133" s="1722"/>
      <c r="D133" s="658"/>
      <c r="E133" s="658"/>
      <c r="F133" s="658" t="s">
        <v>1785</v>
      </c>
    </row>
    <row r="134" spans="1:6" ht="15.75" x14ac:dyDescent="0.25">
      <c r="A134" s="2311" t="str">
        <f>A31</f>
        <v>Схема структурная</v>
      </c>
      <c r="B134" s="2312"/>
      <c r="C134" s="1722"/>
      <c r="D134" s="1693" t="s">
        <v>66</v>
      </c>
      <c r="E134" s="1693" t="s">
        <v>65</v>
      </c>
      <c r="F134" s="1693" t="s">
        <v>64</v>
      </c>
    </row>
    <row r="135" spans="1:6" x14ac:dyDescent="0.25">
      <c r="A135" s="132" t="s">
        <v>1723</v>
      </c>
      <c r="B135" s="905" t="s">
        <v>33</v>
      </c>
      <c r="C135" s="1722"/>
      <c r="D135" s="658"/>
      <c r="E135" s="658" t="s">
        <v>1840</v>
      </c>
      <c r="F135" s="658" t="s">
        <v>1800</v>
      </c>
    </row>
    <row r="136" spans="1:6" x14ac:dyDescent="0.25">
      <c r="A136" s="132" t="s">
        <v>1724</v>
      </c>
      <c r="B136" s="905" t="s">
        <v>34</v>
      </c>
      <c r="C136" s="1722"/>
      <c r="D136" s="658"/>
      <c r="E136" s="658" t="s">
        <v>1840</v>
      </c>
      <c r="F136" s="658" t="s">
        <v>1803</v>
      </c>
    </row>
    <row r="137" spans="1:6" ht="15.75" x14ac:dyDescent="0.25">
      <c r="A137" s="2311" t="str">
        <f>A34</f>
        <v>Схема функциональная</v>
      </c>
      <c r="B137" s="2312"/>
      <c r="C137" s="1722"/>
      <c r="D137" s="1693" t="s">
        <v>66</v>
      </c>
      <c r="E137" s="1693" t="s">
        <v>65</v>
      </c>
      <c r="F137" s="1693" t="s">
        <v>64</v>
      </c>
    </row>
    <row r="138" spans="1:6" x14ac:dyDescent="0.25">
      <c r="A138" s="132" t="s">
        <v>1725</v>
      </c>
      <c r="B138" s="905" t="s">
        <v>33</v>
      </c>
      <c r="C138" s="1722"/>
      <c r="D138" s="658" t="s">
        <v>1840</v>
      </c>
      <c r="E138" s="658"/>
      <c r="F138" s="658" t="s">
        <v>1800</v>
      </c>
    </row>
    <row r="139" spans="1:6" x14ac:dyDescent="0.25">
      <c r="A139" s="132" t="s">
        <v>1726</v>
      </c>
      <c r="B139" s="905" t="s">
        <v>34</v>
      </c>
      <c r="C139" s="1722"/>
      <c r="D139" s="658" t="s">
        <v>1840</v>
      </c>
      <c r="E139" s="658"/>
      <c r="F139" s="658" t="s">
        <v>1803</v>
      </c>
    </row>
    <row r="140" spans="1:6" ht="15.75" x14ac:dyDescent="0.25">
      <c r="A140" s="2311" t="str">
        <f>A38</f>
        <v xml:space="preserve">Пояснительная записка к технорабочему проекту </v>
      </c>
      <c r="B140" s="2312"/>
      <c r="C140" s="1722"/>
      <c r="D140" s="1693" t="s">
        <v>66</v>
      </c>
      <c r="E140" s="1693" t="s">
        <v>65</v>
      </c>
      <c r="F140" s="1693" t="s">
        <v>64</v>
      </c>
    </row>
    <row r="141" spans="1:6" x14ac:dyDescent="0.25">
      <c r="A141" s="132" t="s">
        <v>1727</v>
      </c>
      <c r="B141" s="905" t="s">
        <v>33</v>
      </c>
      <c r="C141" s="1722"/>
      <c r="D141" s="658"/>
      <c r="E141" s="658"/>
      <c r="F141" s="658" t="s">
        <v>1806</v>
      </c>
    </row>
    <row r="142" spans="1:6" x14ac:dyDescent="0.25">
      <c r="A142" s="132" t="s">
        <v>1728</v>
      </c>
      <c r="B142" s="905" t="s">
        <v>34</v>
      </c>
      <c r="C142" s="1722"/>
      <c r="D142" s="658"/>
      <c r="E142" s="658"/>
      <c r="F142" s="658" t="s">
        <v>1816</v>
      </c>
    </row>
    <row r="143" spans="1:6" ht="15.75" x14ac:dyDescent="0.25">
      <c r="A143" s="2311" t="str">
        <f>A42</f>
        <v xml:space="preserve">Спецификация оборудования </v>
      </c>
      <c r="B143" s="2312"/>
      <c r="C143" s="1722"/>
      <c r="D143" s="1693" t="s">
        <v>66</v>
      </c>
      <c r="E143" s="1693" t="s">
        <v>65</v>
      </c>
      <c r="F143" s="1693" t="s">
        <v>64</v>
      </c>
    </row>
    <row r="144" spans="1:6" x14ac:dyDescent="0.25">
      <c r="A144" s="132" t="s">
        <v>1729</v>
      </c>
      <c r="B144" s="905" t="s">
        <v>33</v>
      </c>
      <c r="C144" s="1722"/>
      <c r="D144" s="658" t="s">
        <v>1839</v>
      </c>
      <c r="E144" s="658"/>
      <c r="F144" s="658"/>
    </row>
    <row r="145" spans="1:6" x14ac:dyDescent="0.25">
      <c r="A145" s="132" t="s">
        <v>1730</v>
      </c>
      <c r="B145" s="905" t="s">
        <v>34</v>
      </c>
      <c r="C145" s="1722"/>
      <c r="D145" s="658" t="s">
        <v>1839</v>
      </c>
      <c r="E145" s="658"/>
      <c r="F145" s="658"/>
    </row>
    <row r="146" spans="1:6" ht="15.75" x14ac:dyDescent="0.25">
      <c r="A146" s="2311" t="str">
        <f>A45</f>
        <v>Инструкция по установке и настройке</v>
      </c>
      <c r="B146" s="2312"/>
      <c r="C146" s="1722"/>
      <c r="D146" s="1693" t="s">
        <v>66</v>
      </c>
      <c r="E146" s="1693" t="s">
        <v>65</v>
      </c>
      <c r="F146" s="1693" t="s">
        <v>64</v>
      </c>
    </row>
    <row r="147" spans="1:6" x14ac:dyDescent="0.25">
      <c r="A147" s="132" t="s">
        <v>1731</v>
      </c>
      <c r="B147" s="905" t="s">
        <v>33</v>
      </c>
      <c r="C147" s="1722"/>
      <c r="D147" s="658"/>
      <c r="E147" s="658" t="s">
        <v>1791</v>
      </c>
      <c r="F147" s="658" t="s">
        <v>1803</v>
      </c>
    </row>
    <row r="148" spans="1:6" x14ac:dyDescent="0.25">
      <c r="A148" s="132" t="s">
        <v>1732</v>
      </c>
      <c r="B148" s="905" t="s">
        <v>34</v>
      </c>
      <c r="C148" s="1722"/>
      <c r="D148" s="658"/>
      <c r="E148" s="658" t="s">
        <v>1791</v>
      </c>
      <c r="F148" s="658" t="s">
        <v>1803</v>
      </c>
    </row>
    <row r="149" spans="1:6" ht="15.75" x14ac:dyDescent="0.25">
      <c r="A149" s="2311" t="str">
        <f>A48</f>
        <v xml:space="preserve">Схема соединений внешних проводок </v>
      </c>
      <c r="B149" s="2312"/>
      <c r="C149" s="1722"/>
      <c r="D149" s="1693" t="s">
        <v>66</v>
      </c>
      <c r="E149" s="1693" t="s">
        <v>65</v>
      </c>
      <c r="F149" s="1693" t="s">
        <v>64</v>
      </c>
    </row>
    <row r="150" spans="1:6" x14ac:dyDescent="0.25">
      <c r="A150" s="132" t="s">
        <v>1733</v>
      </c>
      <c r="B150" s="905" t="s">
        <v>33</v>
      </c>
      <c r="C150" s="1722"/>
      <c r="D150" s="658"/>
      <c r="E150" s="658" t="s">
        <v>1840</v>
      </c>
      <c r="F150" s="658" t="s">
        <v>1796</v>
      </c>
    </row>
    <row r="151" spans="1:6" x14ac:dyDescent="0.25">
      <c r="A151" s="132" t="s">
        <v>1734</v>
      </c>
      <c r="B151" s="905" t="s">
        <v>34</v>
      </c>
      <c r="C151" s="1722"/>
      <c r="D151" s="658"/>
      <c r="E151" s="658" t="s">
        <v>1840</v>
      </c>
      <c r="F151" s="658" t="s">
        <v>1796</v>
      </c>
    </row>
    <row r="152" spans="1:6" ht="15.75" x14ac:dyDescent="0.25">
      <c r="A152" s="2311" t="str">
        <f>A51</f>
        <v xml:space="preserve">Таблица соединений и подключений </v>
      </c>
      <c r="B152" s="2312"/>
      <c r="C152" s="1722"/>
      <c r="D152" s="1693" t="s">
        <v>66</v>
      </c>
      <c r="E152" s="1693" t="s">
        <v>65</v>
      </c>
      <c r="F152" s="1693" t="s">
        <v>64</v>
      </c>
    </row>
    <row r="153" spans="1:6" x14ac:dyDescent="0.25">
      <c r="A153" s="132" t="s">
        <v>1735</v>
      </c>
      <c r="B153" s="905" t="s">
        <v>33</v>
      </c>
      <c r="C153" s="1722"/>
      <c r="D153" s="658"/>
      <c r="E153" s="658" t="s">
        <v>1840</v>
      </c>
      <c r="F153" s="658" t="s">
        <v>1796</v>
      </c>
    </row>
    <row r="154" spans="1:6" x14ac:dyDescent="0.25">
      <c r="A154" s="132" t="s">
        <v>1736</v>
      </c>
      <c r="B154" s="905" t="s">
        <v>34</v>
      </c>
      <c r="C154" s="1722"/>
      <c r="D154" s="658"/>
      <c r="E154" s="658" t="s">
        <v>1840</v>
      </c>
      <c r="F154" s="658" t="s">
        <v>1796</v>
      </c>
    </row>
    <row r="155" spans="1:6" ht="15.75" x14ac:dyDescent="0.25">
      <c r="A155" s="2311" t="str">
        <f>A54</f>
        <v xml:space="preserve">План расположения </v>
      </c>
      <c r="B155" s="2312"/>
      <c r="C155" s="1722"/>
      <c r="D155" s="1693" t="s">
        <v>66</v>
      </c>
      <c r="E155" s="1693" t="s">
        <v>65</v>
      </c>
      <c r="F155" s="1693" t="s">
        <v>64</v>
      </c>
    </row>
    <row r="156" spans="1:6" x14ac:dyDescent="0.25">
      <c r="A156" s="132" t="s">
        <v>1737</v>
      </c>
      <c r="B156" s="905" t="s">
        <v>33</v>
      </c>
      <c r="C156" s="1722"/>
      <c r="D156" s="658" t="s">
        <v>1840</v>
      </c>
      <c r="E156" s="658" t="s">
        <v>1840</v>
      </c>
      <c r="F156" s="658" t="s">
        <v>1796</v>
      </c>
    </row>
    <row r="157" spans="1:6" x14ac:dyDescent="0.25">
      <c r="A157" s="132" t="s">
        <v>1738</v>
      </c>
      <c r="B157" s="905" t="s">
        <v>34</v>
      </c>
      <c r="C157" s="1722"/>
      <c r="D157" s="658" t="s">
        <v>1840</v>
      </c>
      <c r="E157" s="658" t="s">
        <v>1840</v>
      </c>
      <c r="F157" s="658" t="s">
        <v>1796</v>
      </c>
    </row>
    <row r="158" spans="1:6" ht="15.75" x14ac:dyDescent="0.25">
      <c r="A158" s="2311" t="str">
        <f>A57</f>
        <v>Паспорт</v>
      </c>
      <c r="B158" s="2312"/>
      <c r="C158" s="1722"/>
      <c r="D158" s="1693" t="s">
        <v>66</v>
      </c>
      <c r="E158" s="1693" t="s">
        <v>65</v>
      </c>
      <c r="F158" s="1693" t="s">
        <v>64</v>
      </c>
    </row>
    <row r="159" spans="1:6" x14ac:dyDescent="0.25">
      <c r="A159" s="132" t="s">
        <v>1746</v>
      </c>
      <c r="B159" s="905" t="s">
        <v>33</v>
      </c>
      <c r="C159" s="1722"/>
      <c r="D159" s="658"/>
      <c r="E159" s="658"/>
      <c r="F159" s="658" t="s">
        <v>1806</v>
      </c>
    </row>
    <row r="160" spans="1:6" x14ac:dyDescent="0.25">
      <c r="A160" s="132" t="s">
        <v>1745</v>
      </c>
      <c r="B160" s="905" t="s">
        <v>34</v>
      </c>
      <c r="C160" s="1722"/>
      <c r="D160" s="658"/>
      <c r="E160" s="658"/>
      <c r="F160" s="658" t="s">
        <v>1836</v>
      </c>
    </row>
    <row r="161" spans="1:6" ht="15.75" x14ac:dyDescent="0.25">
      <c r="A161" s="2311" t="str">
        <f>A60</f>
        <v>ПиМИ</v>
      </c>
      <c r="B161" s="2312"/>
      <c r="C161" s="1722"/>
      <c r="D161" s="1693" t="s">
        <v>66</v>
      </c>
      <c r="E161" s="1693" t="s">
        <v>65</v>
      </c>
      <c r="F161" s="1693" t="s">
        <v>64</v>
      </c>
    </row>
    <row r="162" spans="1:6" x14ac:dyDescent="0.25">
      <c r="A162" s="132" t="s">
        <v>1744</v>
      </c>
      <c r="B162" s="905" t="s">
        <v>33</v>
      </c>
      <c r="C162" s="1722"/>
      <c r="D162" s="658" t="s">
        <v>1842</v>
      </c>
      <c r="E162" s="658"/>
      <c r="F162" s="658" t="s">
        <v>1800</v>
      </c>
    </row>
    <row r="163" spans="1:6" x14ac:dyDescent="0.25">
      <c r="A163" s="132" t="s">
        <v>1743</v>
      </c>
      <c r="B163" s="905" t="s">
        <v>34</v>
      </c>
      <c r="C163" s="1722"/>
      <c r="D163" s="658" t="s">
        <v>1843</v>
      </c>
      <c r="E163" s="658"/>
      <c r="F163" s="658" t="s">
        <v>1801</v>
      </c>
    </row>
    <row r="164" spans="1:6" ht="15.75" x14ac:dyDescent="0.25">
      <c r="A164" s="2311" t="str">
        <f>A63</f>
        <v>Технические условия для монтажа оборудования</v>
      </c>
      <c r="B164" s="2312"/>
      <c r="C164" s="1722"/>
      <c r="D164" s="1693" t="s">
        <v>66</v>
      </c>
      <c r="E164" s="1693" t="s">
        <v>65</v>
      </c>
      <c r="F164" s="1693" t="s">
        <v>64</v>
      </c>
    </row>
    <row r="165" spans="1:6" x14ac:dyDescent="0.25">
      <c r="A165" s="132" t="s">
        <v>1742</v>
      </c>
      <c r="B165" s="905" t="s">
        <v>33</v>
      </c>
      <c r="C165" s="1722"/>
      <c r="D165" s="658"/>
      <c r="E165" s="1381"/>
      <c r="F165" s="1381"/>
    </row>
    <row r="166" spans="1:6" x14ac:dyDescent="0.25">
      <c r="A166" s="132" t="s">
        <v>1741</v>
      </c>
      <c r="B166" s="905" t="s">
        <v>34</v>
      </c>
      <c r="C166" s="1722"/>
      <c r="D166" s="658"/>
      <c r="E166" s="1381"/>
      <c r="F166" s="1381"/>
    </row>
    <row r="167" spans="1:6" ht="15.75" x14ac:dyDescent="0.25">
      <c r="A167" s="2311" t="str">
        <f>A66</f>
        <v>Эскизная схема расположения оборудования</v>
      </c>
      <c r="B167" s="2312"/>
      <c r="C167" s="1722"/>
      <c r="D167" s="1693" t="s">
        <v>66</v>
      </c>
      <c r="E167" s="1693" t="s">
        <v>65</v>
      </c>
      <c r="F167" s="1693" t="s">
        <v>64</v>
      </c>
    </row>
    <row r="168" spans="1:6" x14ac:dyDescent="0.25">
      <c r="A168" s="132" t="s">
        <v>1739</v>
      </c>
      <c r="B168" s="905" t="s">
        <v>33</v>
      </c>
      <c r="C168" s="1722"/>
      <c r="D168" s="658" t="s">
        <v>1840</v>
      </c>
      <c r="E168" s="658" t="s">
        <v>1840</v>
      </c>
      <c r="F168" s="658" t="s">
        <v>1796</v>
      </c>
    </row>
    <row r="169" spans="1:6" x14ac:dyDescent="0.25">
      <c r="A169" s="132" t="s">
        <v>1740</v>
      </c>
      <c r="B169" s="905" t="s">
        <v>34</v>
      </c>
      <c r="C169" s="1722"/>
      <c r="D169" s="658" t="s">
        <v>1840</v>
      </c>
      <c r="E169" s="658" t="s">
        <v>1840</v>
      </c>
      <c r="F169" s="658" t="s">
        <v>1796</v>
      </c>
    </row>
    <row r="170" spans="1:6" ht="15.75" x14ac:dyDescent="0.25">
      <c r="A170" s="2311" t="str">
        <f>A69</f>
        <v>Сетевая схема L2</v>
      </c>
      <c r="B170" s="2312"/>
      <c r="C170" s="1722"/>
      <c r="D170" s="1693" t="s">
        <v>66</v>
      </c>
      <c r="E170" s="1693" t="s">
        <v>65</v>
      </c>
      <c r="F170" s="1693" t="s">
        <v>64</v>
      </c>
    </row>
    <row r="171" spans="1:6" x14ac:dyDescent="0.25">
      <c r="A171" s="132" t="s">
        <v>1747</v>
      </c>
      <c r="B171" s="905" t="s">
        <v>33</v>
      </c>
      <c r="C171" s="1722"/>
      <c r="D171" s="658"/>
      <c r="E171" s="1381"/>
      <c r="F171" s="1381"/>
    </row>
    <row r="172" spans="1:6" x14ac:dyDescent="0.25">
      <c r="A172" s="132" t="s">
        <v>1748</v>
      </c>
      <c r="B172" s="905" t="s">
        <v>34</v>
      </c>
      <c r="C172" s="1722"/>
      <c r="D172" s="658"/>
      <c r="E172" s="1381"/>
      <c r="F172" s="1381"/>
    </row>
    <row r="173" spans="1:6" ht="15.75" x14ac:dyDescent="0.25">
      <c r="A173" s="2311" t="str">
        <f>A72</f>
        <v>Сетевая схема L3</v>
      </c>
      <c r="B173" s="2312"/>
      <c r="C173" s="1722"/>
      <c r="D173" s="1693" t="s">
        <v>66</v>
      </c>
      <c r="E173" s="1693" t="s">
        <v>65</v>
      </c>
      <c r="F173" s="1693" t="s">
        <v>64</v>
      </c>
    </row>
    <row r="174" spans="1:6" x14ac:dyDescent="0.25">
      <c r="A174" s="132" t="s">
        <v>1749</v>
      </c>
      <c r="B174" s="905" t="s">
        <v>33</v>
      </c>
      <c r="C174" s="1722"/>
      <c r="D174" s="658"/>
      <c r="E174" s="1381"/>
      <c r="F174" s="1381"/>
    </row>
    <row r="175" spans="1:6" x14ac:dyDescent="0.25">
      <c r="A175" s="132" t="s">
        <v>1750</v>
      </c>
      <c r="B175" s="905" t="s">
        <v>34</v>
      </c>
      <c r="C175" s="1722"/>
      <c r="D175" s="658"/>
      <c r="E175" s="1381"/>
      <c r="F175" s="1381"/>
    </row>
    <row r="176" spans="1:6" ht="15.75" x14ac:dyDescent="0.25">
      <c r="A176" s="2311" t="str">
        <f>A78</f>
        <v>Принципиальная схема электропитания оборудования (СБ)</v>
      </c>
      <c r="B176" s="2312"/>
      <c r="C176" s="1722"/>
      <c r="D176" s="1693" t="s">
        <v>66</v>
      </c>
      <c r="E176" s="1693" t="s">
        <v>65</v>
      </c>
      <c r="F176" s="1693" t="s">
        <v>64</v>
      </c>
    </row>
    <row r="177" spans="1:6" x14ac:dyDescent="0.25">
      <c r="A177" s="132" t="s">
        <v>1751</v>
      </c>
      <c r="B177" s="905" t="s">
        <v>33</v>
      </c>
      <c r="C177" s="1722"/>
      <c r="D177" s="658"/>
      <c r="E177" s="658" t="s">
        <v>1844</v>
      </c>
      <c r="F177" s="658" t="s">
        <v>1796</v>
      </c>
    </row>
    <row r="178" spans="1:6" x14ac:dyDescent="0.25">
      <c r="A178" s="132" t="s">
        <v>1752</v>
      </c>
      <c r="B178" s="905" t="s">
        <v>34</v>
      </c>
      <c r="C178" s="1722"/>
      <c r="D178" s="658"/>
      <c r="E178" s="658" t="s">
        <v>1844</v>
      </c>
      <c r="F178" s="658" t="s">
        <v>1796</v>
      </c>
    </row>
    <row r="179" spans="1:6" ht="15.75" x14ac:dyDescent="0.25">
      <c r="A179" s="2311" t="str">
        <f>A81</f>
        <v>Схема подключения внешних проводок (С5)</v>
      </c>
      <c r="B179" s="2312"/>
      <c r="C179" s="1722"/>
      <c r="D179" s="1693" t="s">
        <v>66</v>
      </c>
      <c r="E179" s="1693" t="s">
        <v>65</v>
      </c>
      <c r="F179" s="1693" t="s">
        <v>64</v>
      </c>
    </row>
    <row r="180" spans="1:6" x14ac:dyDescent="0.25">
      <c r="A180" s="132" t="s">
        <v>1753</v>
      </c>
      <c r="B180" s="905" t="s">
        <v>33</v>
      </c>
      <c r="C180" s="1722"/>
      <c r="D180" s="658"/>
      <c r="E180" s="658" t="s">
        <v>1840</v>
      </c>
      <c r="F180" s="658" t="s">
        <v>1796</v>
      </c>
    </row>
    <row r="181" spans="1:6" x14ac:dyDescent="0.25">
      <c r="A181" s="132" t="s">
        <v>1754</v>
      </c>
      <c r="B181" s="905" t="s">
        <v>34</v>
      </c>
      <c r="C181" s="1722"/>
      <c r="D181" s="658"/>
      <c r="E181" s="658" t="s">
        <v>1840</v>
      </c>
      <c r="F181" s="658" t="s">
        <v>1796</v>
      </c>
    </row>
    <row r="182" spans="1:6" ht="15.75" x14ac:dyDescent="0.25">
      <c r="A182" s="2311" t="str">
        <f>A84</f>
        <v>Чертеж установки технических средств (СА)</v>
      </c>
      <c r="B182" s="2312"/>
      <c r="C182" s="1722"/>
      <c r="D182" s="1693" t="s">
        <v>66</v>
      </c>
      <c r="E182" s="1693" t="s">
        <v>65</v>
      </c>
      <c r="F182" s="1693" t="s">
        <v>64</v>
      </c>
    </row>
    <row r="183" spans="1:6" x14ac:dyDescent="0.25">
      <c r="A183" s="132" t="s">
        <v>1755</v>
      </c>
      <c r="B183" s="905" t="s">
        <v>33</v>
      </c>
      <c r="C183" s="1722"/>
      <c r="D183" s="658" t="s">
        <v>1840</v>
      </c>
      <c r="E183" s="658" t="s">
        <v>1840</v>
      </c>
      <c r="F183" s="658" t="s">
        <v>1796</v>
      </c>
    </row>
    <row r="184" spans="1:6" x14ac:dyDescent="0.25">
      <c r="A184" s="132" t="s">
        <v>1756</v>
      </c>
      <c r="B184" s="905" t="s">
        <v>34</v>
      </c>
      <c r="C184" s="1722"/>
      <c r="D184" s="658" t="s">
        <v>1840</v>
      </c>
      <c r="E184" s="658" t="s">
        <v>1840</v>
      </c>
      <c r="F184" s="658" t="s">
        <v>1796</v>
      </c>
    </row>
    <row r="185" spans="1:6" ht="15.75" x14ac:dyDescent="0.25">
      <c r="A185" s="2311" t="str">
        <f>A88</f>
        <v xml:space="preserve">Ведомость эксплуатационных документов </v>
      </c>
      <c r="B185" s="2312"/>
      <c r="C185" s="1722"/>
      <c r="D185" s="1693" t="s">
        <v>66</v>
      </c>
      <c r="E185" s="1693" t="s">
        <v>65</v>
      </c>
      <c r="F185" s="1693" t="s">
        <v>64</v>
      </c>
    </row>
    <row r="186" spans="1:6" x14ac:dyDescent="0.25">
      <c r="A186" s="132" t="s">
        <v>1757</v>
      </c>
      <c r="B186" s="905" t="s">
        <v>33</v>
      </c>
      <c r="C186" s="1722"/>
      <c r="D186" s="658"/>
      <c r="E186" s="1381"/>
      <c r="F186" s="1381"/>
    </row>
    <row r="187" spans="1:6" x14ac:dyDescent="0.25">
      <c r="A187" s="132" t="s">
        <v>1758</v>
      </c>
      <c r="B187" s="905" t="s">
        <v>34</v>
      </c>
      <c r="C187" s="1722"/>
      <c r="D187" s="658"/>
      <c r="E187" s="1381"/>
      <c r="F187" s="1381"/>
    </row>
    <row r="188" spans="1:6" ht="15.75" x14ac:dyDescent="0.25">
      <c r="A188" s="2311" t="str">
        <f>A91</f>
        <v>Руководство администратора</v>
      </c>
      <c r="B188" s="2312"/>
      <c r="C188" s="1722"/>
      <c r="D188" s="1693" t="s">
        <v>66</v>
      </c>
      <c r="E188" s="1693" t="s">
        <v>65</v>
      </c>
      <c r="F188" s="1693" t="s">
        <v>64</v>
      </c>
    </row>
    <row r="189" spans="1:6" x14ac:dyDescent="0.25">
      <c r="A189" s="132" t="s">
        <v>1759</v>
      </c>
      <c r="B189" s="905" t="s">
        <v>33</v>
      </c>
      <c r="C189" s="1722"/>
      <c r="D189" s="658"/>
      <c r="E189" s="658"/>
      <c r="F189" s="658" t="s">
        <v>1805</v>
      </c>
    </row>
    <row r="190" spans="1:6" x14ac:dyDescent="0.25">
      <c r="A190" s="132" t="s">
        <v>1760</v>
      </c>
      <c r="B190" s="905" t="s">
        <v>34</v>
      </c>
      <c r="C190" s="1722"/>
      <c r="D190" s="658"/>
      <c r="E190" s="658"/>
      <c r="F190" s="658" t="s">
        <v>1806</v>
      </c>
    </row>
    <row r="191" spans="1:6" ht="15.75" x14ac:dyDescent="0.25">
      <c r="A191" s="2311" t="str">
        <f>A94</f>
        <v xml:space="preserve">Руководство пользователя </v>
      </c>
      <c r="B191" s="2312"/>
      <c r="C191" s="1722"/>
      <c r="D191" s="1693" t="s">
        <v>66</v>
      </c>
      <c r="E191" s="1693" t="s">
        <v>65</v>
      </c>
      <c r="F191" s="1693" t="s">
        <v>64</v>
      </c>
    </row>
    <row r="192" spans="1:6" x14ac:dyDescent="0.25">
      <c r="A192" s="132" t="s">
        <v>1761</v>
      </c>
      <c r="B192" s="905" t="s">
        <v>33</v>
      </c>
      <c r="C192" s="1722"/>
      <c r="D192" s="658"/>
      <c r="E192" s="658"/>
      <c r="F192" s="658" t="s">
        <v>1801</v>
      </c>
    </row>
    <row r="193" spans="1:6" x14ac:dyDescent="0.25">
      <c r="A193" s="132" t="s">
        <v>1762</v>
      </c>
      <c r="B193" s="905" t="s">
        <v>34</v>
      </c>
      <c r="C193" s="1722"/>
      <c r="D193" s="658"/>
      <c r="E193" s="658"/>
      <c r="F193" s="658" t="s">
        <v>1807</v>
      </c>
    </row>
    <row r="194" spans="1:6" ht="15.75" x14ac:dyDescent="0.25">
      <c r="A194" s="2311" t="str">
        <f>A97</f>
        <v>Руководство по мониторингу</v>
      </c>
      <c r="B194" s="2312"/>
      <c r="C194" s="1722"/>
      <c r="D194" s="1693" t="s">
        <v>66</v>
      </c>
      <c r="E194" s="1693" t="s">
        <v>65</v>
      </c>
      <c r="F194" s="1693" t="s">
        <v>64</v>
      </c>
    </row>
    <row r="195" spans="1:6" x14ac:dyDescent="0.25">
      <c r="A195" s="132" t="s">
        <v>1763</v>
      </c>
      <c r="B195" s="905" t="s">
        <v>33</v>
      </c>
      <c r="C195" s="1722"/>
      <c r="D195" s="658"/>
      <c r="E195" s="658"/>
      <c r="F195" s="658" t="s">
        <v>1805</v>
      </c>
    </row>
    <row r="196" spans="1:6" x14ac:dyDescent="0.25">
      <c r="A196" s="132" t="s">
        <v>1764</v>
      </c>
      <c r="B196" s="905" t="s">
        <v>34</v>
      </c>
      <c r="C196" s="1722"/>
      <c r="D196" s="658"/>
      <c r="E196" s="658"/>
      <c r="F196" s="658" t="s">
        <v>1806</v>
      </c>
    </row>
    <row r="197" spans="1:6" ht="15.75" x14ac:dyDescent="0.25">
      <c r="A197" s="2311" t="str">
        <f>A100</f>
        <v>План резервного копирования</v>
      </c>
      <c r="B197" s="2312"/>
      <c r="C197" s="1722"/>
      <c r="D197" s="1693" t="s">
        <v>66</v>
      </c>
      <c r="E197" s="1693" t="s">
        <v>65</v>
      </c>
      <c r="F197" s="1693" t="s">
        <v>64</v>
      </c>
    </row>
    <row r="198" spans="1:6" x14ac:dyDescent="0.25">
      <c r="A198" s="132" t="s">
        <v>1765</v>
      </c>
      <c r="B198" s="905" t="s">
        <v>33</v>
      </c>
      <c r="C198" s="1722"/>
      <c r="D198" s="658"/>
      <c r="E198" s="658" t="s">
        <v>1840</v>
      </c>
      <c r="F198" s="658" t="s">
        <v>1805</v>
      </c>
    </row>
    <row r="199" spans="1:6" x14ac:dyDescent="0.25">
      <c r="A199" s="132" t="s">
        <v>1766</v>
      </c>
      <c r="B199" s="905" t="s">
        <v>34</v>
      </c>
      <c r="C199" s="1722"/>
      <c r="D199" s="658"/>
      <c r="E199" s="658" t="s">
        <v>1840</v>
      </c>
      <c r="F199" s="658" t="s">
        <v>1806</v>
      </c>
    </row>
    <row r="200" spans="1:6" ht="15.75" x14ac:dyDescent="0.25">
      <c r="A200" s="2311" t="str">
        <f>A103</f>
        <v>План опытной эксплуатации</v>
      </c>
      <c r="B200" s="2312"/>
      <c r="C200" s="1722"/>
      <c r="D200" s="1693" t="s">
        <v>66</v>
      </c>
      <c r="E200" s="1693" t="s">
        <v>65</v>
      </c>
      <c r="F200" s="1693" t="s">
        <v>64</v>
      </c>
    </row>
    <row r="201" spans="1:6" x14ac:dyDescent="0.25">
      <c r="A201" s="132" t="s">
        <v>1767</v>
      </c>
      <c r="B201" s="905" t="s">
        <v>33</v>
      </c>
      <c r="C201" s="1722"/>
      <c r="D201" s="658"/>
      <c r="E201" s="658"/>
      <c r="F201" s="658" t="s">
        <v>1805</v>
      </c>
    </row>
    <row r="202" spans="1:6" x14ac:dyDescent="0.25">
      <c r="A202" s="132" t="s">
        <v>1768</v>
      </c>
      <c r="B202" s="905" t="s">
        <v>34</v>
      </c>
      <c r="C202" s="1722"/>
      <c r="D202" s="658"/>
      <c r="E202" s="658"/>
      <c r="F202" s="658" t="s">
        <v>1806</v>
      </c>
    </row>
  </sheetData>
  <autoFilter ref="A2:O105" xr:uid="{00000000-0001-0000-6000-000000000000}"/>
  <mergeCells count="69">
    <mergeCell ref="A188:B188"/>
    <mergeCell ref="A191:B191"/>
    <mergeCell ref="A194:B194"/>
    <mergeCell ref="A197:B197"/>
    <mergeCell ref="A200:B200"/>
    <mergeCell ref="A173:B173"/>
    <mergeCell ref="A176:B176"/>
    <mergeCell ref="A179:B179"/>
    <mergeCell ref="A182:B182"/>
    <mergeCell ref="A185:B185"/>
    <mergeCell ref="A158:B158"/>
    <mergeCell ref="A161:B161"/>
    <mergeCell ref="A164:B164"/>
    <mergeCell ref="A167:B167"/>
    <mergeCell ref="A170:B170"/>
    <mergeCell ref="A143:B143"/>
    <mergeCell ref="A146:B146"/>
    <mergeCell ref="A149:B149"/>
    <mergeCell ref="A152:B152"/>
    <mergeCell ref="A155:B155"/>
    <mergeCell ref="A128:B128"/>
    <mergeCell ref="A131:B131"/>
    <mergeCell ref="A134:B134"/>
    <mergeCell ref="A137:B137"/>
    <mergeCell ref="A140:B140"/>
    <mergeCell ref="A113:B113"/>
    <mergeCell ref="A116:B116"/>
    <mergeCell ref="A119:B119"/>
    <mergeCell ref="A122:B122"/>
    <mergeCell ref="A125:B125"/>
    <mergeCell ref="A25:A27"/>
    <mergeCell ref="D1:G1"/>
    <mergeCell ref="H1:K1"/>
    <mergeCell ref="L1:O1"/>
    <mergeCell ref="C2:C3"/>
    <mergeCell ref="G2:G3"/>
    <mergeCell ref="K2:K3"/>
    <mergeCell ref="O2:O3"/>
    <mergeCell ref="A8:A10"/>
    <mergeCell ref="A12:A14"/>
    <mergeCell ref="A16:A18"/>
    <mergeCell ref="A19:A21"/>
    <mergeCell ref="A22:A24"/>
    <mergeCell ref="A5:A7"/>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97:A99"/>
    <mergeCell ref="A100:A102"/>
    <mergeCell ref="A103:A105"/>
    <mergeCell ref="A78:A80"/>
    <mergeCell ref="A81:A83"/>
    <mergeCell ref="A84:A86"/>
    <mergeCell ref="A88:A90"/>
    <mergeCell ref="A91:A93"/>
    <mergeCell ref="A94:A96"/>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DO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Служебный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2024-11-29T14:29:37Z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