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BR\"/>
    </mc:Choice>
  </mc:AlternateContent>
  <xr:revisionPtr revIDLastSave="0" documentId="13_ncr:1_{43BE598E-853A-4FAC-B96F-1CC88A337070}" xr6:coauthVersionLast="32" xr6:coauthVersionMax="32" xr10:uidLastSave="{00000000-0000-0000-0000-000000000000}"/>
  <bookViews>
    <workbookView xWindow="0" yWindow="0" windowWidth="20490" windowHeight="7545" activeTab="2" xr2:uid="{00000000-000D-0000-FFFF-FFFF00000000}"/>
  </bookViews>
  <sheets>
    <sheet name="Instructions" sheetId="7" r:id="rId1"/>
    <sheet name="BOM" sheetId="8" r:id="rId2"/>
    <sheet name="BR A0002" sheetId="1" r:id="rId3"/>
    <sheet name="BR 02001" sheetId="2" r:id="rId4"/>
    <sheet name="BR 02002" sheetId="13" r:id="rId5"/>
    <sheet name="BR 02003" sheetId="10" r:id="rId6"/>
    <sheet name="BR 02004" sheetId="11" r:id="rId7"/>
    <sheet name="dBR 02002" sheetId="9" r:id="rId8"/>
    <sheet name="dBR 02004" sheetId="14" r:id="rId9"/>
  </sheets>
  <definedNames>
    <definedName name="BR_02001">'BR 02001'!$B$6</definedName>
    <definedName name="BR_02001_m">'BR 02001'!$N$12</definedName>
    <definedName name="BR_02001_p">'BR 02001'!$I$17</definedName>
    <definedName name="BR_02001_q">'BR 02001'!$N$3</definedName>
    <definedName name="BR_02002">'BR 02002'!$B$6</definedName>
    <definedName name="BR_02002_m">'BR 02002'!$N$12</definedName>
    <definedName name="BR_02002_p">'BR 02002'!$I$17</definedName>
    <definedName name="BR_02002_q">'BR 02002'!$N$3</definedName>
    <definedName name="BR_02003">'BR 02003'!$B$6</definedName>
    <definedName name="BR_02003_m">'BR 02003'!$N$12</definedName>
    <definedName name="BR_02003_p">'BR 02003'!$I$17</definedName>
    <definedName name="BR_02003_q">'BR 02003'!$N$3</definedName>
    <definedName name="BR_02004">'BR 02004'!$B$6</definedName>
    <definedName name="BR_02004_m">'BR 02004'!$N$12</definedName>
    <definedName name="BR_02004_p">'BR 02004'!$I$17</definedName>
    <definedName name="BR_02004_q">'BR 02004'!$N$3</definedName>
    <definedName name="BR_A0002">'BR A0002'!$B$5</definedName>
    <definedName name="BR_A0002_f">'BR A0002'!$J$37</definedName>
    <definedName name="BR_A0002_m">'BR A0002'!$N$19</definedName>
    <definedName name="BR_A0002_p">'BR A0002'!$I$30</definedName>
    <definedName name="BR_A0002_pa">'BR A0002'!$E$14</definedName>
    <definedName name="BR_A0002_q">'BR A0002'!$N$3</definedName>
    <definedName name="dBR_02002">'dBR 02002'!$B$1</definedName>
    <definedName name="dBR_02004">'dBR 02004'!$B$1</definedName>
  </definedNames>
  <calcPr calcId="179017" iterateDelta="1E-4"/>
</workbook>
</file>

<file path=xl/calcChain.xml><?xml version="1.0" encoding="utf-8"?>
<calcChain xmlns="http://schemas.openxmlformats.org/spreadsheetml/2006/main">
  <c r="H15" i="11" l="1"/>
  <c r="E18" i="1"/>
  <c r="H15" i="2"/>
  <c r="H15" i="13"/>
  <c r="I9" i="8" l="1"/>
  <c r="I10" i="8"/>
  <c r="I11" i="8"/>
  <c r="I8" i="8"/>
  <c r="C11" i="8"/>
  <c r="C10" i="8"/>
  <c r="C9" i="8"/>
  <c r="C8" i="8"/>
  <c r="C7" i="8"/>
  <c r="F11" i="8"/>
  <c r="F10" i="8"/>
  <c r="F9" i="8"/>
  <c r="F8" i="8"/>
  <c r="B4" i="2"/>
  <c r="F7" i="8"/>
  <c r="E10" i="8" s="1"/>
  <c r="D13" i="1"/>
  <c r="D12" i="1"/>
  <c r="D11" i="1"/>
  <c r="D10" i="1"/>
  <c r="N18" i="1"/>
  <c r="B12" i="1"/>
  <c r="B11" i="1"/>
  <c r="B13" i="1"/>
  <c r="J11" i="11"/>
  <c r="E11" i="11" s="1"/>
  <c r="J11" i="13"/>
  <c r="E11" i="8" l="1"/>
  <c r="E9" i="8"/>
  <c r="E11" i="10"/>
  <c r="I16" i="13" l="1"/>
  <c r="I15" i="13"/>
  <c r="B4" i="13"/>
  <c r="B3" i="13"/>
  <c r="I25" i="1"/>
  <c r="I26" i="1"/>
  <c r="I27" i="1"/>
  <c r="D35" i="1"/>
  <c r="D33" i="1"/>
  <c r="J11" i="2"/>
  <c r="E11" i="2" s="1"/>
  <c r="I16" i="11"/>
  <c r="I15" i="11"/>
  <c r="N11" i="11"/>
  <c r="N12" i="11" s="1"/>
  <c r="J11" i="8" s="1"/>
  <c r="B4" i="11"/>
  <c r="B3" i="11"/>
  <c r="I16" i="10"/>
  <c r="I15" i="10"/>
  <c r="N11" i="10"/>
  <c r="N12" i="10" s="1"/>
  <c r="B4" i="10"/>
  <c r="B3" i="10"/>
  <c r="J10" i="8" l="1"/>
  <c r="I17" i="11"/>
  <c r="I17" i="13"/>
  <c r="I17" i="10"/>
  <c r="K10" i="8" s="1"/>
  <c r="B8" i="8"/>
  <c r="N2" i="10" l="1"/>
  <c r="N5" i="10" s="1"/>
  <c r="K11" i="8"/>
  <c r="N2" i="11"/>
  <c r="N5" i="11" s="1"/>
  <c r="K9" i="8"/>
  <c r="C12" i="1"/>
  <c r="E12" i="1" s="1"/>
  <c r="B3" i="2"/>
  <c r="I7" i="8"/>
  <c r="B18" i="8"/>
  <c r="B9" i="8"/>
  <c r="B10" i="8"/>
  <c r="B11" i="8"/>
  <c r="B12" i="8"/>
  <c r="B13" i="8"/>
  <c r="B14" i="8"/>
  <c r="B15" i="8"/>
  <c r="B16" i="8"/>
  <c r="B17" i="8"/>
  <c r="B7" i="8"/>
  <c r="C13" i="1" l="1"/>
  <c r="E13" i="1" s="1"/>
  <c r="E8" i="8"/>
  <c r="H10" i="8" l="1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6" i="2"/>
  <c r="I15" i="2"/>
  <c r="N11" i="2"/>
  <c r="N12" i="2" s="1"/>
  <c r="J36" i="1"/>
  <c r="J35" i="1"/>
  <c r="J34" i="1"/>
  <c r="J33" i="1"/>
  <c r="I29" i="1"/>
  <c r="I28" i="1"/>
  <c r="I24" i="1"/>
  <c r="I23" i="1"/>
  <c r="I22" i="1"/>
  <c r="N17" i="1"/>
  <c r="N19" i="1" s="1"/>
  <c r="B10" i="1"/>
  <c r="I30" i="1" l="1"/>
  <c r="J37" i="1"/>
  <c r="L7" i="8"/>
  <c r="J8" i="8"/>
  <c r="K7" i="8"/>
  <c r="M18" i="8"/>
  <c r="I17" i="2"/>
  <c r="N2" i="2" s="1"/>
  <c r="L18" i="8" l="1"/>
  <c r="K8" i="8"/>
  <c r="K18" i="8" s="1"/>
  <c r="C10" i="1"/>
  <c r="E10" i="1" s="1"/>
  <c r="J7" i="8"/>
  <c r="H7" i="8" s="1"/>
  <c r="N7" i="8" s="1"/>
  <c r="O1" i="8"/>
  <c r="H8" i="8" l="1"/>
  <c r="N8" i="8" s="1"/>
  <c r="N5" i="2"/>
  <c r="E11" i="13" l="1"/>
  <c r="N11" i="13"/>
  <c r="N12" i="13" s="1"/>
  <c r="J9" i="8" l="1"/>
  <c r="N2" i="13"/>
  <c r="C11" i="1" s="1"/>
  <c r="E11" i="1" s="1"/>
  <c r="E14" i="1" s="1"/>
  <c r="N2" i="1" s="1"/>
  <c r="N5" i="1" s="1"/>
  <c r="H9" i="8" l="1"/>
  <c r="N9" i="8" s="1"/>
  <c r="N18" i="8" s="1"/>
  <c r="J18" i="8"/>
  <c r="N5" i="13"/>
</calcChain>
</file>

<file path=xl/sharedStrings.xml><?xml version="1.0" encoding="utf-8"?>
<sst xmlns="http://schemas.openxmlformats.org/spreadsheetml/2006/main" count="454" uniqueCount="190">
  <si>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</si>
  <si>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</si>
  <si>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</si>
  <si>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</si>
  <si>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</si>
  <si>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</si>
  <si>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</si>
  <si>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</si>
  <si>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</si>
  <si>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</si>
  <si>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</si>
  <si>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</si>
  <si>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</si>
  <si>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</si>
  <si>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</si>
  <si>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</si>
  <si>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</si>
  <si>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</si>
  <si>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</si>
  <si>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</si>
  <si>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</si>
  <si>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</si>
  <si>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</si>
  <si>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</si>
  <si>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</si>
  <si>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</si>
  <si>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</si>
  <si>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</si>
  <si>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</si>
  <si>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</si>
  <si>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</si>
  <si>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</si>
  <si>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</si>
  <si>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</si>
  <si>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</si>
  <si>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</si>
  <si>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</si>
  <si>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</si>
  <si>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</si>
  <si>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Retaining Ring, External</t>
  </si>
  <si>
    <t>Ecole Centrale de Lyon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</si>
  <si>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</si>
  <si>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</si>
  <si>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</si>
  <si>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</si>
  <si>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</si>
  <si>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</si>
  <si>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</si>
  <si>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</si>
  <si>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</si>
  <si>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</si>
  <si>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</si>
  <si>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</si>
  <si>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</si>
  <si>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</si>
  <si>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</si>
  <si>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</si>
  <si>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</si>
  <si>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</si>
  <si>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</si>
  <si>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</si>
  <si>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</si>
  <si>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</si>
  <si>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</si>
  <si>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</si>
  <si>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</si>
  <si>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</si>
  <si>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</si>
  <si>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</si>
  <si>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</si>
  <si>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</si>
  <si>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</si>
  <si>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</si>
  <si>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</si>
  <si>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</si>
  <si>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</si>
  <si>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</si>
  <si>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</si>
  <si>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</si>
  <si>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</si>
  <si>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</si>
  <si>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</si>
  <si>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</si>
  <si>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</si>
  <si>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</si>
  <si>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</si>
  <si>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</si>
  <si>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</si>
  <si>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</si>
  <si>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</si>
  <si>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</si>
  <si>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</si>
  <si>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</si>
  <si>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</si>
  <si>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</si>
  <si>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</si>
  <si>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</si>
  <si>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</si>
  <si>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</si>
  <si>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</si>
  <si>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</si>
  <si>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</si>
  <si>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</si>
  <si>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Brake System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</si>
  <si>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</si>
  <si>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</si>
  <si>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</si>
  <si>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</si>
  <si>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</si>
  <si>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</si>
  <si>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</si>
  <si>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</si>
  <si>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</si>
  <si>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</si>
  <si>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</si>
  <si>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</si>
  <si>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</si>
  <si>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</si>
  <si>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</si>
  <si>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</si>
  <si>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</si>
  <si>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</si>
  <si>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</si>
  <si>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</si>
  <si>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</si>
  <si>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</si>
  <si>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</si>
  <si>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</si>
  <si>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</si>
  <si>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</si>
  <si>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</si>
  <si>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</si>
  <si>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</si>
  <si>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</si>
  <si>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</si>
  <si>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</si>
  <si>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</si>
  <si>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</si>
  <si>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</si>
  <si>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Brake Rotor</t>
  </si>
  <si>
    <t>Bought, cost as made</t>
  </si>
  <si>
    <t>Setup for laser cut</t>
  </si>
  <si>
    <t>Circle area, 230mm diameter</t>
  </si>
  <si>
    <t>kg</t>
  </si>
  <si>
    <t>Brake Caliper, Beringer 2D1</t>
  </si>
  <si>
    <t>Brake Caliper (in reality Beringer 2P1A is used)</t>
  </si>
  <si>
    <t>Brake Pad, Iron or Steel Rotor</t>
  </si>
  <si>
    <t>mm^3</t>
  </si>
  <si>
    <t>Brake Pad</t>
  </si>
  <si>
    <t>Insert Retaining Ring</t>
  </si>
  <si>
    <t>Line up Pad</t>
  </si>
  <si>
    <t>Assemble Brake Rotor onto Hub</t>
  </si>
  <si>
    <t>Bolt Caliper on Upright</t>
  </si>
  <si>
    <t>Assemble, 1kg, Line on Line</t>
  </si>
  <si>
    <t>Assemble, 1kg, Loose</t>
  </si>
  <si>
    <t>Ratchet &lt;= 25.4 mm</t>
  </si>
  <si>
    <t>Safety Wire, Install</t>
  </si>
  <si>
    <t>For Caliper Bolts locking device</t>
  </si>
  <si>
    <t>Bolt Caliper and Spacer on Upright</t>
  </si>
  <si>
    <t>Put Caliper and Spacer in place</t>
  </si>
  <si>
    <t>Machining</t>
  </si>
  <si>
    <t>Setup for machining</t>
  </si>
  <si>
    <t>cm^3</t>
  </si>
  <si>
    <t>Circle Area, 17mm diameter</t>
  </si>
  <si>
    <t>Material - Steel</t>
  </si>
  <si>
    <t>Brake Shrink Disc</t>
  </si>
  <si>
    <t>Circle Area, 164.95mm diameter</t>
  </si>
  <si>
    <t>Allows brake rotor to be mounted floating</t>
  </si>
  <si>
    <t>Brake Bobbin</t>
  </si>
  <si>
    <t>Bobbins between Brake Rotor and Brake Shrink Disc</t>
  </si>
  <si>
    <t>Insert Bobbins and Washer</t>
  </si>
  <si>
    <t>Steel, Mild (per kg)</t>
  </si>
  <si>
    <t>Material for Bobbin</t>
  </si>
  <si>
    <t>Shim between Brake Bobbin and Brake Rotor</t>
  </si>
  <si>
    <t>Secure Brake Bobbin on Brake Rotor</t>
  </si>
  <si>
    <t>Spacer between Caliper and Upright</t>
  </si>
  <si>
    <t>Brake Caliper Spacer</t>
  </si>
  <si>
    <t>Circular, 17mm diameter</t>
  </si>
  <si>
    <t>4 parts cut from a single machine setup</t>
  </si>
  <si>
    <t>Circular sector</t>
  </si>
  <si>
    <t>Assemble Brake Rotor and Shrink Disc</t>
  </si>
  <si>
    <t>Stock material for caliper spacer</t>
  </si>
  <si>
    <t>BR 02001</t>
  </si>
  <si>
    <t>BR A0002</t>
  </si>
  <si>
    <t>BR 02003</t>
  </si>
  <si>
    <t>BR 02004</t>
  </si>
  <si>
    <t>BR 02002</t>
  </si>
  <si>
    <t>Rear Brake Rotor</t>
  </si>
  <si>
    <t>Rear Brake Rotor assembly</t>
  </si>
  <si>
    <t>8 parts cut from a single machine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</si>
</sst>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0.000"/>
    <numFmt numFmtId="175" formatCode="_-* #,##0.000\ _€_-;\-* #,##0.000\ _€_-;_-* &quot;-&quot;???\ _€_-;_-@_-"/>
    <numFmt numFmtId="176" formatCode="0.000E+00"/>
    <numFmt numFmtId="177" formatCode="0.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6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69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6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9" fillId="0" borderId="0" xfId="0" applyFont="1"/>
    <xf numFmtId="0" fontId="18" fillId="0" borderId="0" xfId="8"/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0" fontId="11" fillId="7" borderId="3" xfId="1" applyFont="1" applyFill="1" applyBorder="1" applyAlignment="1">
      <alignment horizontal="center"/>
    </xf>
    <xf numFmtId="11" fontId="11" fillId="7" borderId="3" xfId="1" applyNumberFormat="1" applyFont="1" applyFill="1" applyBorder="1" applyAlignment="1" applyProtection="1">
      <protection locked="0"/>
    </xf>
    <xf numFmtId="0" fontId="11" fillId="7" borderId="3" xfId="1" applyFont="1" applyFill="1" applyBorder="1" applyAlignment="1" applyProtection="1">
      <alignment horizontal="center"/>
      <protection locked="0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0" fontId="11" fillId="8" borderId="3" xfId="1" applyFont="1" applyFill="1" applyBorder="1" applyAlignment="1">
      <alignment horizontal="center"/>
    </xf>
    <xf numFmtId="0" fontId="3" fillId="9" borderId="16" xfId="0" applyFont="1" applyFill="1" applyBorder="1"/>
    <xf numFmtId="0" fontId="3" fillId="9" borderId="0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8" borderId="3" xfId="5" applyNumberFormat="1" applyFont="1" applyFill="1" applyBorder="1" applyProtection="1">
      <protection locked="0"/>
    </xf>
    <xf numFmtId="172" fontId="11" fillId="7" borderId="3" xfId="5" applyNumberFormat="1" applyFont="1" applyFill="1" applyBorder="1" applyProtection="1">
      <protection locked="0"/>
    </xf>
    <xf numFmtId="172" fontId="11" fillId="8" borderId="3" xfId="1" applyNumberFormat="1" applyFont="1" applyFill="1" applyBorder="1" applyAlignment="1" applyProtection="1">
      <alignment horizontal="center"/>
      <protection locked="0"/>
    </xf>
    <xf numFmtId="172" fontId="11" fillId="8" borderId="3" xfId="1" applyNumberFormat="1" applyFont="1" applyFill="1" applyBorder="1" applyAlignment="1">
      <alignment horizontal="right"/>
    </xf>
    <xf numFmtId="172" fontId="11" fillId="7" borderId="3" xfId="1" applyNumberFormat="1" applyFont="1" applyFill="1" applyBorder="1" applyAlignment="1" applyProtection="1">
      <alignment horizontal="center"/>
      <protection locked="0"/>
    </xf>
    <xf numFmtId="172" fontId="11" fillId="7" borderId="3" xfId="1" applyNumberFormat="1" applyFont="1" applyFill="1" applyBorder="1" applyAlignment="1">
      <alignment horizontal="right"/>
    </xf>
    <xf numFmtId="172" fontId="11" fillId="0" borderId="7" xfId="1" applyNumberFormat="1" applyFont="1" applyFill="1" applyBorder="1" applyAlignment="1">
      <alignment horizontal="right"/>
    </xf>
    <xf numFmtId="174" fontId="4" fillId="0" borderId="3" xfId="7" applyNumberFormat="1" applyFont="1" applyBorder="1" applyAlignment="1" applyProtection="1"/>
    <xf numFmtId="175" fontId="4" fillId="0" borderId="3" xfId="0" applyNumberFormat="1" applyFont="1" applyBorder="1" applyAlignment="1"/>
    <xf numFmtId="176" fontId="4" fillId="0" borderId="3" xfId="7" applyNumberFormat="1" applyFont="1" applyBorder="1" applyAlignment="1" applyProtection="1"/>
    <xf numFmtId="174" fontId="4" fillId="0" borderId="3" xfId="0" applyNumberFormat="1" applyFont="1" applyBorder="1"/>
    <xf numFmtId="0" fontId="4" fillId="0" borderId="0" xfId="8" applyFont="1"/>
    <xf numFmtId="43" fontId="4" fillId="0" borderId="16" xfId="0" applyNumberFormat="1" applyFont="1" applyBorder="1" applyAlignment="1"/>
    <xf numFmtId="0" fontId="4" fillId="0" borderId="28" xfId="0" applyFont="1" applyBorder="1"/>
    <xf numFmtId="165" fontId="4" fillId="0" borderId="29" xfId="7" applyNumberFormat="1" applyFont="1" applyBorder="1" applyAlignment="1" applyProtection="1"/>
    <xf numFmtId="0" fontId="3" fillId="9" borderId="30" xfId="0" applyFont="1" applyFill="1" applyBorder="1"/>
    <xf numFmtId="0" fontId="18" fillId="0" borderId="3" xfId="8" applyBorder="1"/>
    <xf numFmtId="0" fontId="18" fillId="0" borderId="3" xfId="8" quotePrefix="1" applyBorder="1"/>
    <xf numFmtId="18" fontId="11" fillId="7" borderId="3" xfId="1" applyNumberFormat="1" applyFont="1" applyFill="1" applyBorder="1" applyAlignment="1" applyProtection="1">
      <alignment horizontal="left"/>
      <protection locked="0"/>
    </xf>
    <xf numFmtId="177" fontId="4" fillId="0" borderId="3" xfId="0" applyNumberFormat="1" applyFont="1" applyBorder="1"/>
    <xf numFmtId="2" fontId="4" fillId="0" borderId="3" xfId="0" applyNumberFormat="1" applyFont="1" applyBorder="1"/>
    <xf numFmtId="174" fontId="4" fillId="0" borderId="3" xfId="0" applyNumberFormat="1" applyFont="1" applyBorder="1" applyAlignment="1"/>
    <xf numFmtId="176" fontId="4" fillId="0" borderId="16" xfId="7" applyNumberFormat="1" applyFont="1" applyBorder="1" applyAlignment="1" applyProtection="1"/>
    <xf numFmtId="0" fontId="18" fillId="7" borderId="3" xfId="8" applyFill="1" applyBorder="1"/>
    <xf numFmtId="0" fontId="18" fillId="8" borderId="0" xfId="8" applyFill="1"/>
    <xf numFmtId="173" fontId="4" fillId="0" borderId="3" xfId="0" applyNumberFormat="1" applyFont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  <color rgb="FF66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BR 02002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'BR 0200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12</xdr:row>
      <xdr:rowOff>127000</xdr:rowOff>
    </xdr:from>
    <xdr:to>
      <xdr:col>13</xdr:col>
      <xdr:colOff>167992</xdr:colOff>
      <xdr:row>25</xdr:row>
      <xdr:rowOff>88899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20500" y="2413000"/>
          <a:ext cx="2441292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165101</xdr:colOff>
      <xdr:row>12</xdr:row>
      <xdr:rowOff>139700</xdr:rowOff>
    </xdr:from>
    <xdr:to>
      <xdr:col>13</xdr:col>
      <xdr:colOff>26867</xdr:colOff>
      <xdr:row>25</xdr:row>
      <xdr:rowOff>132347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1" y="2425700"/>
          <a:ext cx="2516066" cy="2469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12</xdr:row>
      <xdr:rowOff>63500</xdr:rowOff>
    </xdr:from>
    <xdr:to>
      <xdr:col>11</xdr:col>
      <xdr:colOff>261979</xdr:colOff>
      <xdr:row>18</xdr:row>
      <xdr:rowOff>43519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2500" y="2349500"/>
          <a:ext cx="1189079" cy="11230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13</xdr:row>
      <xdr:rowOff>50800</xdr:rowOff>
    </xdr:from>
    <xdr:to>
      <xdr:col>12</xdr:col>
      <xdr:colOff>113314</xdr:colOff>
      <xdr:row>21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9900" y="2527300"/>
          <a:ext cx="1573814" cy="1587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447674</xdr:colOff>
      <xdr:row>1</xdr:row>
      <xdr:rowOff>104329</xdr:rowOff>
    </xdr:from>
    <xdr:to>
      <xdr:col>6</xdr:col>
      <xdr:colOff>733424</xdr:colOff>
      <xdr:row>20</xdr:row>
      <xdr:rowOff>7626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4" y="294829"/>
          <a:ext cx="4981575" cy="35227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104775</xdr:rowOff>
    </xdr:from>
    <xdr:to>
      <xdr:col>3</xdr:col>
      <xdr:colOff>498871</xdr:colOff>
      <xdr:row>20</xdr:row>
      <xdr:rowOff>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5" y="295275"/>
          <a:ext cx="2480071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46" workbookViewId="0">
      <selection activeCell="C79" sqref="C79"/>
    </sheetView>
  </sheetViews>
  <sheetFormatPr baseColWidth="10" defaultRowHeight="15" x14ac:dyDescent="0.25"/>
  <sheetData>
    <row r="1" spans="1:2" x14ac:dyDescent="0.25">
      <c r="A1" s="132" t="s">
        <v>137</v>
      </c>
    </row>
    <row r="3" spans="1:2" x14ac:dyDescent="0.25">
      <c r="A3" s="131" t="s">
        <v>68</v>
      </c>
      <c r="B3" s="103" t="s">
        <v>69</v>
      </c>
    </row>
    <row r="5" spans="1:2" x14ac:dyDescent="0.25">
      <c r="A5" t="s">
        <v>105</v>
      </c>
    </row>
    <row r="6" spans="1:2" x14ac:dyDescent="0.25">
      <c r="A6" t="s">
        <v>106</v>
      </c>
    </row>
    <row r="7" spans="1:2" x14ac:dyDescent="0.25">
      <c r="A7" t="s">
        <v>113</v>
      </c>
    </row>
    <row r="8" spans="1:2" x14ac:dyDescent="0.25">
      <c r="A8" t="s">
        <v>110</v>
      </c>
    </row>
    <row r="9" spans="1:2" x14ac:dyDescent="0.25">
      <c r="A9" t="s">
        <v>70</v>
      </c>
    </row>
    <row r="10" spans="1:2" x14ac:dyDescent="0.25">
      <c r="A10" s="103" t="s">
        <v>100</v>
      </c>
    </row>
    <row r="11" spans="1:2" x14ac:dyDescent="0.25">
      <c r="A11" t="s">
        <v>71</v>
      </c>
    </row>
    <row r="12" spans="1:2" x14ac:dyDescent="0.25">
      <c r="A12" t="s">
        <v>72</v>
      </c>
    </row>
    <row r="14" spans="1:2" x14ac:dyDescent="0.25">
      <c r="A14" t="s">
        <v>104</v>
      </c>
    </row>
    <row r="15" spans="1:2" x14ac:dyDescent="0.25">
      <c r="A15" t="s">
        <v>118</v>
      </c>
    </row>
    <row r="16" spans="1:2" x14ac:dyDescent="0.25">
      <c r="A16" t="s">
        <v>122</v>
      </c>
    </row>
    <row r="18" spans="1:3" x14ac:dyDescent="0.25">
      <c r="A18" s="131" t="s">
        <v>73</v>
      </c>
      <c r="B18" s="103" t="s">
        <v>108</v>
      </c>
      <c r="C18" s="103"/>
    </row>
    <row r="20" spans="1:3" x14ac:dyDescent="0.25">
      <c r="A20" t="s">
        <v>119</v>
      </c>
    </row>
    <row r="21" spans="1:3" x14ac:dyDescent="0.25">
      <c r="A21" t="s">
        <v>138</v>
      </c>
    </row>
    <row r="23" spans="1:3" x14ac:dyDescent="0.25">
      <c r="A23" s="131" t="s">
        <v>75</v>
      </c>
      <c r="B23" s="103" t="s">
        <v>76</v>
      </c>
    </row>
    <row r="25" spans="1:3" x14ac:dyDescent="0.25">
      <c r="A25" t="s">
        <v>130</v>
      </c>
    </row>
    <row r="26" spans="1:3" x14ac:dyDescent="0.25">
      <c r="A26" t="s">
        <v>82</v>
      </c>
    </row>
    <row r="27" spans="1:3" x14ac:dyDescent="0.25">
      <c r="A27" t="s">
        <v>77</v>
      </c>
    </row>
    <row r="28" spans="1:3" x14ac:dyDescent="0.25">
      <c r="A28" t="s">
        <v>114</v>
      </c>
    </row>
    <row r="29" spans="1:3" x14ac:dyDescent="0.25">
      <c r="A29" t="s">
        <v>111</v>
      </c>
    </row>
    <row r="30" spans="1:3" x14ac:dyDescent="0.25">
      <c r="A30" t="s">
        <v>78</v>
      </c>
    </row>
    <row r="31" spans="1:3" x14ac:dyDescent="0.25">
      <c r="A31" s="103" t="s">
        <v>100</v>
      </c>
    </row>
    <row r="32" spans="1:3" x14ac:dyDescent="0.25">
      <c r="A32" t="s">
        <v>112</v>
      </c>
    </row>
    <row r="33" spans="1:2" x14ac:dyDescent="0.25">
      <c r="A33" t="s">
        <v>115</v>
      </c>
    </row>
    <row r="35" spans="1:2" x14ac:dyDescent="0.25">
      <c r="A35" t="s">
        <v>116</v>
      </c>
    </row>
    <row r="36" spans="1:2" x14ac:dyDescent="0.25">
      <c r="A36" t="s">
        <v>117</v>
      </c>
    </row>
    <row r="37" spans="1:2" x14ac:dyDescent="0.25">
      <c r="A37" t="s">
        <v>123</v>
      </c>
    </row>
    <row r="39" spans="1:2" x14ac:dyDescent="0.25">
      <c r="A39" s="131" t="s">
        <v>79</v>
      </c>
      <c r="B39" s="103" t="s">
        <v>74</v>
      </c>
    </row>
    <row r="41" spans="1:2" x14ac:dyDescent="0.25">
      <c r="A41" t="s">
        <v>128</v>
      </c>
    </row>
    <row r="42" spans="1:2" x14ac:dyDescent="0.25">
      <c r="A42" t="s">
        <v>129</v>
      </c>
    </row>
    <row r="43" spans="1:2" x14ac:dyDescent="0.25">
      <c r="A43" t="s">
        <v>107</v>
      </c>
    </row>
    <row r="45" spans="1:2" x14ac:dyDescent="0.25">
      <c r="A45" s="131" t="s">
        <v>80</v>
      </c>
      <c r="B45" s="103" t="s">
        <v>97</v>
      </c>
    </row>
    <row r="47" spans="1:2" x14ac:dyDescent="0.25">
      <c r="A47" t="s">
        <v>131</v>
      </c>
    </row>
    <row r="48" spans="1:2" x14ac:dyDescent="0.25">
      <c r="A48" t="s">
        <v>98</v>
      </c>
    </row>
    <row r="49" spans="1:2" x14ac:dyDescent="0.25">
      <c r="A49" t="s">
        <v>99</v>
      </c>
    </row>
    <row r="50" spans="1:2" x14ac:dyDescent="0.25">
      <c r="A50" t="s">
        <v>120</v>
      </c>
    </row>
    <row r="51" spans="1:2" x14ac:dyDescent="0.25">
      <c r="A51" t="s">
        <v>132</v>
      </c>
    </row>
    <row r="52" spans="1:2" x14ac:dyDescent="0.25">
      <c r="A52" t="s">
        <v>133</v>
      </c>
    </row>
    <row r="53" spans="1:2" x14ac:dyDescent="0.25">
      <c r="A53" t="s">
        <v>101</v>
      </c>
    </row>
    <row r="55" spans="1:2" x14ac:dyDescent="0.25">
      <c r="A55" t="s">
        <v>124</v>
      </c>
    </row>
    <row r="57" spans="1:2" x14ac:dyDescent="0.25">
      <c r="A57" s="131" t="s">
        <v>84</v>
      </c>
      <c r="B57" s="103" t="s">
        <v>81</v>
      </c>
    </row>
    <row r="59" spans="1:2" x14ac:dyDescent="0.25">
      <c r="A59" t="s">
        <v>83</v>
      </c>
    </row>
    <row r="60" spans="1:2" x14ac:dyDescent="0.25">
      <c r="A60" t="s">
        <v>125</v>
      </c>
    </row>
    <row r="61" spans="1:2" x14ac:dyDescent="0.25">
      <c r="A61" t="s">
        <v>121</v>
      </c>
    </row>
    <row r="63" spans="1:2" x14ac:dyDescent="0.25">
      <c r="A63" s="131" t="s">
        <v>96</v>
      </c>
      <c r="B63" s="103" t="s">
        <v>85</v>
      </c>
    </row>
    <row r="65" spans="1:1" x14ac:dyDescent="0.25">
      <c r="A65" t="s">
        <v>86</v>
      </c>
    </row>
    <row r="66" spans="1:1" x14ac:dyDescent="0.25">
      <c r="A66" t="s">
        <v>88</v>
      </c>
    </row>
    <row r="67" spans="1:1" x14ac:dyDescent="0.25">
      <c r="A67" t="s">
        <v>87</v>
      </c>
    </row>
    <row r="68" spans="1:1" x14ac:dyDescent="0.25">
      <c r="A68" t="s">
        <v>89</v>
      </c>
    </row>
    <row r="69" spans="1:1" x14ac:dyDescent="0.25">
      <c r="A69" t="s">
        <v>90</v>
      </c>
    </row>
    <row r="70" spans="1:1" x14ac:dyDescent="0.25">
      <c r="A70" t="s">
        <v>91</v>
      </c>
    </row>
    <row r="71" spans="1:1" x14ac:dyDescent="0.25">
      <c r="A71" t="s">
        <v>126</v>
      </c>
    </row>
    <row r="72" spans="1:1" x14ac:dyDescent="0.25">
      <c r="A72" t="s">
        <v>127</v>
      </c>
    </row>
    <row r="74" spans="1:1" x14ac:dyDescent="0.25">
      <c r="A74" t="s">
        <v>134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126</v>
      </c>
    </row>
    <row r="78" spans="1:1" x14ac:dyDescent="0.25">
      <c r="A78" t="s">
        <v>127</v>
      </c>
    </row>
    <row r="80" spans="1:1" x14ac:dyDescent="0.25">
      <c r="A80" s="103" t="s">
        <v>102</v>
      </c>
    </row>
    <row r="82" spans="1:1" x14ac:dyDescent="0.25">
      <c r="A82" s="132" t="s">
        <v>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32" sqref="F3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6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6" t="s">
        <v>0</v>
      </c>
      <c r="B1" s="135" t="s">
        <v>40</v>
      </c>
      <c r="D1" s="47"/>
      <c r="M1" s="59" t="s">
        <v>49</v>
      </c>
      <c r="N1" s="48"/>
      <c r="O1" s="58" t="e">
        <f>#REF!</f>
        <v>#REF!</v>
      </c>
    </row>
    <row r="2" spans="1:15" s="15" customFormat="1" ht="15.75" thickBot="1" x14ac:dyDescent="0.3">
      <c r="A2" s="54" t="s">
        <v>50</v>
      </c>
      <c r="B2" s="134" t="s">
        <v>135</v>
      </c>
      <c r="C2" s="14"/>
      <c r="F2" s="42"/>
    </row>
    <row r="3" spans="1:15" s="15" customFormat="1" ht="16.5" thickTop="1" thickBot="1" x14ac:dyDescent="0.3">
      <c r="A3" s="55" t="s">
        <v>51</v>
      </c>
      <c r="B3" s="57">
        <v>2018</v>
      </c>
      <c r="C3" s="14"/>
      <c r="F3" s="42"/>
    </row>
    <row r="4" spans="1:15" s="15" customFormat="1" ht="16.5" thickTop="1" thickBot="1" x14ac:dyDescent="0.3">
      <c r="A4" s="53" t="s">
        <v>1</v>
      </c>
      <c r="B4" s="133">
        <v>81</v>
      </c>
      <c r="C4" s="14"/>
      <c r="D4" s="47" t="s">
        <v>52</v>
      </c>
      <c r="F4" s="42"/>
    </row>
    <row r="5" spans="1:15" s="40" customFormat="1" ht="15.75" thickTop="1" x14ac:dyDescent="0.25">
      <c r="A5" s="39"/>
      <c r="B5" s="43"/>
      <c r="C5" s="41"/>
      <c r="F5" s="44"/>
    </row>
    <row r="6" spans="1:15" s="38" customFormat="1" ht="49.5" customHeight="1" x14ac:dyDescent="0.25">
      <c r="A6" s="37" t="s">
        <v>53</v>
      </c>
      <c r="B6" s="50" t="s">
        <v>54</v>
      </c>
      <c r="C6" s="50" t="s">
        <v>55</v>
      </c>
      <c r="D6" s="50" t="s">
        <v>56</v>
      </c>
      <c r="E6" s="50" t="s">
        <v>57</v>
      </c>
      <c r="F6" s="50" t="s">
        <v>58</v>
      </c>
      <c r="G6" s="50" t="s">
        <v>59</v>
      </c>
      <c r="H6" s="52" t="s">
        <v>60</v>
      </c>
      <c r="I6" s="50" t="s">
        <v>17</v>
      </c>
      <c r="J6" s="50" t="s">
        <v>61</v>
      </c>
      <c r="K6" s="50" t="s">
        <v>62</v>
      </c>
      <c r="L6" s="50" t="s">
        <v>63</v>
      </c>
      <c r="M6" s="50" t="s">
        <v>64</v>
      </c>
      <c r="N6" s="51" t="s">
        <v>65</v>
      </c>
      <c r="O6" s="50" t="s">
        <v>66</v>
      </c>
    </row>
    <row r="7" spans="1:15" ht="15" x14ac:dyDescent="0.25">
      <c r="A7" s="112"/>
      <c r="B7" s="113" t="str">
        <f>'BR A0002'!B3</f>
        <v>Brake System</v>
      </c>
      <c r="C7" s="114" t="str">
        <f>BR_A0002</f>
        <v>BR A0002</v>
      </c>
      <c r="D7" s="114" t="s">
        <v>11</v>
      </c>
      <c r="E7" s="114"/>
      <c r="F7" s="161" t="str">
        <f>'BR A0002'!B4</f>
        <v>Rear Brake Rotor</v>
      </c>
      <c r="G7" s="114"/>
      <c r="H7" s="137">
        <f t="shared" ref="H7:H17" si="0">SUM(J7:M7)</f>
        <v>89.742665746687933</v>
      </c>
      <c r="I7" s="115">
        <f>BR_A0002_q</f>
        <v>2</v>
      </c>
      <c r="J7" s="139">
        <f>BR_A0002_m</f>
        <v>84.708956000000001</v>
      </c>
      <c r="K7" s="139">
        <f>BR_A0002_p</f>
        <v>4.42</v>
      </c>
      <c r="L7" s="139">
        <f>BR_A0002_f</f>
        <v>0.61370974668793365</v>
      </c>
      <c r="M7" s="139">
        <v>0</v>
      </c>
      <c r="N7" s="140">
        <f t="shared" ref="N7:N17" si="1">H7*I7</f>
        <v>179.48533149337587</v>
      </c>
      <c r="O7" s="116"/>
    </row>
    <row r="8" spans="1:15" ht="15" x14ac:dyDescent="0.25">
      <c r="A8" s="105"/>
      <c r="B8" s="106" t="str">
        <f>'BR A0002'!B3</f>
        <v>Brake System</v>
      </c>
      <c r="C8" s="155" t="str">
        <f>BR_02001</f>
        <v>BR 02001</v>
      </c>
      <c r="D8" s="107" t="s">
        <v>11</v>
      </c>
      <c r="E8" s="107" t="str">
        <f>F7</f>
        <v>Rear Brake Rotor</v>
      </c>
      <c r="F8" s="160" t="str">
        <f>'BR 02001'!B5</f>
        <v>Brake Rotor</v>
      </c>
      <c r="G8" s="107"/>
      <c r="H8" s="138">
        <f t="shared" si="0"/>
        <v>3.3906536124999995</v>
      </c>
      <c r="I8" s="108">
        <f>BR_A0002_q*BR_02001_q</f>
        <v>2</v>
      </c>
      <c r="J8" s="141">
        <f>BR_02001_m</f>
        <v>1.4669236125</v>
      </c>
      <c r="K8" s="141">
        <f>BR_02001_p</f>
        <v>1.9237299999999997</v>
      </c>
      <c r="L8" s="141">
        <v>0</v>
      </c>
      <c r="M8" s="141">
        <v>0</v>
      </c>
      <c r="N8" s="142">
        <f t="shared" si="1"/>
        <v>6.7813072249999991</v>
      </c>
      <c r="O8" s="109"/>
    </row>
    <row r="9" spans="1:15" ht="15" x14ac:dyDescent="0.25">
      <c r="A9" s="105"/>
      <c r="B9" s="106" t="str">
        <f>'BR A0002'!$B$3</f>
        <v>Brake System</v>
      </c>
      <c r="C9" s="107" t="str">
        <f>BR_02002</f>
        <v>BR 02002</v>
      </c>
      <c r="D9" s="107" t="s">
        <v>11</v>
      </c>
      <c r="E9" s="107" t="str">
        <f>F7</f>
        <v>Rear Brake Rotor</v>
      </c>
      <c r="F9" s="160" t="str">
        <f>'BR 02002'!B5</f>
        <v>Brake Shrink Disc</v>
      </c>
      <c r="G9" s="107"/>
      <c r="H9" s="138">
        <f t="shared" si="0"/>
        <v>6.1541946657382924</v>
      </c>
      <c r="I9" s="108">
        <f>BR_A0002_q*BR_02002_q</f>
        <v>2</v>
      </c>
      <c r="J9" s="141">
        <f>BR_02002_m</f>
        <v>1.8871946657382919</v>
      </c>
      <c r="K9" s="141">
        <f>BR_02002_p</f>
        <v>4.2670000000000003</v>
      </c>
      <c r="L9" s="141">
        <v>0</v>
      </c>
      <c r="M9" s="141">
        <v>0</v>
      </c>
      <c r="N9" s="142">
        <f t="shared" si="1"/>
        <v>12.308389331476585</v>
      </c>
      <c r="O9" s="109"/>
    </row>
    <row r="10" spans="1:15" ht="15" x14ac:dyDescent="0.25">
      <c r="A10" s="105"/>
      <c r="B10" s="106" t="str">
        <f>'BR A0002'!$B$3</f>
        <v>Brake System</v>
      </c>
      <c r="C10" s="107" t="str">
        <f>BR_02003</f>
        <v>BR 02003</v>
      </c>
      <c r="D10" s="107" t="s">
        <v>11</v>
      </c>
      <c r="E10" s="107" t="str">
        <f>F7</f>
        <v>Rear Brake Rotor</v>
      </c>
      <c r="F10" s="160" t="str">
        <f>'BR 02003'!B5</f>
        <v>Brake Bobbin</v>
      </c>
      <c r="G10" s="107"/>
      <c r="H10" s="138">
        <f t="shared" si="0"/>
        <v>1.5143773082500001</v>
      </c>
      <c r="I10" s="108">
        <f>BR_A0002_q*BR_02003_q</f>
        <v>12</v>
      </c>
      <c r="J10" s="141">
        <f>BR_02003_m</f>
        <v>3.6081308249999992E-2</v>
      </c>
      <c r="K10" s="141">
        <f>BR_02003_p</f>
        <v>1.4782960000000001</v>
      </c>
      <c r="L10" s="141">
        <v>0</v>
      </c>
      <c r="M10" s="141">
        <v>0</v>
      </c>
      <c r="N10" s="142">
        <f t="shared" si="1"/>
        <v>18.172527699</v>
      </c>
      <c r="O10" s="109"/>
    </row>
    <row r="11" spans="1:15" ht="15" x14ac:dyDescent="0.25">
      <c r="A11" s="105"/>
      <c r="B11" s="106" t="str">
        <f>'BR A0002'!$B$3</f>
        <v>Brake System</v>
      </c>
      <c r="C11" s="107" t="str">
        <f>BR_02004</f>
        <v>BR 02004</v>
      </c>
      <c r="D11" s="107" t="s">
        <v>11</v>
      </c>
      <c r="E11" s="107" t="str">
        <f>F7</f>
        <v>Rear Brake Rotor</v>
      </c>
      <c r="F11" s="160" t="str">
        <f>'BR 02004'!B5</f>
        <v>Brake Caliper Spacer</v>
      </c>
      <c r="G11" s="107"/>
      <c r="H11" s="138">
        <f t="shared" si="0"/>
        <v>0.28175735472631153</v>
      </c>
      <c r="I11" s="108">
        <f>BR_A0002_q*BR_02004_q</f>
        <v>4</v>
      </c>
      <c r="J11" s="141">
        <f>BR_02004_m</f>
        <v>4.0090354726311485E-2</v>
      </c>
      <c r="K11" s="141">
        <f>BR_02004_p</f>
        <v>0.24166700000000002</v>
      </c>
      <c r="L11" s="141">
        <v>0</v>
      </c>
      <c r="M11" s="141">
        <v>0</v>
      </c>
      <c r="N11" s="142">
        <f t="shared" si="1"/>
        <v>1.1270294189052461</v>
      </c>
      <c r="O11" s="109"/>
    </row>
    <row r="12" spans="1:15" ht="14.25" x14ac:dyDescent="0.2">
      <c r="A12" s="105"/>
      <c r="B12" s="106" t="str">
        <f>'BR A0002'!$B$3</f>
        <v>Brake System</v>
      </c>
      <c r="C12" s="107"/>
      <c r="D12" s="107" t="s">
        <v>11</v>
      </c>
      <c r="E12" s="107"/>
      <c r="F12" s="106"/>
      <c r="G12" s="107"/>
      <c r="H12" s="138">
        <f t="shared" si="0"/>
        <v>0</v>
      </c>
      <c r="I12" s="111"/>
      <c r="J12" s="141"/>
      <c r="K12" s="141"/>
      <c r="L12" s="141"/>
      <c r="M12" s="141"/>
      <c r="N12" s="142">
        <f t="shared" si="1"/>
        <v>0</v>
      </c>
      <c r="O12" s="109"/>
    </row>
    <row r="13" spans="1:15" ht="14.25" x14ac:dyDescent="0.2">
      <c r="A13" s="105"/>
      <c r="B13" s="106" t="str">
        <f>'BR A0002'!$B$3</f>
        <v>Brake System</v>
      </c>
      <c r="C13" s="107"/>
      <c r="D13" s="107" t="s">
        <v>11</v>
      </c>
      <c r="E13" s="107"/>
      <c r="F13" s="106"/>
      <c r="G13" s="107"/>
      <c r="H13" s="138">
        <f t="shared" si="0"/>
        <v>0</v>
      </c>
      <c r="I13" s="111"/>
      <c r="J13" s="141"/>
      <c r="K13" s="141"/>
      <c r="L13" s="141"/>
      <c r="M13" s="141"/>
      <c r="N13" s="142">
        <f t="shared" si="1"/>
        <v>0</v>
      </c>
      <c r="O13" s="109"/>
    </row>
    <row r="14" spans="1:15" ht="14.25" x14ac:dyDescent="0.2">
      <c r="A14" s="105"/>
      <c r="B14" s="106" t="str">
        <f>'BR A0002'!$B$3</f>
        <v>Brake System</v>
      </c>
      <c r="C14" s="107"/>
      <c r="D14" s="107" t="s">
        <v>11</v>
      </c>
      <c r="E14" s="107"/>
      <c r="F14" s="106"/>
      <c r="G14" s="107"/>
      <c r="H14" s="138">
        <f t="shared" si="0"/>
        <v>0</v>
      </c>
      <c r="I14" s="111"/>
      <c r="J14" s="141"/>
      <c r="K14" s="141"/>
      <c r="L14" s="141"/>
      <c r="M14" s="141"/>
      <c r="N14" s="142">
        <f t="shared" si="1"/>
        <v>0</v>
      </c>
      <c r="O14" s="109"/>
    </row>
    <row r="15" spans="1:15" ht="14.25" x14ac:dyDescent="0.2">
      <c r="A15" s="105"/>
      <c r="B15" s="106" t="str">
        <f>'BR A0002'!$B$3</f>
        <v>Brake System</v>
      </c>
      <c r="C15" s="107"/>
      <c r="D15" s="107" t="s">
        <v>11</v>
      </c>
      <c r="E15" s="107"/>
      <c r="F15" s="106"/>
      <c r="G15" s="110"/>
      <c r="H15" s="138">
        <f t="shared" si="0"/>
        <v>0</v>
      </c>
      <c r="I15" s="111"/>
      <c r="J15" s="141"/>
      <c r="K15" s="141"/>
      <c r="L15" s="141"/>
      <c r="M15" s="141"/>
      <c r="N15" s="142">
        <f t="shared" si="1"/>
        <v>0</v>
      </c>
      <c r="O15" s="109"/>
    </row>
    <row r="16" spans="1:15" ht="14.25" x14ac:dyDescent="0.2">
      <c r="A16" s="105"/>
      <c r="B16" s="106" t="str">
        <f>'BR A0002'!$B$3</f>
        <v>Brake System</v>
      </c>
      <c r="C16" s="107"/>
      <c r="D16" s="107" t="s">
        <v>11</v>
      </c>
      <c r="E16" s="107"/>
      <c r="F16" s="106"/>
      <c r="G16" s="107"/>
      <c r="H16" s="138">
        <f t="shared" si="0"/>
        <v>0</v>
      </c>
      <c r="I16" s="111"/>
      <c r="J16" s="141"/>
      <c r="K16" s="141"/>
      <c r="L16" s="141"/>
      <c r="M16" s="141"/>
      <c r="N16" s="142">
        <f t="shared" si="1"/>
        <v>0</v>
      </c>
      <c r="O16" s="109"/>
    </row>
    <row r="17" spans="1:15" ht="15" thickBot="1" x14ac:dyDescent="0.25">
      <c r="A17" s="105"/>
      <c r="B17" s="106" t="str">
        <f>'BR A0002'!$B$3</f>
        <v>Brake System</v>
      </c>
      <c r="C17" s="107"/>
      <c r="D17" s="107" t="s">
        <v>11</v>
      </c>
      <c r="E17" s="107"/>
      <c r="F17" s="106"/>
      <c r="G17" s="107"/>
      <c r="H17" s="138">
        <f t="shared" si="0"/>
        <v>0</v>
      </c>
      <c r="I17" s="111"/>
      <c r="J17" s="141"/>
      <c r="K17" s="141"/>
      <c r="L17" s="141"/>
      <c r="M17" s="141"/>
      <c r="N17" s="142">
        <f t="shared" si="1"/>
        <v>0</v>
      </c>
      <c r="O17" s="109"/>
    </row>
    <row r="18" spans="1:15" s="12" customFormat="1" ht="15.75" thickTop="1" thickBot="1" x14ac:dyDescent="0.25">
      <c r="A18" s="5"/>
      <c r="B18" s="45" t="str">
        <f>'BR A0002'!B3</f>
        <v>Brake System</v>
      </c>
      <c r="C18" s="1"/>
      <c r="D18" s="1"/>
      <c r="E18" s="1"/>
      <c r="F18" s="45" t="s">
        <v>67</v>
      </c>
      <c r="G18" s="1"/>
      <c r="H18" s="3"/>
      <c r="I18" s="4"/>
      <c r="J18" s="143">
        <f>SUMPRODUCT($I7:$I17,J7:J17)</f>
        <v>176.71948567438181</v>
      </c>
      <c r="K18" s="143">
        <f>SUMPRODUCT($I7:$I17,K7:K17)</f>
        <v>39.927679999999995</v>
      </c>
      <c r="L18" s="143">
        <f>SUMPRODUCT($I7:$I17,L7:L17)</f>
        <v>1.2274194933758673</v>
      </c>
      <c r="M18" s="143">
        <f>SUMPRODUCT($I7:$I17,M7:M17)</f>
        <v>0</v>
      </c>
      <c r="N18" s="143">
        <f>SUM(N7:N17)</f>
        <v>217.87458516775769</v>
      </c>
      <c r="O18" s="2"/>
    </row>
    <row r="19" spans="1:15" ht="13.5" thickTop="1" x14ac:dyDescent="0.2">
      <c r="A19" s="11"/>
      <c r="B19" s="46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6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9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9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6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6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6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6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6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6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6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6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6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6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6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6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6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6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6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6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6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6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6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6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6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6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6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6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6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6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6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6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6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6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6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6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6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6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6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6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6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6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6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6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6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6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6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6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6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6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6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6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6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6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6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6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6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6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6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6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6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6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6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6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6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6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6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6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6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6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6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6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6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6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6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6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6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6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6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6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6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6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6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6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6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6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6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6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6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6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6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6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6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6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6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6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6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6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6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6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6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6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6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6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6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6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6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6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6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6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6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6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6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6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6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6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6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6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6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6"/>
      <c r="G164" s="9"/>
      <c r="H164" s="9"/>
      <c r="I164" s="6"/>
      <c r="J164" s="6"/>
      <c r="K164" s="6"/>
      <c r="L164" s="6"/>
      <c r="M164" s="6"/>
      <c r="N164" s="9"/>
    </row>
  </sheetData>
  <hyperlinks>
    <hyperlink ref="F8" location="'BR 02001'!A1" display="'BR 02001'!A1" xr:uid="{00000000-0004-0000-0100-000000000000}"/>
    <hyperlink ref="F9" location="'BR 02002'!A1" display="'BR 02002'!A1" xr:uid="{00000000-0004-0000-0100-000001000000}"/>
    <hyperlink ref="F10" location="'BR 02003'!A1" display="'BR 02003'!A1" xr:uid="{00000000-0004-0000-0100-000002000000}"/>
    <hyperlink ref="F11" location="'BR 02004'!A1" display="'BR 02004'!A1" xr:uid="{00000000-0004-0000-0100-000003000000}"/>
    <hyperlink ref="F7" location="'BR A0002'!A1" display="'BR A0002'!A1" xr:uid="{00000000-0004-0000-0100-000004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O39"/>
  <sheetViews>
    <sheetView tabSelected="1" zoomScale="75" zoomScaleNormal="75" zoomScaleSheetLayoutView="80" workbookViewId="0"/>
  </sheetViews>
  <sheetFormatPr baseColWidth="10" defaultColWidth="9.140625" defaultRowHeight="15" x14ac:dyDescent="0.25"/>
  <cols>
    <col min="1" max="1" width="11.42578125"/>
    <col min="2" max="2" width="28"/>
    <col min="3" max="3" width="43.42578125" bestFit="1" customWidth="1"/>
    <col min="4" max="4" width="12" customWidth="1"/>
    <col min="5" max="5" width="12.28515625" bestFit="1" customWidth="1"/>
    <col min="7" max="7" width="10.42578125" bestFit="1" customWidth="1"/>
    <col min="8" max="8" width="10" bestFit="1" customWidth="1"/>
    <col min="9" max="9" width="15.42578125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85546875" bestFit="1" customWidth="1"/>
    <col min="15" max="15" width="5.28515625" customWidth="1"/>
    <col min="16" max="1025" width="11.42578125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17" t="s">
        <v>0</v>
      </c>
      <c r="B2" s="16" t="s">
        <v>40</v>
      </c>
      <c r="C2" s="60"/>
      <c r="D2" s="60"/>
      <c r="E2" s="60" t="s">
        <v>136</v>
      </c>
      <c r="F2" s="60"/>
      <c r="G2" s="60"/>
      <c r="H2" s="60"/>
      <c r="I2" s="60"/>
      <c r="J2" s="117" t="s">
        <v>1</v>
      </c>
      <c r="K2" s="98">
        <v>81</v>
      </c>
      <c r="L2" s="60"/>
      <c r="M2" s="117" t="s">
        <v>2</v>
      </c>
      <c r="N2" s="136">
        <f>BR_A0002_pa+BR_A0002_m+BR_A0002_p+BR_A0002_f</f>
        <v>108.93729258387884</v>
      </c>
      <c r="O2" s="66"/>
    </row>
    <row r="3" spans="1:15" x14ac:dyDescent="0.25">
      <c r="A3" s="117" t="s">
        <v>3</v>
      </c>
      <c r="B3" s="16" t="s">
        <v>103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117" t="s">
        <v>4</v>
      </c>
      <c r="N3" s="92">
        <v>2</v>
      </c>
      <c r="O3" s="66"/>
    </row>
    <row r="4" spans="1:15" x14ac:dyDescent="0.25">
      <c r="A4" s="117" t="s">
        <v>5</v>
      </c>
      <c r="B4" s="61" t="s">
        <v>187</v>
      </c>
      <c r="C4" s="60"/>
      <c r="D4" s="60"/>
      <c r="E4" s="60"/>
      <c r="F4" s="60"/>
      <c r="G4" s="60"/>
      <c r="H4" s="60"/>
      <c r="I4" s="60"/>
      <c r="J4" s="118" t="s">
        <v>6</v>
      </c>
      <c r="K4" s="60"/>
      <c r="L4" s="60"/>
      <c r="M4" s="60"/>
      <c r="N4" s="60"/>
      <c r="O4" s="66"/>
    </row>
    <row r="5" spans="1:15" x14ac:dyDescent="0.25">
      <c r="A5" s="117" t="s">
        <v>7</v>
      </c>
      <c r="B5" s="18" t="s">
        <v>183</v>
      </c>
      <c r="C5" s="60"/>
      <c r="D5" s="60"/>
      <c r="E5" s="60"/>
      <c r="F5" s="60"/>
      <c r="G5" s="60"/>
      <c r="H5" s="60"/>
      <c r="I5" s="60"/>
      <c r="J5" s="118" t="s">
        <v>8</v>
      </c>
      <c r="K5" s="60"/>
      <c r="L5" s="60"/>
      <c r="M5" s="117" t="s">
        <v>9</v>
      </c>
      <c r="N5" s="78">
        <f>N2*N3</f>
        <v>217.87458516775769</v>
      </c>
      <c r="O5" s="66"/>
    </row>
    <row r="6" spans="1:15" x14ac:dyDescent="0.25">
      <c r="A6" s="117" t="s">
        <v>10</v>
      </c>
      <c r="B6" s="16" t="s">
        <v>11</v>
      </c>
      <c r="C6" s="60"/>
      <c r="D6" s="60"/>
      <c r="E6" s="60"/>
      <c r="F6" s="60"/>
      <c r="G6" s="60"/>
      <c r="H6" s="60"/>
      <c r="I6" s="60"/>
      <c r="J6" s="118" t="s">
        <v>12</v>
      </c>
      <c r="K6" s="60"/>
      <c r="L6" s="60"/>
      <c r="M6" s="60"/>
      <c r="N6" s="60"/>
      <c r="O6" s="66"/>
    </row>
    <row r="7" spans="1:15" x14ac:dyDescent="0.25">
      <c r="A7" s="117" t="s">
        <v>13</v>
      </c>
      <c r="B7" s="16" t="s">
        <v>188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67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117" t="s">
        <v>14</v>
      </c>
      <c r="B9" s="152" t="s">
        <v>15</v>
      </c>
      <c r="C9" s="117" t="s">
        <v>16</v>
      </c>
      <c r="D9" s="117" t="s">
        <v>17</v>
      </c>
      <c r="E9" s="117" t="s">
        <v>18</v>
      </c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50">
        <v>10</v>
      </c>
      <c r="B10" s="153" t="str">
        <f>'BR 02001'!B5</f>
        <v>Brake Rotor</v>
      </c>
      <c r="C10" s="151">
        <f>'BR 02001'!N2</f>
        <v>3.3906536124999995</v>
      </c>
      <c r="D10" s="102">
        <f>BR_02001_q</f>
        <v>1</v>
      </c>
      <c r="E10" s="78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6"/>
    </row>
    <row r="11" spans="1:15" x14ac:dyDescent="0.25">
      <c r="A11" s="150">
        <v>20</v>
      </c>
      <c r="B11" s="154" t="str">
        <f>'BR 02002'!B5</f>
        <v>Brake Shrink Disc</v>
      </c>
      <c r="C11" s="151">
        <f>'BR 02002'!N2</f>
        <v>6.1541946657382924</v>
      </c>
      <c r="D11" s="102">
        <f>BR_02002_q</f>
        <v>1</v>
      </c>
      <c r="E11" s="78">
        <f t="shared" ref="E11:E13" si="0">C11*D11</f>
        <v>6.1541946657382924</v>
      </c>
      <c r="F11" s="61"/>
      <c r="G11" s="61"/>
      <c r="H11" s="61"/>
      <c r="I11" s="61"/>
      <c r="J11" s="61"/>
      <c r="K11" s="61"/>
      <c r="L11" s="61"/>
      <c r="M11" s="61"/>
      <c r="N11" s="61"/>
      <c r="O11" s="66"/>
    </row>
    <row r="12" spans="1:15" x14ac:dyDescent="0.25">
      <c r="A12" s="150">
        <v>30</v>
      </c>
      <c r="B12" s="153" t="str">
        <f>'BR 02003'!B5</f>
        <v>Brake Bobbin</v>
      </c>
      <c r="C12" s="151">
        <f>'BR 02003'!N2</f>
        <v>1.5143773082500001</v>
      </c>
      <c r="D12" s="102">
        <f>BR_02003_q</f>
        <v>6</v>
      </c>
      <c r="E12" s="78">
        <f t="shared" si="0"/>
        <v>9.0862638494999999</v>
      </c>
      <c r="F12" s="61"/>
      <c r="G12" s="61"/>
      <c r="H12" s="61"/>
      <c r="I12" s="61"/>
      <c r="J12" s="61"/>
      <c r="K12" s="61"/>
      <c r="L12" s="61"/>
      <c r="M12" s="61"/>
      <c r="N12" s="61"/>
      <c r="O12" s="69"/>
    </row>
    <row r="13" spans="1:15" s="17" customFormat="1" x14ac:dyDescent="0.25">
      <c r="A13" s="150">
        <v>40</v>
      </c>
      <c r="B13" s="153" t="str">
        <f>'BR 02004'!B5</f>
        <v>Brake Caliper Spacer</v>
      </c>
      <c r="C13" s="151">
        <f>'BR 02004'!N2</f>
        <v>0.28175735472631153</v>
      </c>
      <c r="D13" s="102">
        <f>BR_02004_q</f>
        <v>2</v>
      </c>
      <c r="E13" s="78">
        <f t="shared" si="0"/>
        <v>0.56351470945262305</v>
      </c>
      <c r="F13" s="61"/>
      <c r="G13" s="61"/>
      <c r="H13" s="61"/>
      <c r="I13" s="61"/>
      <c r="J13" s="61"/>
      <c r="K13" s="61"/>
      <c r="L13" s="61"/>
      <c r="M13" s="61"/>
      <c r="N13" s="61"/>
      <c r="O13" s="69"/>
    </row>
    <row r="14" spans="1:15" x14ac:dyDescent="0.25">
      <c r="A14" s="67"/>
      <c r="B14" s="60"/>
      <c r="C14" s="60"/>
      <c r="D14" s="119" t="s">
        <v>18</v>
      </c>
      <c r="E14" s="120">
        <f>SUM(E10:E13)</f>
        <v>19.194626837190913</v>
      </c>
      <c r="F14" s="61"/>
      <c r="G14" s="61"/>
      <c r="H14" s="61"/>
      <c r="I14" s="61"/>
      <c r="J14" s="61"/>
      <c r="K14" s="61"/>
      <c r="L14" s="61"/>
      <c r="M14" s="61"/>
      <c r="N14" s="61"/>
      <c r="O14" s="66"/>
    </row>
    <row r="15" spans="1:15" x14ac:dyDescent="0.25">
      <c r="A15" s="6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6"/>
    </row>
    <row r="16" spans="1:15" x14ac:dyDescent="0.25">
      <c r="A16" s="117" t="s">
        <v>14</v>
      </c>
      <c r="B16" s="117" t="s">
        <v>19</v>
      </c>
      <c r="C16" s="117" t="s">
        <v>20</v>
      </c>
      <c r="D16" s="117" t="s">
        <v>21</v>
      </c>
      <c r="E16" s="117" t="s">
        <v>22</v>
      </c>
      <c r="F16" s="117" t="s">
        <v>23</v>
      </c>
      <c r="G16" s="117" t="s">
        <v>24</v>
      </c>
      <c r="H16" s="117" t="s">
        <v>25</v>
      </c>
      <c r="I16" s="117" t="s">
        <v>26</v>
      </c>
      <c r="J16" s="117" t="s">
        <v>27</v>
      </c>
      <c r="K16" s="117" t="s">
        <v>28</v>
      </c>
      <c r="L16" s="117" t="s">
        <v>29</v>
      </c>
      <c r="M16" s="117" t="s">
        <v>17</v>
      </c>
      <c r="N16" s="117" t="s">
        <v>18</v>
      </c>
      <c r="O16" s="66"/>
    </row>
    <row r="17" spans="1:15" x14ac:dyDescent="0.25">
      <c r="A17" s="77">
        <v>10</v>
      </c>
      <c r="B17" s="77" t="s">
        <v>144</v>
      </c>
      <c r="C17" s="77" t="s">
        <v>145</v>
      </c>
      <c r="D17" s="78">
        <v>83</v>
      </c>
      <c r="E17" s="77"/>
      <c r="F17" s="77" t="s">
        <v>35</v>
      </c>
      <c r="G17" s="77"/>
      <c r="H17" s="79"/>
      <c r="I17" s="80"/>
      <c r="J17" s="81"/>
      <c r="K17" s="79"/>
      <c r="L17" s="79"/>
      <c r="M17" s="79">
        <v>1</v>
      </c>
      <c r="N17" s="78">
        <f>M17*D17</f>
        <v>83</v>
      </c>
      <c r="O17" s="66"/>
    </row>
    <row r="18" spans="1:15" s="24" customFormat="1" x14ac:dyDescent="0.25">
      <c r="A18" s="77">
        <v>20</v>
      </c>
      <c r="B18" s="77" t="s">
        <v>146</v>
      </c>
      <c r="C18" s="82" t="s">
        <v>148</v>
      </c>
      <c r="D18" s="78">
        <v>2.0000000000000001E-4</v>
      </c>
      <c r="E18" s="149">
        <f>J18*K18*1000000000</f>
        <v>4272.3900000000003</v>
      </c>
      <c r="F18" s="83" t="s">
        <v>147</v>
      </c>
      <c r="G18" s="83"/>
      <c r="H18" s="79"/>
      <c r="I18" s="84" t="s">
        <v>179</v>
      </c>
      <c r="J18" s="159">
        <v>1.42413E-3</v>
      </c>
      <c r="K18" s="85">
        <v>3.0000000000000001E-3</v>
      </c>
      <c r="L18" s="86"/>
      <c r="M18" s="87">
        <v>2</v>
      </c>
      <c r="N18" s="78">
        <f>M18*D18*E18</f>
        <v>1.7089560000000001</v>
      </c>
      <c r="O18" s="71"/>
    </row>
    <row r="19" spans="1:15" x14ac:dyDescent="0.25">
      <c r="A19" s="7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117" t="s">
        <v>18</v>
      </c>
      <c r="N19" s="120">
        <f>SUM(N17:N18)</f>
        <v>84.708956000000001</v>
      </c>
      <c r="O19" s="66"/>
    </row>
    <row r="20" spans="1:15" x14ac:dyDescent="0.25">
      <c r="A20" s="67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6"/>
    </row>
    <row r="21" spans="1:15" s="27" customFormat="1" x14ac:dyDescent="0.25">
      <c r="A21" s="117" t="s">
        <v>14</v>
      </c>
      <c r="B21" s="117" t="s">
        <v>31</v>
      </c>
      <c r="C21" s="117" t="s">
        <v>20</v>
      </c>
      <c r="D21" s="117" t="s">
        <v>21</v>
      </c>
      <c r="E21" s="117" t="s">
        <v>32</v>
      </c>
      <c r="F21" s="117" t="s">
        <v>17</v>
      </c>
      <c r="G21" s="117" t="s">
        <v>33</v>
      </c>
      <c r="H21" s="117" t="s">
        <v>34</v>
      </c>
      <c r="I21" s="117" t="s">
        <v>18</v>
      </c>
      <c r="J21" s="26"/>
      <c r="K21" s="26"/>
      <c r="L21" s="26"/>
      <c r="M21" s="26"/>
      <c r="N21" s="26"/>
      <c r="O21" s="73"/>
    </row>
    <row r="22" spans="1:15" x14ac:dyDescent="0.25">
      <c r="A22" s="77">
        <v>10</v>
      </c>
      <c r="B22" s="77" t="s">
        <v>153</v>
      </c>
      <c r="C22" s="77" t="s">
        <v>150</v>
      </c>
      <c r="D22" s="78">
        <v>0.13</v>
      </c>
      <c r="E22" s="77" t="s">
        <v>35</v>
      </c>
      <c r="F22" s="88">
        <v>2</v>
      </c>
      <c r="G22" s="88"/>
      <c r="H22" s="88"/>
      <c r="I22" s="78">
        <f t="shared" ref="I22:I29" si="1">IF(H22="",D22*F22,D22*F22*H22)</f>
        <v>0.26</v>
      </c>
      <c r="J22" s="60"/>
      <c r="K22" s="60"/>
      <c r="L22" s="60"/>
      <c r="M22" s="60"/>
      <c r="N22" s="60"/>
      <c r="O22" s="66"/>
    </row>
    <row r="23" spans="1:15" x14ac:dyDescent="0.25">
      <c r="A23" s="77">
        <v>20</v>
      </c>
      <c r="B23" s="89" t="s">
        <v>154</v>
      </c>
      <c r="C23" s="77" t="s">
        <v>170</v>
      </c>
      <c r="D23" s="78">
        <v>0.06</v>
      </c>
      <c r="E23" s="89" t="s">
        <v>35</v>
      </c>
      <c r="F23" s="88">
        <v>6</v>
      </c>
      <c r="G23" s="77"/>
      <c r="H23" s="77"/>
      <c r="I23" s="78">
        <f t="shared" si="1"/>
        <v>0.36</v>
      </c>
      <c r="J23" s="60"/>
      <c r="K23" s="60"/>
      <c r="L23" s="60"/>
      <c r="M23" s="60"/>
      <c r="N23" s="60"/>
      <c r="O23" s="66"/>
    </row>
    <row r="24" spans="1:15" x14ac:dyDescent="0.25">
      <c r="A24" s="77">
        <v>30</v>
      </c>
      <c r="B24" s="89" t="s">
        <v>153</v>
      </c>
      <c r="C24" s="77" t="s">
        <v>180</v>
      </c>
      <c r="D24" s="78">
        <v>0.13</v>
      </c>
      <c r="E24" s="77" t="s">
        <v>35</v>
      </c>
      <c r="F24" s="88">
        <v>1</v>
      </c>
      <c r="G24" s="77"/>
      <c r="H24" s="77"/>
      <c r="I24" s="78">
        <f t="shared" si="1"/>
        <v>0.13</v>
      </c>
      <c r="J24" s="60"/>
      <c r="K24" s="60"/>
      <c r="L24" s="60"/>
      <c r="M24" s="60"/>
      <c r="N24" s="60"/>
      <c r="O24" s="66"/>
    </row>
    <row r="25" spans="1:15" x14ac:dyDescent="0.25">
      <c r="A25" s="77">
        <v>40</v>
      </c>
      <c r="B25" s="89" t="s">
        <v>153</v>
      </c>
      <c r="C25" s="77" t="s">
        <v>149</v>
      </c>
      <c r="D25" s="78">
        <v>0.13</v>
      </c>
      <c r="E25" s="77" t="s">
        <v>35</v>
      </c>
      <c r="F25" s="88">
        <v>6</v>
      </c>
      <c r="G25" s="77"/>
      <c r="H25" s="77"/>
      <c r="I25" s="78">
        <f t="shared" si="1"/>
        <v>0.78</v>
      </c>
      <c r="J25" s="60"/>
      <c r="K25" s="60"/>
      <c r="L25" s="60"/>
      <c r="M25" s="60"/>
      <c r="N25" s="60"/>
      <c r="O25" s="66"/>
    </row>
    <row r="26" spans="1:15" x14ac:dyDescent="0.25">
      <c r="A26" s="77">
        <v>50</v>
      </c>
      <c r="B26" s="89" t="s">
        <v>153</v>
      </c>
      <c r="C26" s="77" t="s">
        <v>151</v>
      </c>
      <c r="D26" s="78">
        <v>0.13</v>
      </c>
      <c r="E26" s="77" t="s">
        <v>35</v>
      </c>
      <c r="F26" s="88">
        <v>1</v>
      </c>
      <c r="G26" s="77"/>
      <c r="H26" s="77"/>
      <c r="I26" s="78">
        <f t="shared" si="1"/>
        <v>0.13</v>
      </c>
      <c r="J26" s="60"/>
      <c r="K26" s="60"/>
      <c r="L26" s="60"/>
      <c r="M26" s="60"/>
      <c r="N26" s="60"/>
      <c r="O26" s="66"/>
    </row>
    <row r="27" spans="1:15" x14ac:dyDescent="0.25">
      <c r="A27" s="77">
        <v>60</v>
      </c>
      <c r="B27" s="89" t="s">
        <v>154</v>
      </c>
      <c r="C27" s="77" t="s">
        <v>159</v>
      </c>
      <c r="D27" s="78">
        <v>0.06</v>
      </c>
      <c r="E27" s="77" t="s">
        <v>35</v>
      </c>
      <c r="F27" s="88">
        <v>1</v>
      </c>
      <c r="G27" s="77"/>
      <c r="H27" s="77"/>
      <c r="I27" s="78">
        <f t="shared" si="1"/>
        <v>0.06</v>
      </c>
      <c r="J27" s="60"/>
      <c r="K27" s="60"/>
      <c r="L27" s="60"/>
      <c r="M27" s="60"/>
      <c r="N27" s="60"/>
      <c r="O27" s="66"/>
    </row>
    <row r="28" spans="1:15" s="17" customFormat="1" x14ac:dyDescent="0.25">
      <c r="A28" s="77">
        <v>70</v>
      </c>
      <c r="B28" s="89" t="s">
        <v>155</v>
      </c>
      <c r="C28" s="77" t="s">
        <v>158</v>
      </c>
      <c r="D28" s="78">
        <v>0.75</v>
      </c>
      <c r="E28" s="77" t="s">
        <v>35</v>
      </c>
      <c r="F28" s="88">
        <v>2</v>
      </c>
      <c r="G28" s="77"/>
      <c r="H28" s="77"/>
      <c r="I28" s="78">
        <f t="shared" si="1"/>
        <v>1.5</v>
      </c>
      <c r="J28" s="61"/>
      <c r="K28" s="61"/>
      <c r="L28" s="61"/>
      <c r="M28" s="61"/>
      <c r="N28" s="61"/>
      <c r="O28" s="70"/>
    </row>
    <row r="29" spans="1:15" s="27" customFormat="1" x14ac:dyDescent="0.25">
      <c r="A29" s="77">
        <v>80</v>
      </c>
      <c r="B29" s="77" t="s">
        <v>156</v>
      </c>
      <c r="C29" s="77" t="s">
        <v>157</v>
      </c>
      <c r="D29" s="78">
        <v>0.6</v>
      </c>
      <c r="E29" s="77" t="s">
        <v>35</v>
      </c>
      <c r="F29" s="88">
        <v>2</v>
      </c>
      <c r="G29" s="88"/>
      <c r="H29" s="88"/>
      <c r="I29" s="78">
        <f t="shared" si="1"/>
        <v>1.2</v>
      </c>
      <c r="J29" s="61"/>
      <c r="K29" s="61"/>
      <c r="L29" s="61"/>
      <c r="M29" s="61"/>
      <c r="N29" s="61"/>
      <c r="O29" s="73"/>
    </row>
    <row r="30" spans="1:15" x14ac:dyDescent="0.25">
      <c r="A30" s="72"/>
      <c r="B30" s="26"/>
      <c r="C30" s="26"/>
      <c r="D30" s="26"/>
      <c r="E30" s="26"/>
      <c r="F30" s="26"/>
      <c r="G30" s="26"/>
      <c r="H30" s="119" t="s">
        <v>18</v>
      </c>
      <c r="I30" s="120">
        <f>SUM(I22:I29)</f>
        <v>4.42</v>
      </c>
      <c r="J30" s="60"/>
      <c r="K30" s="60"/>
      <c r="L30" s="60"/>
      <c r="M30" s="60"/>
      <c r="N30" s="60"/>
      <c r="O30" s="66"/>
    </row>
    <row r="31" spans="1:15" x14ac:dyDescent="0.25">
      <c r="A31" s="67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6"/>
    </row>
    <row r="32" spans="1:15" x14ac:dyDescent="0.25">
      <c r="A32" s="117" t="s">
        <v>14</v>
      </c>
      <c r="B32" s="117" t="s">
        <v>36</v>
      </c>
      <c r="C32" s="117" t="s">
        <v>20</v>
      </c>
      <c r="D32" s="117" t="s">
        <v>21</v>
      </c>
      <c r="E32" s="117" t="s">
        <v>22</v>
      </c>
      <c r="F32" s="117" t="s">
        <v>23</v>
      </c>
      <c r="G32" s="117" t="s">
        <v>24</v>
      </c>
      <c r="H32" s="117" t="s">
        <v>25</v>
      </c>
      <c r="I32" s="117" t="s">
        <v>17</v>
      </c>
      <c r="J32" s="117" t="s">
        <v>18</v>
      </c>
      <c r="K32" s="60"/>
      <c r="L32" s="60"/>
      <c r="M32" s="60"/>
      <c r="N32" s="60"/>
      <c r="O32" s="66"/>
    </row>
    <row r="33" spans="1:15" x14ac:dyDescent="0.25">
      <c r="A33" s="77">
        <v>10</v>
      </c>
      <c r="B33" s="77" t="s">
        <v>37</v>
      </c>
      <c r="C33" s="77" t="s">
        <v>152</v>
      </c>
      <c r="D33" s="90">
        <f>0.8/105154*E33^2*G33*SQRT(G33)+(0.003*EXP(0.319*E33))</f>
        <v>0.11850487334396681</v>
      </c>
      <c r="E33" s="91">
        <v>8</v>
      </c>
      <c r="F33" s="91" t="s">
        <v>30</v>
      </c>
      <c r="G33" s="91">
        <v>30</v>
      </c>
      <c r="H33" s="91" t="s">
        <v>30</v>
      </c>
      <c r="I33" s="92">
        <v>2</v>
      </c>
      <c r="J33" s="78">
        <f>I33*D33</f>
        <v>0.23700974668793362</v>
      </c>
      <c r="K33" s="60"/>
      <c r="L33" s="60"/>
      <c r="M33" s="60"/>
      <c r="N33" s="60"/>
      <c r="O33" s="66"/>
    </row>
    <row r="34" spans="1:15" x14ac:dyDescent="0.25">
      <c r="A34" s="77">
        <v>20</v>
      </c>
      <c r="B34" s="77" t="s">
        <v>38</v>
      </c>
      <c r="C34" s="77" t="s">
        <v>152</v>
      </c>
      <c r="D34" s="90">
        <v>0.01</v>
      </c>
      <c r="E34" s="77">
        <v>8</v>
      </c>
      <c r="F34" s="93" t="s">
        <v>30</v>
      </c>
      <c r="G34" s="77"/>
      <c r="H34" s="77"/>
      <c r="I34" s="92">
        <v>2</v>
      </c>
      <c r="J34" s="78">
        <f>I34*D34</f>
        <v>0.02</v>
      </c>
      <c r="K34" s="60"/>
      <c r="L34" s="60"/>
      <c r="M34" s="60"/>
      <c r="N34" s="60"/>
      <c r="O34" s="66"/>
    </row>
    <row r="35" spans="1:15" x14ac:dyDescent="0.25">
      <c r="A35" s="77">
        <v>30</v>
      </c>
      <c r="B35" s="77" t="s">
        <v>39</v>
      </c>
      <c r="C35" s="77" t="s">
        <v>174</v>
      </c>
      <c r="D35" s="90">
        <f>0.0002*E35^2+0.013</f>
        <v>3.9449999999999999E-2</v>
      </c>
      <c r="E35" s="77">
        <v>11.5</v>
      </c>
      <c r="F35" s="93" t="s">
        <v>30</v>
      </c>
      <c r="G35" s="77"/>
      <c r="H35" s="77"/>
      <c r="I35" s="92">
        <v>6</v>
      </c>
      <c r="J35" s="78">
        <f>I35*D35</f>
        <v>0.23669999999999999</v>
      </c>
      <c r="K35" s="60"/>
      <c r="L35" s="60"/>
      <c r="M35" s="60"/>
      <c r="N35" s="60"/>
      <c r="O35" s="66"/>
    </row>
    <row r="36" spans="1:15" x14ac:dyDescent="0.25">
      <c r="A36" s="77">
        <v>40</v>
      </c>
      <c r="B36" s="94" t="s">
        <v>38</v>
      </c>
      <c r="C36" s="82" t="s">
        <v>173</v>
      </c>
      <c r="D36" s="95">
        <v>0.01</v>
      </c>
      <c r="E36" s="82">
        <v>12</v>
      </c>
      <c r="F36" s="96" t="s">
        <v>30</v>
      </c>
      <c r="G36" s="82"/>
      <c r="H36" s="82"/>
      <c r="I36" s="97">
        <v>12</v>
      </c>
      <c r="J36" s="78">
        <f>I36*D36</f>
        <v>0.12</v>
      </c>
      <c r="K36" s="62"/>
      <c r="L36" s="62"/>
      <c r="M36" s="62"/>
      <c r="N36" s="62"/>
      <c r="O36" s="66"/>
    </row>
    <row r="37" spans="1:15" x14ac:dyDescent="0.25">
      <c r="A37" s="72"/>
      <c r="B37" s="26"/>
      <c r="C37" s="26"/>
      <c r="D37" s="26"/>
      <c r="E37" s="26"/>
      <c r="F37" s="26"/>
      <c r="G37" s="26"/>
      <c r="H37" s="26"/>
      <c r="I37" s="119" t="s">
        <v>18</v>
      </c>
      <c r="J37" s="120">
        <f>SUM(J33:J36)</f>
        <v>0.61370974668793365</v>
      </c>
      <c r="K37" s="60"/>
      <c r="L37" s="60"/>
      <c r="M37" s="60"/>
      <c r="N37" s="60"/>
      <c r="O37" s="66"/>
    </row>
    <row r="38" spans="1:15" ht="15.75" thickBot="1" x14ac:dyDescent="0.3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2001'!A1" display="'BR 02001'!A1" xr:uid="{00000000-0004-0000-0200-000000000000}"/>
    <hyperlink ref="B11" location="'BR 02002'!A1" display="'BR 02002'!A1" xr:uid="{00000000-0004-0000-0200-000001000000}"/>
    <hyperlink ref="B12" location="'BR 02003'!A1" display="'BR 02003'!A1" xr:uid="{00000000-0004-0000-0200-000002000000}"/>
    <hyperlink ref="B13" location="'BR 02004'!A1" display="'BR 02004'!A1" xr:uid="{00000000-0004-0000-02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O26"/>
  <sheetViews>
    <sheetView topLeftCell="A7" zoomScale="75" zoomScaleNormal="75" workbookViewId="0">
      <selection activeCell="Q16" sqref="Q16"/>
    </sheetView>
  </sheetViews>
  <sheetFormatPr baseColWidth="10" defaultColWidth="9.140625" defaultRowHeight="15" x14ac:dyDescent="0.25"/>
  <cols>
    <col min="1" max="1" width="10.5703125" customWidth="1"/>
    <col min="2" max="2" width="34.42578125" bestFit="1" customWidth="1"/>
    <col min="3" max="3" width="21.42578125" bestFit="1" customWidth="1"/>
    <col min="4" max="4" width="9.28515625" bestFit="1" customWidth="1"/>
    <col min="5" max="6" width="9.140625" bestFit="1" customWidth="1"/>
    <col min="7" max="7" width="37.140625" bestFit="1" customWidth="1"/>
    <col min="8" max="8" width="10" bestFit="1" customWidth="1"/>
    <col min="9" max="9" width="28" bestFit="1" customWidth="1"/>
    <col min="10" max="10" width="9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  <col min="16" max="1025" width="10.5703125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1" t="s">
        <v>0</v>
      </c>
      <c r="B2" s="16" t="s">
        <v>40</v>
      </c>
      <c r="C2" s="60"/>
      <c r="D2" s="60"/>
      <c r="E2" s="60"/>
      <c r="F2" s="60"/>
      <c r="G2" s="60" t="s">
        <v>136</v>
      </c>
      <c r="H2" s="60"/>
      <c r="I2" s="60"/>
      <c r="J2" s="122" t="s">
        <v>1</v>
      </c>
      <c r="K2" s="98">
        <v>81</v>
      </c>
      <c r="L2" s="60"/>
      <c r="M2" s="121" t="s">
        <v>16</v>
      </c>
      <c r="N2" s="78">
        <f>BR_02001_m+BR_02001_p</f>
        <v>3.3906536124999995</v>
      </c>
      <c r="O2" s="66"/>
    </row>
    <row r="3" spans="1:15" x14ac:dyDescent="0.25">
      <c r="A3" s="121" t="s">
        <v>3</v>
      </c>
      <c r="B3" s="16" t="str">
        <f>'BR A0002'!B3</f>
        <v>Brake System</v>
      </c>
      <c r="C3" s="60"/>
      <c r="D3" s="121" t="s">
        <v>6</v>
      </c>
      <c r="E3" s="104"/>
      <c r="F3" s="60"/>
      <c r="G3" s="60"/>
      <c r="H3" s="60"/>
      <c r="I3" s="60"/>
      <c r="J3" s="60"/>
      <c r="K3" s="60"/>
      <c r="L3" s="60"/>
      <c r="M3" s="121" t="s">
        <v>4</v>
      </c>
      <c r="N3" s="92">
        <v>1</v>
      </c>
      <c r="O3" s="66"/>
    </row>
    <row r="4" spans="1:15" x14ac:dyDescent="0.25">
      <c r="A4" s="121" t="s">
        <v>5</v>
      </c>
      <c r="B4" s="104" t="str">
        <f>'BR A0002'!B4</f>
        <v>Rear Brake Rotor</v>
      </c>
      <c r="C4" s="60"/>
      <c r="D4" s="121" t="s">
        <v>8</v>
      </c>
      <c r="E4" s="60"/>
      <c r="F4" s="60"/>
      <c r="G4" s="60"/>
      <c r="H4" s="60"/>
      <c r="I4" s="60"/>
      <c r="J4" s="123" t="s">
        <v>6</v>
      </c>
      <c r="K4" s="60"/>
      <c r="L4" s="60"/>
      <c r="M4" s="60"/>
      <c r="N4" s="60"/>
      <c r="O4" s="66"/>
    </row>
    <row r="5" spans="1:15" x14ac:dyDescent="0.25">
      <c r="A5" s="121" t="s">
        <v>15</v>
      </c>
      <c r="B5" s="18" t="s">
        <v>139</v>
      </c>
      <c r="C5" s="60"/>
      <c r="D5" s="121" t="s">
        <v>12</v>
      </c>
      <c r="E5" s="60"/>
      <c r="F5" s="60"/>
      <c r="G5" s="60"/>
      <c r="H5" s="60"/>
      <c r="I5" s="60"/>
      <c r="J5" s="123" t="s">
        <v>8</v>
      </c>
      <c r="K5" s="60"/>
      <c r="L5" s="60"/>
      <c r="M5" s="121" t="s">
        <v>9</v>
      </c>
      <c r="N5" s="78">
        <f>N3*N2</f>
        <v>3.3906536124999995</v>
      </c>
      <c r="O5" s="66"/>
    </row>
    <row r="6" spans="1:15" x14ac:dyDescent="0.25">
      <c r="A6" s="121" t="s">
        <v>7</v>
      </c>
      <c r="B6" s="30" t="s">
        <v>182</v>
      </c>
      <c r="C6" s="60"/>
      <c r="D6" s="60"/>
      <c r="E6" s="60"/>
      <c r="F6" s="60"/>
      <c r="G6" s="60"/>
      <c r="H6" s="60"/>
      <c r="I6" s="60"/>
      <c r="J6" s="123" t="s">
        <v>12</v>
      </c>
      <c r="K6" s="60"/>
      <c r="L6" s="60"/>
      <c r="M6" s="60"/>
      <c r="N6" s="60"/>
      <c r="O6" s="66"/>
    </row>
    <row r="7" spans="1:15" x14ac:dyDescent="0.25">
      <c r="A7" s="121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1" t="s">
        <v>13</v>
      </c>
      <c r="B8" s="16" t="s">
        <v>140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4" t="s">
        <v>14</v>
      </c>
      <c r="B10" s="125" t="s">
        <v>19</v>
      </c>
      <c r="C10" s="125" t="s">
        <v>20</v>
      </c>
      <c r="D10" s="125" t="s">
        <v>21</v>
      </c>
      <c r="E10" s="125" t="s">
        <v>22</v>
      </c>
      <c r="F10" s="126" t="s">
        <v>23</v>
      </c>
      <c r="G10" s="126" t="s">
        <v>24</v>
      </c>
      <c r="H10" s="126" t="s">
        <v>25</v>
      </c>
      <c r="I10" s="126" t="s">
        <v>26</v>
      </c>
      <c r="J10" s="126" t="s">
        <v>27</v>
      </c>
      <c r="K10" s="126" t="s">
        <v>28</v>
      </c>
      <c r="L10" s="126" t="s">
        <v>29</v>
      </c>
      <c r="M10" s="126" t="s">
        <v>17</v>
      </c>
      <c r="N10" s="126" t="s">
        <v>18</v>
      </c>
      <c r="O10" s="66"/>
    </row>
    <row r="11" spans="1:15" s="24" customFormat="1" x14ac:dyDescent="0.25">
      <c r="A11" s="100">
        <v>10</v>
      </c>
      <c r="B11" s="32" t="s">
        <v>41</v>
      </c>
      <c r="C11" s="21" t="s">
        <v>42</v>
      </c>
      <c r="D11" s="34">
        <v>1</v>
      </c>
      <c r="E11" s="145">
        <f>L11*J11*K11</f>
        <v>1.4669236124999998</v>
      </c>
      <c r="F11" s="21" t="s">
        <v>143</v>
      </c>
      <c r="G11" s="21"/>
      <c r="H11" s="20"/>
      <c r="I11" s="22" t="s">
        <v>142</v>
      </c>
      <c r="J11" s="144">
        <f>(0.5*230*10^-3)^2*3.14</f>
        <v>4.1526500000000001E-2</v>
      </c>
      <c r="K11" s="23">
        <v>4.4999999999999997E-3</v>
      </c>
      <c r="L11" s="33">
        <v>7850</v>
      </c>
      <c r="M11" s="25">
        <v>1</v>
      </c>
      <c r="N11" s="34">
        <f>IF(J11="",D11*M11,D11*J11*K11*L11*M11)</f>
        <v>1.4669236125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7" t="s">
        <v>18</v>
      </c>
      <c r="N12" s="128">
        <f>SUM(N11:N11)</f>
        <v>1.4669236125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29" t="s">
        <v>14</v>
      </c>
      <c r="B14" s="126" t="s">
        <v>31</v>
      </c>
      <c r="C14" s="126" t="s">
        <v>20</v>
      </c>
      <c r="D14" s="126" t="s">
        <v>21</v>
      </c>
      <c r="E14" s="126" t="s">
        <v>32</v>
      </c>
      <c r="F14" s="126" t="s">
        <v>17</v>
      </c>
      <c r="G14" s="126" t="s">
        <v>33</v>
      </c>
      <c r="H14" s="126" t="s">
        <v>34</v>
      </c>
      <c r="I14" s="126" t="s">
        <v>18</v>
      </c>
      <c r="J14" s="26"/>
      <c r="K14" s="26"/>
      <c r="L14" s="26"/>
      <c r="M14" s="26"/>
      <c r="N14" s="26"/>
      <c r="O14" s="66"/>
    </row>
    <row r="15" spans="1:15" s="27" customFormat="1" ht="15" customHeight="1" x14ac:dyDescent="0.25">
      <c r="A15" s="101">
        <v>10</v>
      </c>
      <c r="B15" s="29" t="s">
        <v>43</v>
      </c>
      <c r="C15" s="35" t="s">
        <v>141</v>
      </c>
      <c r="D15" s="36">
        <v>1.3</v>
      </c>
      <c r="E15" s="29" t="s">
        <v>35</v>
      </c>
      <c r="F15" s="35">
        <v>1</v>
      </c>
      <c r="G15" s="35" t="s">
        <v>178</v>
      </c>
      <c r="H15" s="35">
        <f>1/4</f>
        <v>0.25</v>
      </c>
      <c r="I15" s="36">
        <f t="shared" ref="I15:I16" si="0">IF(H15="",D15*F15,D15*F15*H15)</f>
        <v>0.32500000000000001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57">
        <v>63.949199999999998</v>
      </c>
      <c r="G16" s="29" t="s">
        <v>48</v>
      </c>
      <c r="H16" s="28">
        <v>2.5</v>
      </c>
      <c r="I16" s="34">
        <f t="shared" si="0"/>
        <v>1.5987299999999998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0" t="s">
        <v>18</v>
      </c>
      <c r="I17" s="128">
        <f>SUM(I15:I16)</f>
        <v>1.9237299999999997</v>
      </c>
      <c r="J17" s="26"/>
      <c r="K17" s="26"/>
      <c r="L17" s="26"/>
      <c r="M17" s="26"/>
      <c r="N17" s="26"/>
      <c r="O17" s="66"/>
    </row>
    <row r="18" spans="1:15" x14ac:dyDescent="0.25">
      <c r="A18" s="72"/>
      <c r="B18" s="26"/>
      <c r="C18" s="26"/>
      <c r="D18" s="26"/>
      <c r="E18" s="26"/>
      <c r="F18" s="26"/>
      <c r="G18" s="26"/>
      <c r="H18" s="163"/>
      <c r="I18" s="164"/>
      <c r="J18" s="26"/>
      <c r="K18" s="26"/>
      <c r="L18" s="26"/>
      <c r="M18" s="26"/>
      <c r="N18" s="26"/>
      <c r="O18" s="66"/>
    </row>
    <row r="19" spans="1:15" x14ac:dyDescent="0.25">
      <c r="A19" s="72"/>
      <c r="B19" s="26"/>
      <c r="C19" s="26"/>
      <c r="D19" s="26"/>
      <c r="E19" s="26"/>
      <c r="F19" s="26"/>
      <c r="G19" s="26"/>
      <c r="H19" s="163"/>
      <c r="I19" s="164"/>
      <c r="J19" s="26"/>
      <c r="K19" s="26"/>
      <c r="L19" s="26"/>
      <c r="M19" s="26"/>
      <c r="N19" s="26"/>
      <c r="O19" s="66"/>
    </row>
    <row r="20" spans="1:15" x14ac:dyDescent="0.25">
      <c r="A20" s="72"/>
      <c r="B20" s="26"/>
      <c r="C20" s="26"/>
      <c r="D20" s="26"/>
      <c r="E20" s="26"/>
      <c r="F20" s="26"/>
      <c r="G20" s="26"/>
      <c r="H20" s="163"/>
      <c r="I20" s="164"/>
      <c r="J20" s="26"/>
      <c r="K20" s="26"/>
      <c r="L20" s="26"/>
      <c r="M20" s="26"/>
      <c r="N20" s="26"/>
      <c r="O20" s="66"/>
    </row>
    <row r="21" spans="1:15" x14ac:dyDescent="0.25">
      <c r="A21" s="72"/>
      <c r="B21" s="26"/>
      <c r="C21" s="26"/>
      <c r="D21" s="26"/>
      <c r="E21" s="26"/>
      <c r="F21" s="26"/>
      <c r="G21" s="26"/>
      <c r="H21" s="163"/>
      <c r="I21" s="164"/>
      <c r="J21" s="26"/>
      <c r="K21" s="26"/>
      <c r="L21" s="26"/>
      <c r="M21" s="26"/>
      <c r="N21" s="26"/>
      <c r="O21" s="66"/>
    </row>
    <row r="22" spans="1:15" x14ac:dyDescent="0.25">
      <c r="A22" s="72"/>
      <c r="B22" s="26"/>
      <c r="C22" s="26"/>
      <c r="D22" s="26"/>
      <c r="E22" s="26"/>
      <c r="F22" s="26"/>
      <c r="G22" s="26"/>
      <c r="H22" s="163"/>
      <c r="I22" s="164"/>
      <c r="J22" s="26"/>
      <c r="K22" s="26"/>
      <c r="L22" s="26"/>
      <c r="M22" s="26"/>
      <c r="N22" s="26"/>
      <c r="O22" s="66"/>
    </row>
    <row r="23" spans="1:15" x14ac:dyDescent="0.25">
      <c r="A23" s="72"/>
      <c r="B23" s="26"/>
      <c r="C23" s="26"/>
      <c r="D23" s="26"/>
      <c r="E23" s="26"/>
      <c r="F23" s="26"/>
      <c r="G23" s="26"/>
      <c r="H23" s="163"/>
      <c r="I23" s="164"/>
      <c r="J23" s="26"/>
      <c r="K23" s="26"/>
      <c r="L23" s="26"/>
      <c r="M23" s="26"/>
      <c r="N23" s="26"/>
      <c r="O23" s="66"/>
    </row>
    <row r="24" spans="1:15" x14ac:dyDescent="0.25">
      <c r="A24" s="72"/>
      <c r="B24" s="26"/>
      <c r="C24" s="26"/>
      <c r="D24" s="26"/>
      <c r="E24" s="26"/>
      <c r="F24" s="26"/>
      <c r="G24" s="26"/>
      <c r="H24" s="163"/>
      <c r="I24" s="164"/>
      <c r="J24" s="26"/>
      <c r="K24" s="26"/>
      <c r="L24" s="26"/>
      <c r="M24" s="26"/>
      <c r="N24" s="26"/>
      <c r="O24" s="66"/>
    </row>
    <row r="25" spans="1:15" x14ac:dyDescent="0.25">
      <c r="A25" s="72"/>
      <c r="B25" s="26"/>
      <c r="C25" s="26"/>
      <c r="D25" s="26"/>
      <c r="E25" s="26"/>
      <c r="F25" s="26"/>
      <c r="G25" s="26"/>
      <c r="H25" s="163"/>
      <c r="I25" s="164"/>
      <c r="J25" s="26"/>
      <c r="K25" s="26"/>
      <c r="L25" s="26"/>
      <c r="M25" s="26"/>
      <c r="N25" s="26"/>
      <c r="O25" s="66"/>
    </row>
    <row r="26" spans="1:15" ht="15.75" thickBot="1" x14ac:dyDescent="0.3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</sheetData>
  <hyperlinks>
    <hyperlink ref="B4" location="'BR A0002'!A1" display="'BR A0002'!A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O26"/>
  <sheetViews>
    <sheetView topLeftCell="A10" zoomScale="75" zoomScaleNormal="75" workbookViewId="0">
      <selection activeCell="H18" sqref="H18:I25"/>
    </sheetView>
  </sheetViews>
  <sheetFormatPr baseColWidth="10" defaultColWidth="9.140625" defaultRowHeight="15" x14ac:dyDescent="0.25"/>
  <cols>
    <col min="1" max="1" width="10.5703125" customWidth="1"/>
    <col min="2" max="2" width="35" customWidth="1"/>
    <col min="3" max="3" width="21.42578125" customWidth="1"/>
    <col min="4" max="4" width="9.28515625" bestFit="1" customWidth="1"/>
    <col min="5" max="5" width="8.7109375" bestFit="1" customWidth="1"/>
    <col min="7" max="7" width="37.140625" bestFit="1" customWidth="1"/>
    <col min="8" max="8" width="10" bestFit="1" customWidth="1"/>
    <col min="9" max="9" width="31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1" t="s">
        <v>0</v>
      </c>
      <c r="B2" s="16" t="s">
        <v>40</v>
      </c>
      <c r="C2" s="60"/>
      <c r="D2" s="60"/>
      <c r="E2" s="60"/>
      <c r="F2" s="60"/>
      <c r="G2" s="60" t="s">
        <v>136</v>
      </c>
      <c r="H2" s="60"/>
      <c r="I2" s="60"/>
      <c r="J2" s="122" t="s">
        <v>1</v>
      </c>
      <c r="K2" s="98">
        <v>81</v>
      </c>
      <c r="L2" s="60"/>
      <c r="M2" s="121" t="s">
        <v>16</v>
      </c>
      <c r="N2" s="78">
        <f>BR_02002_m+BR_02002_p</f>
        <v>6.1541946657382924</v>
      </c>
      <c r="O2" s="66"/>
    </row>
    <row r="3" spans="1:15" x14ac:dyDescent="0.25">
      <c r="A3" s="121" t="s">
        <v>3</v>
      </c>
      <c r="B3" s="16" t="str">
        <f>'BR A0002'!B3</f>
        <v>Brake System</v>
      </c>
      <c r="C3" s="60"/>
      <c r="D3" s="121" t="s">
        <v>6</v>
      </c>
      <c r="E3" s="104" t="s">
        <v>95</v>
      </c>
      <c r="F3" s="60"/>
      <c r="G3" s="60"/>
      <c r="H3" s="60"/>
      <c r="I3" s="60"/>
      <c r="J3" s="60"/>
      <c r="K3" s="60"/>
      <c r="L3" s="60"/>
      <c r="M3" s="121" t="s">
        <v>4</v>
      </c>
      <c r="N3" s="92">
        <v>1</v>
      </c>
      <c r="O3" s="66"/>
    </row>
    <row r="4" spans="1:15" x14ac:dyDescent="0.25">
      <c r="A4" s="121" t="s">
        <v>5</v>
      </c>
      <c r="B4" s="104" t="str">
        <f>'BR A0002'!B4</f>
        <v>Rear Brake Rotor</v>
      </c>
      <c r="C4" s="60"/>
      <c r="D4" s="121" t="s">
        <v>8</v>
      </c>
      <c r="E4" s="60"/>
      <c r="F4" s="60"/>
      <c r="G4" s="60"/>
      <c r="H4" s="60"/>
      <c r="I4" s="60"/>
      <c r="J4" s="123" t="s">
        <v>6</v>
      </c>
      <c r="K4" s="60"/>
      <c r="L4" s="60"/>
      <c r="M4" s="60"/>
      <c r="N4" s="60"/>
      <c r="O4" s="66"/>
    </row>
    <row r="5" spans="1:15" x14ac:dyDescent="0.25">
      <c r="A5" s="121" t="s">
        <v>15</v>
      </c>
      <c r="B5" s="18" t="s">
        <v>165</v>
      </c>
      <c r="C5" s="60"/>
      <c r="D5" s="121" t="s">
        <v>12</v>
      </c>
      <c r="E5" s="60"/>
      <c r="F5" s="60"/>
      <c r="G5" s="60"/>
      <c r="H5" s="60"/>
      <c r="I5" s="60"/>
      <c r="J5" s="123" t="s">
        <v>8</v>
      </c>
      <c r="K5" s="60"/>
      <c r="L5" s="60"/>
      <c r="M5" s="121" t="s">
        <v>9</v>
      </c>
      <c r="N5" s="78">
        <f>N3*N2</f>
        <v>6.1541946657382924</v>
      </c>
      <c r="O5" s="66"/>
    </row>
    <row r="6" spans="1:15" x14ac:dyDescent="0.25">
      <c r="A6" s="121" t="s">
        <v>7</v>
      </c>
      <c r="B6" s="30" t="s">
        <v>186</v>
      </c>
      <c r="C6" s="60"/>
      <c r="D6" s="60"/>
      <c r="E6" s="60"/>
      <c r="F6" s="60"/>
      <c r="G6" s="60"/>
      <c r="H6" s="60"/>
      <c r="I6" s="60"/>
      <c r="J6" s="123" t="s">
        <v>12</v>
      </c>
      <c r="K6" s="60"/>
      <c r="L6" s="60"/>
      <c r="M6" s="60"/>
      <c r="N6" s="60"/>
      <c r="O6" s="66"/>
    </row>
    <row r="7" spans="1:15" x14ac:dyDescent="0.25">
      <c r="A7" s="121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1" t="s">
        <v>13</v>
      </c>
      <c r="B8" s="16" t="s">
        <v>167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4" t="s">
        <v>14</v>
      </c>
      <c r="B10" s="125" t="s">
        <v>19</v>
      </c>
      <c r="C10" s="125" t="s">
        <v>20</v>
      </c>
      <c r="D10" s="125" t="s">
        <v>21</v>
      </c>
      <c r="E10" s="125" t="s">
        <v>22</v>
      </c>
      <c r="F10" s="126" t="s">
        <v>23</v>
      </c>
      <c r="G10" s="126" t="s">
        <v>24</v>
      </c>
      <c r="H10" s="126" t="s">
        <v>25</v>
      </c>
      <c r="I10" s="126" t="s">
        <v>26</v>
      </c>
      <c r="J10" s="126" t="s">
        <v>27</v>
      </c>
      <c r="K10" s="126" t="s">
        <v>28</v>
      </c>
      <c r="L10" s="126" t="s">
        <v>29</v>
      </c>
      <c r="M10" s="126" t="s">
        <v>17</v>
      </c>
      <c r="N10" s="126" t="s">
        <v>18</v>
      </c>
      <c r="O10" s="66"/>
    </row>
    <row r="11" spans="1:15" s="24" customFormat="1" x14ac:dyDescent="0.25">
      <c r="A11" s="100">
        <v>10</v>
      </c>
      <c r="B11" s="32" t="s">
        <v>171</v>
      </c>
      <c r="C11" s="21" t="s">
        <v>42</v>
      </c>
      <c r="D11" s="34">
        <v>2.25</v>
      </c>
      <c r="E11" s="158">
        <f>J11*K11*L11</f>
        <v>0.83875318477257421</v>
      </c>
      <c r="F11" s="21" t="s">
        <v>143</v>
      </c>
      <c r="G11" s="21"/>
      <c r="H11" s="20"/>
      <c r="I11" s="22" t="s">
        <v>166</v>
      </c>
      <c r="J11" s="146">
        <f>PI()*(0.16495/2)^2</f>
        <v>2.1369507892294883E-2</v>
      </c>
      <c r="K11" s="23">
        <v>5.0000000000000001E-3</v>
      </c>
      <c r="L11" s="33">
        <v>7850</v>
      </c>
      <c r="M11" s="25">
        <v>1</v>
      </c>
      <c r="N11" s="34">
        <f>IF(J11="",D11*M11,D11*J11*K11*L11*M11)</f>
        <v>1.8871946657382919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7" t="s">
        <v>18</v>
      </c>
      <c r="N12" s="128">
        <f>SUM(N11:N11)</f>
        <v>1.8871946657382919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29" t="s">
        <v>14</v>
      </c>
      <c r="B14" s="126" t="s">
        <v>31</v>
      </c>
      <c r="C14" s="126" t="s">
        <v>20</v>
      </c>
      <c r="D14" s="126" t="s">
        <v>21</v>
      </c>
      <c r="E14" s="126" t="s">
        <v>32</v>
      </c>
      <c r="F14" s="126" t="s">
        <v>17</v>
      </c>
      <c r="G14" s="126" t="s">
        <v>33</v>
      </c>
      <c r="H14" s="126" t="s">
        <v>34</v>
      </c>
      <c r="I14" s="126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44</v>
      </c>
      <c r="D15" s="36">
        <v>1.3</v>
      </c>
      <c r="E15" s="29" t="s">
        <v>35</v>
      </c>
      <c r="F15" s="35">
        <v>1</v>
      </c>
      <c r="G15" s="35" t="s">
        <v>178</v>
      </c>
      <c r="H15" s="35">
        <f>1/4</f>
        <v>0.25</v>
      </c>
      <c r="I15" s="36">
        <f t="shared" ref="I15:I16" si="0">IF(H15="",D15*F15,D15*F15*H15)</f>
        <v>0.32500000000000001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56">
        <v>131.4</v>
      </c>
      <c r="G16" s="29" t="s">
        <v>164</v>
      </c>
      <c r="H16" s="28">
        <v>3</v>
      </c>
      <c r="I16" s="34">
        <f t="shared" si="0"/>
        <v>3.9420000000000002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0" t="s">
        <v>18</v>
      </c>
      <c r="I17" s="128">
        <f>SUM(I15:I16)</f>
        <v>4.2670000000000003</v>
      </c>
      <c r="J17" s="26"/>
      <c r="K17" s="26"/>
      <c r="L17" s="26"/>
      <c r="M17" s="26"/>
      <c r="N17" s="26"/>
      <c r="O17" s="66"/>
    </row>
    <row r="18" spans="1:15" x14ac:dyDescent="0.25">
      <c r="A18" s="72"/>
      <c r="B18" s="26"/>
      <c r="C18" s="26"/>
      <c r="D18" s="26"/>
      <c r="E18" s="26"/>
      <c r="F18" s="26"/>
      <c r="G18" s="26"/>
      <c r="H18" s="163"/>
      <c r="I18" s="164"/>
      <c r="J18" s="26"/>
      <c r="K18" s="26"/>
      <c r="L18" s="26"/>
      <c r="M18" s="26"/>
      <c r="N18" s="26"/>
      <c r="O18" s="66"/>
    </row>
    <row r="19" spans="1:15" x14ac:dyDescent="0.25">
      <c r="A19" s="72"/>
      <c r="B19" s="26"/>
      <c r="C19" s="26"/>
      <c r="D19" s="26"/>
      <c r="E19" s="26"/>
      <c r="F19" s="26"/>
      <c r="G19" s="26"/>
      <c r="H19" s="163"/>
      <c r="I19" s="164"/>
      <c r="J19" s="26"/>
      <c r="K19" s="26"/>
      <c r="L19" s="26"/>
      <c r="M19" s="26"/>
      <c r="N19" s="26"/>
      <c r="O19" s="66"/>
    </row>
    <row r="20" spans="1:15" x14ac:dyDescent="0.25">
      <c r="A20" s="72"/>
      <c r="B20" s="26"/>
      <c r="C20" s="26"/>
      <c r="D20" s="26"/>
      <c r="E20" s="26"/>
      <c r="F20" s="26"/>
      <c r="G20" s="26"/>
      <c r="H20" s="163"/>
      <c r="I20" s="164"/>
      <c r="J20" s="26"/>
      <c r="K20" s="26"/>
      <c r="L20" s="26"/>
      <c r="M20" s="26"/>
      <c r="N20" s="26"/>
      <c r="O20" s="66"/>
    </row>
    <row r="21" spans="1:15" x14ac:dyDescent="0.25">
      <c r="A21" s="72"/>
      <c r="B21" s="26"/>
      <c r="C21" s="26"/>
      <c r="D21" s="26"/>
      <c r="E21" s="26"/>
      <c r="F21" s="26"/>
      <c r="G21" s="26"/>
      <c r="H21" s="163"/>
      <c r="I21" s="164"/>
      <c r="J21" s="26"/>
      <c r="K21" s="26"/>
      <c r="L21" s="26"/>
      <c r="M21" s="26"/>
      <c r="N21" s="26"/>
      <c r="O21" s="66"/>
    </row>
    <row r="22" spans="1:15" x14ac:dyDescent="0.25">
      <c r="A22" s="72"/>
      <c r="B22" s="26"/>
      <c r="C22" s="26"/>
      <c r="D22" s="26"/>
      <c r="E22" s="26"/>
      <c r="F22" s="26"/>
      <c r="G22" s="26"/>
      <c r="H22" s="163"/>
      <c r="I22" s="164"/>
      <c r="J22" s="26"/>
      <c r="K22" s="26"/>
      <c r="L22" s="26"/>
      <c r="M22" s="26"/>
      <c r="N22" s="26"/>
      <c r="O22" s="66"/>
    </row>
    <row r="23" spans="1:15" x14ac:dyDescent="0.25">
      <c r="A23" s="72"/>
      <c r="B23" s="26"/>
      <c r="C23" s="26"/>
      <c r="D23" s="26"/>
      <c r="E23" s="26"/>
      <c r="F23" s="26"/>
      <c r="G23" s="26"/>
      <c r="H23" s="163"/>
      <c r="I23" s="164"/>
      <c r="J23" s="26"/>
      <c r="K23" s="26"/>
      <c r="L23" s="26"/>
      <c r="M23" s="26"/>
      <c r="N23" s="26"/>
      <c r="O23" s="66"/>
    </row>
    <row r="24" spans="1:15" x14ac:dyDescent="0.25">
      <c r="A24" s="72"/>
      <c r="B24" s="26"/>
      <c r="C24" s="26"/>
      <c r="D24" s="26"/>
      <c r="E24" s="26"/>
      <c r="F24" s="26"/>
      <c r="G24" s="26"/>
      <c r="H24" s="163"/>
      <c r="I24" s="164"/>
      <c r="J24" s="26"/>
      <c r="K24" s="26"/>
      <c r="L24" s="26"/>
      <c r="M24" s="26"/>
      <c r="N24" s="26"/>
      <c r="O24" s="66"/>
    </row>
    <row r="25" spans="1:15" x14ac:dyDescent="0.25">
      <c r="A25" s="72"/>
      <c r="B25" s="26"/>
      <c r="C25" s="26"/>
      <c r="D25" s="26"/>
      <c r="E25" s="26"/>
      <c r="F25" s="26"/>
      <c r="G25" s="26"/>
      <c r="H25" s="163"/>
      <c r="I25" s="164"/>
      <c r="J25" s="26"/>
      <c r="K25" s="26"/>
      <c r="L25" s="26"/>
      <c r="M25" s="26"/>
      <c r="N25" s="26"/>
      <c r="O25" s="66"/>
    </row>
    <row r="26" spans="1:15" ht="15.75" thickBot="1" x14ac:dyDescent="0.3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</sheetData>
  <hyperlinks>
    <hyperlink ref="B4" location="'BR A0002'!A1" display="'BR A0002'!A1" xr:uid="{00000000-0004-0000-0400-000000000000}"/>
    <hyperlink ref="E3" location="'dBR 02002'!A1" display="Drawing" xr:uid="{00000000-0004-0000-04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  <pageSetUpPr fitToPage="1"/>
  </sheetPr>
  <dimension ref="A1:O19"/>
  <sheetViews>
    <sheetView topLeftCell="A4" zoomScale="75" zoomScaleNormal="75" workbookViewId="0"/>
  </sheetViews>
  <sheetFormatPr baseColWidth="10" defaultColWidth="9.140625" defaultRowHeight="15" x14ac:dyDescent="0.25"/>
  <cols>
    <col min="1" max="1" width="10.5703125" customWidth="1"/>
    <col min="2" max="2" width="34.140625" customWidth="1"/>
    <col min="3" max="3" width="19.140625" bestFit="1" customWidth="1"/>
    <col min="4" max="4" width="9.28515625" bestFit="1" customWidth="1"/>
    <col min="7" max="7" width="15" bestFit="1" customWidth="1"/>
    <col min="8" max="8" width="10" bestFit="1" customWidth="1"/>
    <col min="9" max="9" width="26.85546875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1" t="s">
        <v>0</v>
      </c>
      <c r="B2" s="16" t="s">
        <v>40</v>
      </c>
      <c r="C2" s="60"/>
      <c r="D2" s="60"/>
      <c r="E2" s="60"/>
      <c r="F2" s="60"/>
      <c r="G2" s="60" t="s">
        <v>136</v>
      </c>
      <c r="H2" s="60"/>
      <c r="I2" s="60"/>
      <c r="J2" s="122" t="s">
        <v>1</v>
      </c>
      <c r="K2" s="98">
        <v>81</v>
      </c>
      <c r="L2" s="60"/>
      <c r="M2" s="121" t="s">
        <v>16</v>
      </c>
      <c r="N2" s="78">
        <f>BR_02003_m+BR_02003_p</f>
        <v>1.5143773082500001</v>
      </c>
      <c r="O2" s="66"/>
    </row>
    <row r="3" spans="1:15" x14ac:dyDescent="0.25">
      <c r="A3" s="121" t="s">
        <v>3</v>
      </c>
      <c r="B3" s="16" t="str">
        <f>'BR A0002'!B3</f>
        <v>Brake System</v>
      </c>
      <c r="C3" s="60"/>
      <c r="D3" s="121" t="s">
        <v>6</v>
      </c>
      <c r="E3" s="104"/>
      <c r="F3" s="60"/>
      <c r="G3" s="60"/>
      <c r="H3" s="60"/>
      <c r="I3" s="60"/>
      <c r="J3" s="60"/>
      <c r="K3" s="60"/>
      <c r="L3" s="60"/>
      <c r="M3" s="121" t="s">
        <v>4</v>
      </c>
      <c r="N3" s="92">
        <v>6</v>
      </c>
      <c r="O3" s="66"/>
    </row>
    <row r="4" spans="1:15" x14ac:dyDescent="0.25">
      <c r="A4" s="121" t="s">
        <v>5</v>
      </c>
      <c r="B4" s="104" t="str">
        <f>'BR A0002'!B4</f>
        <v>Rear Brake Rotor</v>
      </c>
      <c r="C4" s="60"/>
      <c r="D4" s="121" t="s">
        <v>8</v>
      </c>
      <c r="E4" s="60"/>
      <c r="F4" s="60"/>
      <c r="G4" s="60"/>
      <c r="H4" s="60"/>
      <c r="I4" s="60"/>
      <c r="J4" s="123" t="s">
        <v>6</v>
      </c>
      <c r="K4" s="60"/>
      <c r="L4" s="60"/>
      <c r="M4" s="60"/>
      <c r="N4" s="60"/>
      <c r="O4" s="66"/>
    </row>
    <row r="5" spans="1:15" x14ac:dyDescent="0.25">
      <c r="A5" s="121" t="s">
        <v>15</v>
      </c>
      <c r="B5" s="18" t="s">
        <v>168</v>
      </c>
      <c r="C5" s="60"/>
      <c r="D5" s="121" t="s">
        <v>12</v>
      </c>
      <c r="E5" s="60"/>
      <c r="F5" s="60"/>
      <c r="G5" s="60"/>
      <c r="H5" s="60"/>
      <c r="I5" s="60"/>
      <c r="J5" s="123" t="s">
        <v>8</v>
      </c>
      <c r="K5" s="60"/>
      <c r="L5" s="60"/>
      <c r="M5" s="121" t="s">
        <v>9</v>
      </c>
      <c r="N5" s="78">
        <f>N3*N2</f>
        <v>9.0862638494999999</v>
      </c>
      <c r="O5" s="66"/>
    </row>
    <row r="6" spans="1:15" x14ac:dyDescent="0.25">
      <c r="A6" s="121" t="s">
        <v>7</v>
      </c>
      <c r="B6" s="30" t="s">
        <v>184</v>
      </c>
      <c r="C6" s="60"/>
      <c r="D6" s="60"/>
      <c r="E6" s="60"/>
      <c r="F6" s="60"/>
      <c r="G6" s="60"/>
      <c r="H6" s="60"/>
      <c r="I6" s="60"/>
      <c r="J6" s="123" t="s">
        <v>12</v>
      </c>
      <c r="K6" s="60"/>
      <c r="L6" s="60"/>
      <c r="M6" s="60"/>
      <c r="N6" s="60"/>
      <c r="O6" s="66"/>
    </row>
    <row r="7" spans="1:15" x14ac:dyDescent="0.25">
      <c r="A7" s="121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1" t="s">
        <v>13</v>
      </c>
      <c r="B8" s="16" t="s">
        <v>169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4" t="s">
        <v>14</v>
      </c>
      <c r="B10" s="125" t="s">
        <v>19</v>
      </c>
      <c r="C10" s="125" t="s">
        <v>20</v>
      </c>
      <c r="D10" s="125" t="s">
        <v>21</v>
      </c>
      <c r="E10" s="125" t="s">
        <v>22</v>
      </c>
      <c r="F10" s="126" t="s">
        <v>23</v>
      </c>
      <c r="G10" s="126" t="s">
        <v>24</v>
      </c>
      <c r="H10" s="126" t="s">
        <v>25</v>
      </c>
      <c r="I10" s="126" t="s">
        <v>26</v>
      </c>
      <c r="J10" s="126" t="s">
        <v>27</v>
      </c>
      <c r="K10" s="126" t="s">
        <v>28</v>
      </c>
      <c r="L10" s="126" t="s">
        <v>29</v>
      </c>
      <c r="M10" s="126" t="s">
        <v>17</v>
      </c>
      <c r="N10" s="126" t="s">
        <v>18</v>
      </c>
      <c r="O10" s="66"/>
    </row>
    <row r="11" spans="1:15" s="24" customFormat="1" x14ac:dyDescent="0.25">
      <c r="A11" s="100">
        <v>10</v>
      </c>
      <c r="B11" s="32" t="s">
        <v>171</v>
      </c>
      <c r="C11" s="21" t="s">
        <v>172</v>
      </c>
      <c r="D11" s="34">
        <v>2.25</v>
      </c>
      <c r="E11" s="145">
        <f>L11*K11*J11</f>
        <v>1.6036136999999999E-2</v>
      </c>
      <c r="F11" s="21" t="s">
        <v>143</v>
      </c>
      <c r="G11" s="21"/>
      <c r="H11" s="20"/>
      <c r="I11" s="22" t="s">
        <v>163</v>
      </c>
      <c r="J11" s="146">
        <v>2.2698E-4</v>
      </c>
      <c r="K11" s="23">
        <v>8.9999999999999993E-3</v>
      </c>
      <c r="L11" s="33">
        <v>7850</v>
      </c>
      <c r="M11" s="25">
        <v>1</v>
      </c>
      <c r="N11" s="34">
        <f>IF(J11="",D11*M11,D11*J11*K11*L11*M11)</f>
        <v>3.6081308249999992E-2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7" t="s">
        <v>18</v>
      </c>
      <c r="N12" s="128">
        <f>SUM(N11:N11)</f>
        <v>3.6081308249999992E-2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29" t="s">
        <v>14</v>
      </c>
      <c r="B14" s="126" t="s">
        <v>31</v>
      </c>
      <c r="C14" s="126" t="s">
        <v>20</v>
      </c>
      <c r="D14" s="126" t="s">
        <v>21</v>
      </c>
      <c r="E14" s="126" t="s">
        <v>32</v>
      </c>
      <c r="F14" s="126" t="s">
        <v>17</v>
      </c>
      <c r="G14" s="126" t="s">
        <v>33</v>
      </c>
      <c r="H14" s="126" t="s">
        <v>34</v>
      </c>
      <c r="I14" s="126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161</v>
      </c>
      <c r="D15" s="36">
        <v>1.3</v>
      </c>
      <c r="E15" s="29" t="s">
        <v>35</v>
      </c>
      <c r="F15" s="35">
        <v>1</v>
      </c>
      <c r="G15" s="35"/>
      <c r="H15" s="35"/>
      <c r="I15" s="36">
        <f t="shared" ref="I15:I16" si="0">IF(H15="",D15*F15,D15*F15*H15)</f>
        <v>1.3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160</v>
      </c>
      <c r="C16" s="19"/>
      <c r="D16" s="34">
        <v>0.04</v>
      </c>
      <c r="E16" s="19" t="s">
        <v>162</v>
      </c>
      <c r="F16" s="147">
        <v>1.4858</v>
      </c>
      <c r="G16" s="29" t="s">
        <v>164</v>
      </c>
      <c r="H16" s="28">
        <v>3</v>
      </c>
      <c r="I16" s="34">
        <f t="shared" si="0"/>
        <v>0.17829600000000001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0" t="s">
        <v>18</v>
      </c>
      <c r="I17" s="128">
        <f>SUM(I15:I16)</f>
        <v>1.4782960000000001</v>
      </c>
      <c r="J17" s="26"/>
      <c r="K17" s="26"/>
      <c r="L17" s="26"/>
      <c r="M17" s="26"/>
      <c r="N17" s="26"/>
      <c r="O17" s="66"/>
    </row>
    <row r="18" spans="1:15" x14ac:dyDescent="0.25">
      <c r="A18" s="67"/>
      <c r="B18" s="60"/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60"/>
      <c r="N18" s="60"/>
      <c r="O18" s="66"/>
    </row>
    <row r="19" spans="1:15" ht="15.75" thickBot="1" x14ac:dyDescent="0.3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</row>
  </sheetData>
  <hyperlinks>
    <hyperlink ref="B4" location="'BR A0002'!A1" display="'BR A0002'!A1" xr:uid="{00000000-0004-0000-05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  <pageSetUpPr fitToPage="1"/>
  </sheetPr>
  <dimension ref="A1:O22"/>
  <sheetViews>
    <sheetView zoomScale="75" zoomScaleNormal="75" workbookViewId="0">
      <selection activeCell="B6" sqref="B6"/>
    </sheetView>
  </sheetViews>
  <sheetFormatPr baseColWidth="10" defaultColWidth="9.140625" defaultRowHeight="15" x14ac:dyDescent="0.25"/>
  <cols>
    <col min="1" max="1" width="10.5703125" bestFit="1" customWidth="1"/>
    <col min="2" max="2" width="34.42578125" bestFit="1" customWidth="1"/>
    <col min="3" max="3" width="30.85546875" bestFit="1" customWidth="1"/>
    <col min="4" max="4" width="9.28515625" bestFit="1" customWidth="1"/>
    <col min="5" max="5" width="8.7109375" bestFit="1" customWidth="1"/>
    <col min="7" max="7" width="37.140625" bestFit="1" customWidth="1"/>
    <col min="8" max="8" width="10" bestFit="1" customWidth="1"/>
    <col min="9" max="9" width="24" bestFit="1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2" spans="1:15" x14ac:dyDescent="0.25">
      <c r="A2" s="121" t="s">
        <v>0</v>
      </c>
      <c r="B2" s="16" t="s">
        <v>40</v>
      </c>
      <c r="C2" s="60"/>
      <c r="D2" s="60"/>
      <c r="E2" s="60"/>
      <c r="F2" s="60"/>
      <c r="G2" s="60" t="s">
        <v>136</v>
      </c>
      <c r="H2" s="60"/>
      <c r="I2" s="60"/>
      <c r="J2" s="122" t="s">
        <v>1</v>
      </c>
      <c r="K2" s="98">
        <v>81</v>
      </c>
      <c r="L2" s="60"/>
      <c r="M2" s="121" t="s">
        <v>16</v>
      </c>
      <c r="N2" s="78">
        <f>BR_02004_m+BR_02004_p</f>
        <v>0.28175735472631153</v>
      </c>
      <c r="O2" s="66"/>
    </row>
    <row r="3" spans="1:15" x14ac:dyDescent="0.25">
      <c r="A3" s="121" t="s">
        <v>3</v>
      </c>
      <c r="B3" s="16" t="str">
        <f>'BR A0002'!B3</f>
        <v>Brake System</v>
      </c>
      <c r="C3" s="60"/>
      <c r="D3" s="121" t="s">
        <v>6</v>
      </c>
      <c r="E3" s="104" t="s">
        <v>95</v>
      </c>
      <c r="F3" s="60"/>
      <c r="G3" s="60"/>
      <c r="H3" s="60"/>
      <c r="I3" s="60"/>
      <c r="J3" s="60"/>
      <c r="K3" s="60"/>
      <c r="L3" s="60"/>
      <c r="M3" s="121" t="s">
        <v>4</v>
      </c>
      <c r="N3" s="92">
        <v>2</v>
      </c>
      <c r="O3" s="66"/>
    </row>
    <row r="4" spans="1:15" x14ac:dyDescent="0.25">
      <c r="A4" s="121" t="s">
        <v>5</v>
      </c>
      <c r="B4" s="104" t="str">
        <f>'BR A0002'!B4</f>
        <v>Rear Brake Rotor</v>
      </c>
      <c r="C4" s="60"/>
      <c r="D4" s="121" t="s">
        <v>8</v>
      </c>
      <c r="E4" s="60"/>
      <c r="F4" s="60"/>
      <c r="G4" s="60"/>
      <c r="H4" s="60"/>
      <c r="I4" s="60"/>
      <c r="J4" s="123" t="s">
        <v>6</v>
      </c>
      <c r="K4" s="60"/>
      <c r="L4" s="60"/>
      <c r="M4" s="60"/>
      <c r="N4" s="60"/>
      <c r="O4" s="66"/>
    </row>
    <row r="5" spans="1:15" x14ac:dyDescent="0.25">
      <c r="A5" s="121" t="s">
        <v>15</v>
      </c>
      <c r="B5" s="18" t="s">
        <v>176</v>
      </c>
      <c r="C5" s="60"/>
      <c r="D5" s="121" t="s">
        <v>12</v>
      </c>
      <c r="E5" s="60"/>
      <c r="F5" s="60"/>
      <c r="G5" s="60"/>
      <c r="H5" s="60"/>
      <c r="I5" s="60"/>
      <c r="J5" s="123" t="s">
        <v>8</v>
      </c>
      <c r="K5" s="60"/>
      <c r="L5" s="60"/>
      <c r="M5" s="121" t="s">
        <v>9</v>
      </c>
      <c r="N5" s="78">
        <f>N3*N2</f>
        <v>0.56351470945262305</v>
      </c>
      <c r="O5" s="66"/>
    </row>
    <row r="6" spans="1:15" x14ac:dyDescent="0.25">
      <c r="A6" s="121" t="s">
        <v>7</v>
      </c>
      <c r="B6" s="30" t="s">
        <v>185</v>
      </c>
      <c r="C6" s="60"/>
      <c r="D6" s="60"/>
      <c r="E6" s="60"/>
      <c r="F6" s="60"/>
      <c r="G6" s="60"/>
      <c r="H6" s="60"/>
      <c r="I6" s="60"/>
      <c r="J6" s="123" t="s">
        <v>12</v>
      </c>
      <c r="K6" s="60"/>
      <c r="L6" s="60"/>
      <c r="M6" s="60"/>
      <c r="N6" s="60"/>
      <c r="O6" s="66"/>
    </row>
    <row r="7" spans="1:15" x14ac:dyDescent="0.25">
      <c r="A7" s="121" t="s">
        <v>10</v>
      </c>
      <c r="B7" s="16" t="s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6"/>
    </row>
    <row r="8" spans="1:15" x14ac:dyDescent="0.25">
      <c r="A8" s="121" t="s">
        <v>13</v>
      </c>
      <c r="B8" s="16" t="s">
        <v>175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6"/>
    </row>
    <row r="9" spans="1:15" x14ac:dyDescent="0.25">
      <c r="A9" s="99"/>
      <c r="B9" s="31"/>
      <c r="C9" s="31"/>
      <c r="D9" s="31"/>
      <c r="E9" s="31"/>
      <c r="F9" s="60"/>
      <c r="G9" s="60"/>
      <c r="H9" s="60"/>
      <c r="I9" s="60"/>
      <c r="J9" s="60"/>
      <c r="K9" s="60"/>
      <c r="L9" s="60"/>
      <c r="M9" s="60"/>
      <c r="N9" s="60"/>
      <c r="O9" s="66"/>
    </row>
    <row r="10" spans="1:15" x14ac:dyDescent="0.25">
      <c r="A10" s="124" t="s">
        <v>14</v>
      </c>
      <c r="B10" s="125" t="s">
        <v>19</v>
      </c>
      <c r="C10" s="125" t="s">
        <v>20</v>
      </c>
      <c r="D10" s="125" t="s">
        <v>21</v>
      </c>
      <c r="E10" s="125" t="s">
        <v>22</v>
      </c>
      <c r="F10" s="126" t="s">
        <v>23</v>
      </c>
      <c r="G10" s="126" t="s">
        <v>24</v>
      </c>
      <c r="H10" s="126" t="s">
        <v>25</v>
      </c>
      <c r="I10" s="126" t="s">
        <v>26</v>
      </c>
      <c r="J10" s="126" t="s">
        <v>27</v>
      </c>
      <c r="K10" s="126" t="s">
        <v>28</v>
      </c>
      <c r="L10" s="126" t="s">
        <v>29</v>
      </c>
      <c r="M10" s="126" t="s">
        <v>17</v>
      </c>
      <c r="N10" s="126" t="s">
        <v>18</v>
      </c>
      <c r="O10" s="66"/>
    </row>
    <row r="11" spans="1:15" s="24" customFormat="1" x14ac:dyDescent="0.25">
      <c r="A11" s="100">
        <v>10</v>
      </c>
      <c r="B11" s="32" t="s">
        <v>171</v>
      </c>
      <c r="C11" s="21" t="s">
        <v>181</v>
      </c>
      <c r="D11" s="34">
        <v>2.25</v>
      </c>
      <c r="E11" s="162">
        <f>J11*K11*L11</f>
        <v>1.7817935433916212E-2</v>
      </c>
      <c r="F11" s="21" t="s">
        <v>143</v>
      </c>
      <c r="G11" s="21"/>
      <c r="H11" s="20"/>
      <c r="I11" s="22" t="s">
        <v>177</v>
      </c>
      <c r="J11" s="146">
        <f>PI()*(0.017/2)^2</f>
        <v>2.2698006922186259E-4</v>
      </c>
      <c r="K11" s="23">
        <v>0.01</v>
      </c>
      <c r="L11" s="33">
        <v>7850</v>
      </c>
      <c r="M11" s="25">
        <v>1</v>
      </c>
      <c r="N11" s="34">
        <f>IF(J11="",D11*M11,D11*J11*K11*L11*M11)</f>
        <v>4.0090354726311485E-2</v>
      </c>
      <c r="O11" s="71"/>
    </row>
    <row r="12" spans="1:15" x14ac:dyDescent="0.25">
      <c r="A12" s="7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7" t="s">
        <v>18</v>
      </c>
      <c r="N12" s="128">
        <f>SUM(N11:N11)</f>
        <v>4.0090354726311485E-2</v>
      </c>
      <c r="O12" s="66"/>
    </row>
    <row r="13" spans="1:15" x14ac:dyDescent="0.25">
      <c r="A13" s="6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6"/>
    </row>
    <row r="14" spans="1:15" x14ac:dyDescent="0.25">
      <c r="A14" s="129" t="s">
        <v>14</v>
      </c>
      <c r="B14" s="126" t="s">
        <v>31</v>
      </c>
      <c r="C14" s="126" t="s">
        <v>20</v>
      </c>
      <c r="D14" s="126" t="s">
        <v>21</v>
      </c>
      <c r="E14" s="126" t="s">
        <v>32</v>
      </c>
      <c r="F14" s="126" t="s">
        <v>17</v>
      </c>
      <c r="G14" s="126" t="s">
        <v>33</v>
      </c>
      <c r="H14" s="126" t="s">
        <v>34</v>
      </c>
      <c r="I14" s="126" t="s">
        <v>18</v>
      </c>
      <c r="J14" s="26"/>
      <c r="K14" s="26"/>
      <c r="L14" s="26"/>
      <c r="M14" s="26"/>
      <c r="N14" s="26"/>
      <c r="O14" s="66"/>
    </row>
    <row r="15" spans="1:15" s="27" customFormat="1" x14ac:dyDescent="0.25">
      <c r="A15" s="101">
        <v>10</v>
      </c>
      <c r="B15" s="29" t="s">
        <v>43</v>
      </c>
      <c r="C15" s="35" t="s">
        <v>141</v>
      </c>
      <c r="D15" s="36">
        <v>1.3</v>
      </c>
      <c r="E15" s="29" t="s">
        <v>35</v>
      </c>
      <c r="F15" s="35">
        <v>1</v>
      </c>
      <c r="G15" s="35" t="s">
        <v>189</v>
      </c>
      <c r="H15" s="35">
        <f>1/8</f>
        <v>0.125</v>
      </c>
      <c r="I15" s="36">
        <f t="shared" ref="I15:I16" si="0">IF(H15="",D15*F15,D15*F15*H15)</f>
        <v>0.16250000000000001</v>
      </c>
      <c r="J15" s="62"/>
      <c r="K15" s="62"/>
      <c r="L15" s="62"/>
      <c r="M15" s="62"/>
      <c r="N15" s="62"/>
      <c r="O15" s="73"/>
    </row>
    <row r="16" spans="1:15" x14ac:dyDescent="0.25">
      <c r="A16" s="68">
        <v>20</v>
      </c>
      <c r="B16" s="29" t="s">
        <v>45</v>
      </c>
      <c r="C16" s="19" t="s">
        <v>46</v>
      </c>
      <c r="D16" s="34">
        <v>0.01</v>
      </c>
      <c r="E16" s="19" t="s">
        <v>47</v>
      </c>
      <c r="F16" s="147">
        <v>2.6389</v>
      </c>
      <c r="G16" s="29" t="s">
        <v>164</v>
      </c>
      <c r="H16" s="28">
        <v>3</v>
      </c>
      <c r="I16" s="34">
        <f t="shared" si="0"/>
        <v>7.9167000000000001E-2</v>
      </c>
      <c r="J16" s="60"/>
      <c r="K16" s="60"/>
      <c r="L16" s="60"/>
      <c r="M16" s="60"/>
      <c r="N16" s="60"/>
      <c r="O16" s="66"/>
    </row>
    <row r="17" spans="1:15" x14ac:dyDescent="0.25">
      <c r="A17" s="72"/>
      <c r="B17" s="26"/>
      <c r="C17" s="26"/>
      <c r="D17" s="26"/>
      <c r="E17" s="26"/>
      <c r="F17" s="26"/>
      <c r="G17" s="26"/>
      <c r="H17" s="130" t="s">
        <v>18</v>
      </c>
      <c r="I17" s="128">
        <f>SUM(I15:I16)</f>
        <v>0.24166700000000002</v>
      </c>
      <c r="J17" s="26"/>
      <c r="K17" s="26"/>
      <c r="L17" s="26"/>
      <c r="M17" s="26"/>
      <c r="N17" s="26"/>
      <c r="O17" s="66"/>
    </row>
    <row r="18" spans="1:15" x14ac:dyDescent="0.25">
      <c r="A18" s="67"/>
      <c r="B18" s="60"/>
      <c r="C18" s="60"/>
      <c r="D18" s="60"/>
      <c r="E18" s="60"/>
      <c r="F18" s="60"/>
      <c r="G18" s="60"/>
      <c r="H18" s="60"/>
      <c r="I18" s="61"/>
      <c r="J18" s="60"/>
      <c r="K18" s="60"/>
      <c r="L18" s="60"/>
      <c r="M18" s="60"/>
      <c r="N18" s="60"/>
      <c r="O18" s="66"/>
    </row>
    <row r="19" spans="1:15" x14ac:dyDescent="0.25">
      <c r="A19" s="67"/>
      <c r="B19" s="60"/>
      <c r="C19" s="60"/>
      <c r="D19" s="60"/>
      <c r="E19" s="60"/>
      <c r="F19" s="60"/>
      <c r="G19" s="60"/>
      <c r="H19" s="60"/>
      <c r="I19" s="61"/>
      <c r="J19" s="60"/>
      <c r="K19" s="60"/>
      <c r="L19" s="60"/>
      <c r="M19" s="60"/>
      <c r="N19" s="60"/>
      <c r="O19" s="66"/>
    </row>
    <row r="20" spans="1:15" x14ac:dyDescent="0.25">
      <c r="A20" s="67"/>
      <c r="B20" s="60"/>
      <c r="C20" s="60"/>
      <c r="D20" s="60"/>
      <c r="E20" s="60"/>
      <c r="F20" s="60"/>
      <c r="G20" s="60"/>
      <c r="H20" s="60"/>
      <c r="I20" s="61"/>
      <c r="J20" s="60"/>
      <c r="K20" s="60"/>
      <c r="L20" s="60"/>
      <c r="M20" s="60"/>
      <c r="N20" s="60"/>
      <c r="O20" s="66"/>
    </row>
    <row r="21" spans="1:15" x14ac:dyDescent="0.25">
      <c r="A21" s="67"/>
      <c r="B21" s="60"/>
      <c r="C21" s="60"/>
      <c r="D21" s="60"/>
      <c r="E21" s="60"/>
      <c r="F21" s="60"/>
      <c r="G21" s="60"/>
      <c r="H21" s="60"/>
      <c r="I21" s="61"/>
      <c r="J21" s="60"/>
      <c r="K21" s="60"/>
      <c r="L21" s="60"/>
      <c r="M21" s="60"/>
      <c r="N21" s="60"/>
      <c r="O21" s="66"/>
    </row>
    <row r="22" spans="1:15" ht="15.75" thickBot="1" x14ac:dyDescent="0.3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</row>
  </sheetData>
  <hyperlinks>
    <hyperlink ref="B4" location="'BR A0002'!A1" display="'BR A0002'!A1" xr:uid="{00000000-0004-0000-0600-000000000000}"/>
    <hyperlink ref="E3" location="'dBR 02004'!A1" display="Drawing" xr:uid="{00000000-0004-0000-0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bestFit="1" customWidth="1"/>
  </cols>
  <sheetData>
    <row r="1" spans="1:2" x14ac:dyDescent="0.25">
      <c r="A1" s="148" t="s">
        <v>94</v>
      </c>
      <c r="B1" s="104" t="s">
        <v>186</v>
      </c>
    </row>
  </sheetData>
  <hyperlinks>
    <hyperlink ref="B1" location="'BR 02002'!A1" display="BR 02002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B1"/>
  <sheetViews>
    <sheetView workbookViewId="0">
      <selection activeCell="G39" sqref="G39"/>
    </sheetView>
  </sheetViews>
  <sheetFormatPr baseColWidth="10" defaultRowHeight="15" x14ac:dyDescent="0.25"/>
  <cols>
    <col min="1" max="1" width="13.28515625" bestFit="1" customWidth="1"/>
  </cols>
  <sheetData>
    <row r="1" spans="1:2" x14ac:dyDescent="0.25">
      <c r="A1" t="s">
        <v>94</v>
      </c>
      <c r="B1" s="104" t="s">
        <v>185</v>
      </c>
    </row>
  </sheetData>
  <hyperlinks>
    <hyperlink ref="B1" location="'BR 02004'!A1" display="BR 02004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24</vt:i4>
      </vt:variant>
    </vt:vector>
  </HeadingPairs>
  <TitlesOfParts>
    <vt:vector size="33" baseType="lpstr">
      <vt:lpstr>Instructions</vt:lpstr>
      <vt:lpstr>BOM</vt:lpstr>
      <vt:lpstr>BR A0002</vt:lpstr>
      <vt:lpstr>BR 02001</vt:lpstr>
      <vt:lpstr>BR 02002</vt:lpstr>
      <vt:lpstr>BR 02003</vt:lpstr>
      <vt:lpstr>BR 02004</vt:lpstr>
      <vt:lpstr>dBR 02002</vt:lpstr>
      <vt:lpstr>dBR 02004</vt:lpstr>
      <vt:lpstr>BR_02001</vt:lpstr>
      <vt:lpstr>BR_02001_m</vt:lpstr>
      <vt:lpstr>BR_02001_p</vt:lpstr>
      <vt:lpstr>BR_02001_q</vt:lpstr>
      <vt:lpstr>BR_02002</vt:lpstr>
      <vt:lpstr>BR_02002_m</vt:lpstr>
      <vt:lpstr>BR_02002_p</vt:lpstr>
      <vt:lpstr>BR_02002_q</vt:lpstr>
      <vt:lpstr>BR_02003</vt:lpstr>
      <vt:lpstr>BR_02003_m</vt:lpstr>
      <vt:lpstr>BR_02003_p</vt:lpstr>
      <vt:lpstr>BR_02003_q</vt:lpstr>
      <vt:lpstr>BR_02004</vt:lpstr>
      <vt:lpstr>BR_02004_m</vt:lpstr>
      <vt:lpstr>BR_02004_p</vt:lpstr>
      <vt:lpstr>BR_02004_q</vt:lpstr>
      <vt:lpstr>BR_A0002</vt:lpstr>
      <vt:lpstr>BR_A0002_f</vt:lpstr>
      <vt:lpstr>BR_A0002_m</vt:lpstr>
      <vt:lpstr>BR_A0002_p</vt:lpstr>
      <vt:lpstr>BR_A0002_pa</vt:lpstr>
      <vt:lpstr>BR_A0002_q</vt:lpstr>
      <vt:lpstr>dBR_02002</vt:lpstr>
      <vt:lpstr>dBR_02004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2018-05-03T17:41:56Z</dcterms:modified>
  <dc:language>fr-FR</dc:language>
</cp:coreProperties>
</file>