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en\Documents\Vulcanix-v1.0\EN - Engine &amp; Powertrain\Cost\"/>
    </mc:Choice>
  </mc:AlternateContent>
  <bookViews>
    <workbookView xWindow="4740" yWindow="60" windowWidth="16380" windowHeight="8190" firstSheet="1" activeTab="1"/>
  </bookViews>
  <sheets>
    <sheet name="Instructions" sheetId="7" r:id="rId1"/>
    <sheet name="BOM" sheetId="8" r:id="rId2"/>
    <sheet name="EN_A0400" sheetId="1" r:id="rId3"/>
    <sheet name="EN_0400_001" sheetId="2" r:id="rId4"/>
    <sheet name="EN_0400_002" sheetId="12" r:id="rId5"/>
    <sheet name="EN_0400_003" sheetId="10" r:id="rId6"/>
    <sheet name="EN_0400_004" sheetId="13" r:id="rId7"/>
    <sheet name="EN_0400_005" sheetId="14" r:id="rId8"/>
    <sheet name="EN_0400_006" sheetId="16" r:id="rId9"/>
    <sheet name="EN_0400_007" sheetId="15" r:id="rId10"/>
    <sheet name="EN_0400_008" sheetId="17" r:id="rId11"/>
    <sheet name="EN_0400_009" sheetId="18" r:id="rId12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N">EN_A0400!$B$5</definedName>
    <definedName name="EN_0400_001">EN_0400_001!$B$5</definedName>
    <definedName name="EN_0400_001_f">EN_0400_001!$I$19</definedName>
    <definedName name="EN_0400_001_m">EN_0400_001!$N$12</definedName>
    <definedName name="EN_0400_001_p">EN_0400_001!$I$18</definedName>
    <definedName name="EN_0400_001_q">EN_0400_001!$N$3</definedName>
    <definedName name="EN_0400_001_t">EN_0400_001!$I$20</definedName>
    <definedName name="EN_0400_002">EN_0400_002!$B$5</definedName>
    <definedName name="EN_0400_002_f">EN_0400_002!$I$21</definedName>
    <definedName name="EN_0400_002_m">EN_0400_002!$N$12</definedName>
    <definedName name="EN_0400_002_p">EN_0400_002!$I$19</definedName>
    <definedName name="EN_0400_002_q">EN_0400_002!$N$3</definedName>
    <definedName name="EN_0400_002_t">EN_0400_002!$I$22</definedName>
    <definedName name="EN_0400_003">EN_0400_003!$B$5</definedName>
    <definedName name="EN_0400_003_f">EN_0400_003!$I$20</definedName>
    <definedName name="EN_0400_003_m">EN_0400_003!$N$12</definedName>
    <definedName name="EN_0400_003_p">EN_0400_003!$I$19</definedName>
    <definedName name="EN_0400_003_q">EN_0400_003!$N$3</definedName>
    <definedName name="EN_0400_003_t">EN_0400_003!$I$21</definedName>
    <definedName name="EN_0400_004">EN_0400_004!$B$5</definedName>
    <definedName name="EN_0400_004_f">EN_0400_004!$I$20</definedName>
    <definedName name="EN_0400_004_m">EN_0400_004!$N$12</definedName>
    <definedName name="EN_0400_004_p">EN_0400_004!$I$19</definedName>
    <definedName name="EN_0400_004_q">EN_0400_004!$N$3</definedName>
    <definedName name="EN_0400_004_t">EN_0400_004!$I$21</definedName>
    <definedName name="EN_0400_005">EN_0400_005!$B$5</definedName>
    <definedName name="EN_0400_005_f">EN_0400_005!$I$20</definedName>
    <definedName name="EN_0400_005_m">EN_0400_005!$N$12</definedName>
    <definedName name="EN_0400_005_p">EN_0400_005!$I$19</definedName>
    <definedName name="EN_0400_005_q">EN_0400_005!$N$3</definedName>
    <definedName name="EN_0400_005_t">EN_0400_005!$I$21</definedName>
    <definedName name="EN_0400_006">EN_0400_006!$B$5</definedName>
    <definedName name="EN_0400_006_f">EN_0400_006!$I$20</definedName>
    <definedName name="EN_0400_006_m">EN_0400_006!$N$12</definedName>
    <definedName name="EN_0400_006_p">EN_0400_006!$I$19</definedName>
    <definedName name="EN_0400_006_q">EN_0400_006!$N$3</definedName>
    <definedName name="EN_0400_006_t">EN_0400_006!$I$21</definedName>
    <definedName name="EN_0400_007">EN_0400_007!$B$5</definedName>
    <definedName name="EN_0400_007_f">EN_0400_007!$I$18</definedName>
    <definedName name="EN_0400_007_m">EN_0400_007!$N$12</definedName>
    <definedName name="EN_0400_007_p">EN_0400_007!$I$17</definedName>
    <definedName name="EN_0400_007_q">EN_0400_007!$N$3</definedName>
    <definedName name="EN_0400_007_t">EN_0400_007!$I$19</definedName>
    <definedName name="EN_0400_008">EN_0400_008!$B$5</definedName>
    <definedName name="EN_0400_008_f">EN_0400_008!$I$18</definedName>
    <definedName name="EN_0400_008_m">EN_0400_008!$N$12</definedName>
    <definedName name="EN_0400_008_p">EN_0400_008!$I$17</definedName>
    <definedName name="EN_0400_008_q">EN_0400_008!$N$3</definedName>
    <definedName name="EN_0400_008_t">EN_0400_008!$I$19</definedName>
    <definedName name="EN_0400_009">EN_0400_009!$B$5</definedName>
    <definedName name="EN_0400_009_f">EN_0400_009!$I$18</definedName>
    <definedName name="EN_0400_009_m">EN_0400_009!$N$12</definedName>
    <definedName name="EN_0400_009_p">EN_0400_009!$I$17</definedName>
    <definedName name="EN_0400_009_q">EN_0400_009!$N$3</definedName>
    <definedName name="EN_0400_009_t">EN_0400_009!$I$19</definedName>
    <definedName name="EN_A0400">EN_A0400!$B$4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EN_A0400!$B$5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BOM!$A$1:$N$17</definedName>
  </definedNames>
  <calcPr calcId="152511" iterateDelta="1E-4"/>
</workbook>
</file>

<file path=xl/calcChain.xml><?xml version="1.0" encoding="utf-8"?>
<calcChain xmlns="http://schemas.openxmlformats.org/spreadsheetml/2006/main">
  <c r="D18" i="1" l="1"/>
  <c r="D17" i="1"/>
  <c r="M8" i="8"/>
  <c r="M16" i="8"/>
  <c r="M15" i="8"/>
  <c r="M14" i="8"/>
  <c r="M13" i="8"/>
  <c r="M12" i="8"/>
  <c r="M11" i="8"/>
  <c r="M10" i="8"/>
  <c r="M9" i="8"/>
  <c r="M7" i="8"/>
  <c r="L11" i="8"/>
  <c r="L16" i="8"/>
  <c r="L15" i="8"/>
  <c r="L14" i="8"/>
  <c r="L13" i="8"/>
  <c r="L12" i="8"/>
  <c r="L10" i="8"/>
  <c r="L9" i="8"/>
  <c r="L8" i="8"/>
  <c r="L7" i="8"/>
  <c r="K9" i="8"/>
  <c r="K16" i="8"/>
  <c r="K15" i="8"/>
  <c r="K14" i="8"/>
  <c r="K13" i="8"/>
  <c r="K12" i="8"/>
  <c r="K11" i="8"/>
  <c r="K10" i="8"/>
  <c r="K8" i="8"/>
  <c r="K7" i="8"/>
  <c r="J16" i="8"/>
  <c r="J15" i="8"/>
  <c r="J14" i="8"/>
  <c r="J13" i="8"/>
  <c r="J12" i="8"/>
  <c r="J11" i="8"/>
  <c r="J10" i="8"/>
  <c r="J9" i="8"/>
  <c r="J8" i="8"/>
  <c r="J7" i="8"/>
  <c r="I16" i="8"/>
  <c r="I15" i="8"/>
  <c r="I14" i="8"/>
  <c r="I13" i="8"/>
  <c r="I12" i="8"/>
  <c r="I11" i="8"/>
  <c r="I10" i="8"/>
  <c r="I9" i="8"/>
  <c r="I8" i="8"/>
  <c r="I7" i="8"/>
  <c r="F16" i="8"/>
  <c r="F15" i="8"/>
  <c r="F14" i="8"/>
  <c r="F13" i="8"/>
  <c r="F12" i="8"/>
  <c r="F11" i="8"/>
  <c r="F10" i="8"/>
  <c r="F9" i="8"/>
  <c r="F8" i="8"/>
  <c r="F7" i="8"/>
  <c r="N2" i="18"/>
  <c r="N2" i="17"/>
  <c r="N2" i="15"/>
  <c r="N2" i="16"/>
  <c r="N2" i="14"/>
  <c r="N2" i="13"/>
  <c r="N2" i="10"/>
  <c r="N2" i="12"/>
  <c r="N2" i="2"/>
  <c r="E16" i="8" l="1"/>
  <c r="B11" i="1"/>
  <c r="J63" i="1"/>
  <c r="E15" i="8" l="1"/>
  <c r="E14" i="8"/>
  <c r="E13" i="8"/>
  <c r="E12" i="8"/>
  <c r="E11" i="8"/>
  <c r="E10" i="8"/>
  <c r="E8" i="8"/>
  <c r="E9" i="8"/>
  <c r="I33" i="1" l="1"/>
  <c r="I34" i="1"/>
  <c r="I48" i="1" l="1"/>
  <c r="C18" i="1"/>
  <c r="C17" i="1"/>
  <c r="I16" i="18"/>
  <c r="I15" i="18"/>
  <c r="I17" i="18" s="1"/>
  <c r="N11" i="18"/>
  <c r="N12" i="18" s="1"/>
  <c r="B4" i="18"/>
  <c r="B3" i="18"/>
  <c r="N5" i="18"/>
  <c r="I18" i="16"/>
  <c r="I17" i="16"/>
  <c r="I16" i="16"/>
  <c r="I15" i="16"/>
  <c r="N11" i="16"/>
  <c r="N12" i="16" s="1"/>
  <c r="I18" i="14"/>
  <c r="I19" i="14" s="1"/>
  <c r="I17" i="14"/>
  <c r="I16" i="14"/>
  <c r="I15" i="14"/>
  <c r="N11" i="14"/>
  <c r="N12" i="14" s="1"/>
  <c r="I18" i="13"/>
  <c r="I17" i="13"/>
  <c r="I16" i="13"/>
  <c r="I15" i="13"/>
  <c r="I18" i="10"/>
  <c r="I19" i="10" s="1"/>
  <c r="I17" i="10"/>
  <c r="I16" i="10"/>
  <c r="I15" i="10"/>
  <c r="N11" i="10"/>
  <c r="J11" i="10"/>
  <c r="I16" i="12"/>
  <c r="I17" i="12"/>
  <c r="I18" i="12"/>
  <c r="I16" i="2"/>
  <c r="J11" i="2"/>
  <c r="N25" i="1"/>
  <c r="N26" i="1"/>
  <c r="N27" i="1"/>
  <c r="N28" i="1"/>
  <c r="N29" i="1"/>
  <c r="I19" i="16" l="1"/>
  <c r="I19" i="13"/>
  <c r="N11" i="17" l="1"/>
  <c r="N12" i="17" s="1"/>
  <c r="I16" i="17"/>
  <c r="I15" i="17"/>
  <c r="B4" i="17"/>
  <c r="B3" i="17"/>
  <c r="D16" i="1"/>
  <c r="D15" i="1"/>
  <c r="D14" i="1"/>
  <c r="D13" i="1"/>
  <c r="D12" i="1"/>
  <c r="D11" i="1"/>
  <c r="B4" i="16"/>
  <c r="B3" i="16"/>
  <c r="I16" i="15"/>
  <c r="N11" i="15"/>
  <c r="N12" i="15" s="1"/>
  <c r="I15" i="15"/>
  <c r="B4" i="15"/>
  <c r="B3" i="15"/>
  <c r="N11" i="13"/>
  <c r="N12" i="13" s="1"/>
  <c r="N11" i="12"/>
  <c r="N12" i="12" s="1"/>
  <c r="B4" i="14"/>
  <c r="B3" i="14"/>
  <c r="B3" i="13"/>
  <c r="B4" i="13"/>
  <c r="I15" i="12"/>
  <c r="B4" i="12"/>
  <c r="B3" i="12"/>
  <c r="I17" i="2"/>
  <c r="I17" i="17" l="1"/>
  <c r="I17" i="15"/>
  <c r="I19" i="12"/>
  <c r="N5" i="12" s="1"/>
  <c r="N5" i="13" l="1"/>
  <c r="C13" i="1"/>
  <c r="N5" i="14"/>
  <c r="C14" i="1"/>
  <c r="N5" i="17"/>
  <c r="N5" i="15"/>
  <c r="C16" i="1"/>
  <c r="C11" i="1"/>
  <c r="N5" i="16" l="1"/>
  <c r="C15" i="1"/>
  <c r="N12" i="10"/>
  <c r="C12" i="1" s="1"/>
  <c r="B4" i="10"/>
  <c r="B3" i="10"/>
  <c r="I15" i="2" l="1"/>
  <c r="I18" i="2" s="1"/>
  <c r="E15" i="1" l="1"/>
  <c r="E16" i="1"/>
  <c r="E17" i="1"/>
  <c r="E18" i="1"/>
  <c r="J62" i="1"/>
  <c r="J60" i="1"/>
  <c r="J61" i="1"/>
  <c r="J59" i="1"/>
  <c r="I51" i="1"/>
  <c r="I50" i="1"/>
  <c r="I49" i="1"/>
  <c r="I52" i="1"/>
  <c r="I53" i="1"/>
  <c r="I47" i="1"/>
  <c r="I46" i="1"/>
  <c r="I45" i="1"/>
  <c r="I35" i="1"/>
  <c r="I36" i="1"/>
  <c r="I37" i="1"/>
  <c r="I38" i="1"/>
  <c r="I39" i="1"/>
  <c r="I40" i="1"/>
  <c r="I41" i="1"/>
  <c r="I42" i="1"/>
  <c r="I43" i="1"/>
  <c r="I44" i="1"/>
  <c r="N22" i="1"/>
  <c r="N23" i="1"/>
  <c r="N24" i="1"/>
  <c r="D10" i="1"/>
  <c r="E11" i="1"/>
  <c r="E14" i="1"/>
  <c r="E12" i="1"/>
  <c r="E13" i="1"/>
  <c r="J58" i="1" l="1"/>
  <c r="N30" i="1"/>
  <c r="B10" i="1" l="1"/>
  <c r="B9" i="8" l="1"/>
  <c r="B10" i="8"/>
  <c r="B11" i="8"/>
  <c r="B12" i="8"/>
  <c r="B13" i="8"/>
  <c r="B14" i="8"/>
  <c r="B15" i="8"/>
  <c r="B16" i="8"/>
  <c r="B8" i="8"/>
  <c r="B7" i="8"/>
  <c r="B3" i="2" l="1"/>
  <c r="B17" i="8"/>
  <c r="B4" i="2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N11" i="2"/>
  <c r="N12" i="2" s="1"/>
  <c r="J57" i="1"/>
  <c r="N5" i="10" l="1"/>
  <c r="I54" i="1"/>
  <c r="J64" i="1"/>
  <c r="M17" i="8" l="1"/>
  <c r="L17" i="8"/>
  <c r="C10" i="1"/>
  <c r="E10" i="1" s="1"/>
  <c r="E19" i="1" s="1"/>
  <c r="N2" i="1" s="1"/>
  <c r="H7" i="8"/>
  <c r="N7" i="8" s="1"/>
  <c r="K17" i="8"/>
  <c r="H8" i="8"/>
  <c r="N8" i="8" s="1"/>
  <c r="J17" i="8"/>
  <c r="O1" i="8"/>
  <c r="N5" i="2" l="1"/>
  <c r="N17" i="8"/>
  <c r="N5" i="1" l="1"/>
</calcChain>
</file>

<file path=xl/sharedStrings.xml><?xml version="1.0" encoding="utf-8"?>
<sst xmlns="http://schemas.openxmlformats.org/spreadsheetml/2006/main" count="830" uniqueCount="228">
  <si>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</si>
  <si>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</si>
  <si>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</si>
  <si>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</si>
  <si>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</si>
  <si>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</si>
  <si>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</si>
  <si>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</si>
  <si>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</si>
  <si>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</si>
  <si>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</si>
  <si>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</si>
  <si>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</si>
  <si>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</si>
  <si>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</si>
  <si>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</si>
  <si>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</si>
  <si>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</si>
  <si>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</si>
  <si>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</si>
  <si>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</si>
  <si>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</si>
  <si>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</si>
  <si>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</si>
  <si>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</si>
  <si>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</si>
  <si>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</si>
  <si>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</si>
  <si>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</si>
  <si>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</si>
  <si>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</si>
  <si>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</si>
  <si>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</si>
  <si>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</si>
  <si>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</si>
  <si>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</si>
  <si>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</si>
  <si>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Nut, Grade 8.8 (SAE 5)</t>
  </si>
  <si>
    <t>Ecole Centrale de Lyon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</si>
  <si>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</si>
  <si>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</si>
  <si>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</si>
  <si>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</si>
  <si>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</si>
  <si>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</si>
  <si>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</si>
  <si>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</si>
  <si>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</si>
  <si>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</si>
  <si>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</si>
  <si>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</si>
  <si>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</si>
  <si>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</si>
  <si>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</si>
  <si>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</si>
  <si>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</si>
  <si>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</si>
  <si>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</si>
  <si>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</si>
  <si>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</si>
  <si>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</si>
  <si>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</si>
  <si>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</si>
  <si>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</si>
  <si>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</si>
  <si>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</si>
  <si>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</si>
  <si>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</si>
  <si>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</si>
  <si>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</si>
  <si>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</si>
  <si>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</si>
  <si>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</si>
  <si>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</si>
  <si>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</si>
  <si>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</si>
  <si>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</si>
  <si>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</si>
  <si>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</si>
  <si>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</si>
  <si>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</si>
  <si>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</si>
  <si>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</si>
  <si>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</si>
  <si>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</si>
  <si>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</si>
  <si>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</si>
  <si>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</si>
  <si>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</si>
  <si>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</si>
  <si>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</si>
  <si>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</si>
  <si>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</si>
  <si>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</si>
  <si>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</si>
  <si>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</si>
  <si>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</si>
  <si>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</si>
  <si>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</si>
  <si>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</si>
  <si>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</si>
  <si>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</si>
  <si>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</si>
  <si>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</si>
  <si>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</si>
  <si>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</si>
  <si>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</si>
  <si>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</si>
  <si>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</si>
  <si>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</si>
  <si>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</si>
  <si>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</si>
  <si>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</si>
  <si>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</si>
  <si>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</si>
  <si>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</si>
  <si>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</si>
  <si>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</si>
  <si>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</si>
  <si>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</si>
  <si>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</si>
  <si>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</si>
  <si>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</si>
  <si>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</si>
  <si>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</si>
  <si>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Engine and Drivetrain</t>
  </si>
  <si>
    <t>Consulter le tutoriel disponible sur GitHub, dans Vulcanix-v1.0/Cost Report, pour plus d'informations sur cette étape.</t>
  </si>
  <si>
    <t>kg</t>
  </si>
  <si>
    <t>Sheet metal bends</t>
  </si>
  <si>
    <t>bend</t>
  </si>
  <si>
    <t>Weld</t>
  </si>
  <si>
    <t>Reaction Tool &lt;= 6,35 mm</t>
  </si>
  <si>
    <t>Bolt, Grade 8.8 (SAE 5)</t>
  </si>
  <si>
    <t>Material for part</t>
  </si>
  <si>
    <t>Aluminium, Normal</t>
  </si>
  <si>
    <t>Machinnig Setup, Install and remove</t>
  </si>
  <si>
    <t>Steel, Mild</t>
  </si>
  <si>
    <t>Stock material for part</t>
  </si>
  <si>
    <t>Throttle Body</t>
  </si>
  <si>
    <t>EN_A0600</t>
  </si>
  <si>
    <t>Throttle Body of the air intake assembly</t>
  </si>
  <si>
    <t>Throttle Frange</t>
  </si>
  <si>
    <t>Restrictor</t>
  </si>
  <si>
    <t>Throttle Housing</t>
  </si>
  <si>
    <t>Throttle Axle</t>
  </si>
  <si>
    <t>TPS Axle</t>
  </si>
  <si>
    <t>Cable Housing</t>
  </si>
  <si>
    <t>Axle Stop</t>
  </si>
  <si>
    <t>Ram Pipe</t>
  </si>
  <si>
    <t>Throttle Plate</t>
  </si>
  <si>
    <t>Air filter</t>
  </si>
  <si>
    <t>cm^2</t>
  </si>
  <si>
    <t>Spring, Tension (General)</t>
  </si>
  <si>
    <t>Torsion spring</t>
  </si>
  <si>
    <t>Hellicoidal spring</t>
  </si>
  <si>
    <t>Seal, O-ring Elastomer</t>
  </si>
  <si>
    <t>Sealing with airfilter</t>
  </si>
  <si>
    <t>Sealing with plenum</t>
  </si>
  <si>
    <t>Cable, Pull</t>
  </si>
  <si>
    <t>Cable, Adjuster</t>
  </si>
  <si>
    <t>Throttle cable</t>
  </si>
  <si>
    <t>Mount, Vibration-Damping, Sandwich</t>
  </si>
  <si>
    <t>Isolation between throttle and chassis</t>
  </si>
  <si>
    <t>m</t>
  </si>
  <si>
    <t>Bought, cost as made</t>
  </si>
  <si>
    <t>Rectangular area, 40x20mm</t>
  </si>
  <si>
    <t>Machining Setup, Install and remove</t>
  </si>
  <si>
    <t>Drillet holes &lt; 25,4mm dia,</t>
  </si>
  <si>
    <t>Machining</t>
  </si>
  <si>
    <t>hole</t>
  </si>
  <si>
    <t>cm^3</t>
  </si>
  <si>
    <t>Aluminium</t>
  </si>
  <si>
    <t>Round diam 42mm</t>
  </si>
  <si>
    <t>Machining setup, change</t>
  </si>
  <si>
    <t>Cutout shape</t>
  </si>
  <si>
    <t>Rectangular area, 45x30mm</t>
  </si>
  <si>
    <t>Round 10 mm</t>
  </si>
  <si>
    <t>Setup part for machining the back face</t>
  </si>
  <si>
    <t>Machining of the back face</t>
  </si>
  <si>
    <t>Steel</t>
  </si>
  <si>
    <t>Rectangular area 60x2mm</t>
  </si>
  <si>
    <t>Laser cut</t>
  </si>
  <si>
    <t>Round 25mm diam</t>
  </si>
  <si>
    <t>Round 80mm diam</t>
  </si>
  <si>
    <t>Round 32mm diam</t>
  </si>
  <si>
    <t>Assemble, 1kg, Interference</t>
  </si>
  <si>
    <t>Assemble throttle housing on restrictor</t>
  </si>
  <si>
    <t>Assemble flange on restrictor</t>
  </si>
  <si>
    <t>Assemble ram pipe on throttle housing</t>
  </si>
  <si>
    <t>Assemble throttle plate in restrictor</t>
  </si>
  <si>
    <t>Assemble TPS axle</t>
  </si>
  <si>
    <t>Assemble cable housing axle</t>
  </si>
  <si>
    <t>Assemble negative stop</t>
  </si>
  <si>
    <t>Assemble, 1kg, Line-on-line</t>
  </si>
  <si>
    <t>Assemble, 1kg, Loose</t>
  </si>
  <si>
    <t>Screwdriver &lt; 1 Turn</t>
  </si>
  <si>
    <t>Hand, Loose &lt;=6,35mm</t>
  </si>
  <si>
    <t>Tighten M5 bolt</t>
  </si>
  <si>
    <t>Reaction tool for M5 nut</t>
  </si>
  <si>
    <t>Assemble torsion spring</t>
  </si>
  <si>
    <t>Assemble axle stop</t>
  </si>
  <si>
    <t>Assemble seal on throttle body</t>
  </si>
  <si>
    <t>Assemble throttle body on plenum</t>
  </si>
  <si>
    <t>Tighten M6 bolt</t>
  </si>
  <si>
    <t>Reaction tool for M6 nut</t>
  </si>
  <si>
    <t>Reaction Tool &lt;=6,35mm</t>
  </si>
  <si>
    <t>Assemble air filter and clamp</t>
  </si>
  <si>
    <t>Tighten clamp</t>
  </si>
  <si>
    <t>Assemble cable adjuster</t>
  </si>
  <si>
    <t>Tighten cable adjuster</t>
  </si>
  <si>
    <t>Assemble cable</t>
  </si>
  <si>
    <t>Wrench &lt;= 6,35mm</t>
  </si>
  <si>
    <t>Washer, Grade 8.8 (SAE 5)</t>
  </si>
  <si>
    <t>Hose Clamp, Miniature Bolt</t>
  </si>
  <si>
    <t>Process 70</t>
  </si>
  <si>
    <t>Process 110</t>
  </si>
  <si>
    <t>Process 140</t>
  </si>
  <si>
    <t>Process 170</t>
  </si>
  <si>
    <t>EN_A0400</t>
  </si>
  <si>
    <t>EN_0400_001</t>
  </si>
  <si>
    <t>EN_0400_002</t>
  </si>
  <si>
    <t>EN_0400_003</t>
  </si>
  <si>
    <t>EN_0400_004</t>
  </si>
  <si>
    <t>EN_0400_005</t>
  </si>
  <si>
    <t>EN_0400_006</t>
  </si>
  <si>
    <t>EN_0400_007</t>
  </si>
  <si>
    <t>EN_0400_008</t>
  </si>
  <si>
    <t>EN_0400_009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</si>
</sst>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#,##0.000"/>
    <numFmt numFmtId="176" formatCode="0.00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2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48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6" xfId="0" applyFont="1" applyBorder="1"/>
    <xf numFmtId="0" fontId="4" fillId="0" borderId="22" xfId="0" applyFont="1" applyBorder="1" applyAlignment="1"/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3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3" fontId="11" fillId="7" borderId="3" xfId="1" applyNumberFormat="1" applyFont="1" applyFill="1" applyBorder="1" applyAlignment="1" applyProtection="1">
      <alignment horizontal="center"/>
      <protection locked="0"/>
    </xf>
    <xf numFmtId="173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3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174" fontId="4" fillId="0" borderId="16" xfId="7" applyNumberFormat="1" applyFont="1" applyBorder="1" applyAlignment="1" applyProtection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4" fillId="0" borderId="16" xfId="0" applyFont="1" applyBorder="1" applyAlignment="1">
      <alignment horizontal="left" wrapText="1"/>
    </xf>
    <xf numFmtId="0" fontId="18" fillId="0" borderId="17" xfId="8" applyBorder="1"/>
    <xf numFmtId="0" fontId="3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175" fontId="0" fillId="0" borderId="3" xfId="0" applyNumberFormat="1" applyBorder="1" applyAlignment="1"/>
    <xf numFmtId="174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11" fontId="4" fillId="0" borderId="3" xfId="7" applyNumberFormat="1" applyFont="1" applyBorder="1" applyAlignment="1" applyProtection="1"/>
    <xf numFmtId="0" fontId="4" fillId="0" borderId="3" xfId="0" applyNumberFormat="1" applyFont="1" applyBorder="1" applyAlignment="1"/>
    <xf numFmtId="0" fontId="18" fillId="0" borderId="16" xfId="8" applyBorder="1"/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153681</xdr:colOff>
      <xdr:row>36</xdr:row>
      <xdr:rowOff>159004</xdr:rowOff>
    </xdr:from>
    <xdr:to>
      <xdr:col>12</xdr:col>
      <xdr:colOff>952500</xdr:colOff>
      <xdr:row>54</xdr:row>
      <xdr:rowOff>79481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6931" y="7017004"/>
          <a:ext cx="1560819" cy="3349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D24" sqref="D24"/>
    </sheetView>
  </sheetViews>
  <sheetFormatPr baseColWidth="10" defaultRowHeight="15" x14ac:dyDescent="0.25"/>
  <sheetData>
    <row r="1" spans="1:2" x14ac:dyDescent="0.25">
      <c r="A1" s="95" t="s">
        <v>112</v>
      </c>
    </row>
    <row r="3" spans="1:2" x14ac:dyDescent="0.25">
      <c r="A3" s="94" t="s">
        <v>58</v>
      </c>
      <c r="B3" s="91" t="s">
        <v>59</v>
      </c>
    </row>
    <row r="5" spans="1:2" x14ac:dyDescent="0.25">
      <c r="A5" t="s">
        <v>113</v>
      </c>
    </row>
    <row r="6" spans="1:2" x14ac:dyDescent="0.25">
      <c r="A6" t="s">
        <v>90</v>
      </c>
    </row>
    <row r="7" spans="1:2" x14ac:dyDescent="0.25">
      <c r="A7" t="s">
        <v>96</v>
      </c>
    </row>
    <row r="8" spans="1:2" x14ac:dyDescent="0.25">
      <c r="A8" t="s">
        <v>94</v>
      </c>
    </row>
    <row r="9" spans="1:2" x14ac:dyDescent="0.25">
      <c r="A9" t="s">
        <v>60</v>
      </c>
    </row>
    <row r="10" spans="1:2" x14ac:dyDescent="0.25">
      <c r="A10" s="91" t="s">
        <v>87</v>
      </c>
    </row>
    <row r="11" spans="1:2" x14ac:dyDescent="0.25">
      <c r="A11" t="s">
        <v>124</v>
      </c>
    </row>
    <row r="12" spans="1:2" x14ac:dyDescent="0.25">
      <c r="A12" t="s">
        <v>61</v>
      </c>
    </row>
    <row r="14" spans="1:2" x14ac:dyDescent="0.25">
      <c r="A14" t="s">
        <v>89</v>
      </c>
    </row>
    <row r="15" spans="1:2" x14ac:dyDescent="0.25">
      <c r="A15" t="s">
        <v>114</v>
      </c>
    </row>
    <row r="16" spans="1:2" x14ac:dyDescent="0.25">
      <c r="A16" t="s">
        <v>100</v>
      </c>
    </row>
    <row r="18" spans="1:3" x14ac:dyDescent="0.25">
      <c r="A18" s="94" t="s">
        <v>62</v>
      </c>
      <c r="B18" s="91" t="s">
        <v>92</v>
      </c>
      <c r="C18" s="91"/>
    </row>
    <row r="20" spans="1:3" x14ac:dyDescent="0.25">
      <c r="A20" t="s">
        <v>99</v>
      </c>
    </row>
    <row r="21" spans="1:3" x14ac:dyDescent="0.25">
      <c r="A21" t="s">
        <v>126</v>
      </c>
    </row>
    <row r="23" spans="1:3" x14ac:dyDescent="0.25">
      <c r="A23" s="94" t="s">
        <v>64</v>
      </c>
      <c r="B23" s="91" t="s">
        <v>65</v>
      </c>
    </row>
    <row r="25" spans="1:3" x14ac:dyDescent="0.25">
      <c r="A25" t="s">
        <v>115</v>
      </c>
    </row>
    <row r="26" spans="1:3" x14ac:dyDescent="0.25">
      <c r="A26" t="s">
        <v>71</v>
      </c>
    </row>
    <row r="27" spans="1:3" x14ac:dyDescent="0.25">
      <c r="A27" t="s">
        <v>66</v>
      </c>
    </row>
    <row r="28" spans="1:3" x14ac:dyDescent="0.25">
      <c r="A28" t="s">
        <v>97</v>
      </c>
    </row>
    <row r="29" spans="1:3" x14ac:dyDescent="0.25">
      <c r="A29" t="s">
        <v>95</v>
      </c>
    </row>
    <row r="30" spans="1:3" x14ac:dyDescent="0.25">
      <c r="A30" t="s">
        <v>67</v>
      </c>
    </row>
    <row r="31" spans="1:3" x14ac:dyDescent="0.25">
      <c r="A31" s="91" t="s">
        <v>87</v>
      </c>
    </row>
    <row r="32" spans="1:3" x14ac:dyDescent="0.25">
      <c r="A32" t="s">
        <v>116</v>
      </c>
    </row>
    <row r="33" spans="1:2" x14ac:dyDescent="0.25">
      <c r="A33" t="s">
        <v>117</v>
      </c>
    </row>
    <row r="35" spans="1:2" x14ac:dyDescent="0.25">
      <c r="A35" t="s">
        <v>98</v>
      </c>
    </row>
    <row r="36" spans="1:2" x14ac:dyDescent="0.25">
      <c r="A36" t="s">
        <v>118</v>
      </c>
    </row>
    <row r="37" spans="1:2" x14ac:dyDescent="0.25">
      <c r="A37" t="s">
        <v>101</v>
      </c>
    </row>
    <row r="39" spans="1:2" x14ac:dyDescent="0.25">
      <c r="A39" s="94" t="s">
        <v>68</v>
      </c>
      <c r="B39" s="91" t="s">
        <v>63</v>
      </c>
    </row>
    <row r="41" spans="1:2" x14ac:dyDescent="0.25">
      <c r="A41" t="s">
        <v>106</v>
      </c>
    </row>
    <row r="42" spans="1:2" x14ac:dyDescent="0.25">
      <c r="A42" t="s">
        <v>107</v>
      </c>
    </row>
    <row r="43" spans="1:2" x14ac:dyDescent="0.25">
      <c r="A43" t="s">
        <v>91</v>
      </c>
    </row>
    <row r="45" spans="1:2" x14ac:dyDescent="0.25">
      <c r="A45" s="94" t="s">
        <v>69</v>
      </c>
      <c r="B45" s="91" t="s">
        <v>84</v>
      </c>
    </row>
    <row r="47" spans="1:2" x14ac:dyDescent="0.25">
      <c r="A47" t="s">
        <v>119</v>
      </c>
    </row>
    <row r="48" spans="1:2" x14ac:dyDescent="0.25">
      <c r="A48" t="s">
        <v>85</v>
      </c>
    </row>
    <row r="49" spans="1:2" x14ac:dyDescent="0.25">
      <c r="A49" t="s">
        <v>86</v>
      </c>
    </row>
    <row r="50" spans="1:2" x14ac:dyDescent="0.25">
      <c r="A50" t="s">
        <v>120</v>
      </c>
    </row>
    <row r="51" spans="1:2" x14ac:dyDescent="0.25">
      <c r="A51" t="s">
        <v>108</v>
      </c>
    </row>
    <row r="52" spans="1:2" x14ac:dyDescent="0.25">
      <c r="A52" t="s">
        <v>121</v>
      </c>
    </row>
    <row r="53" spans="1:2" x14ac:dyDescent="0.25">
      <c r="A53" t="s">
        <v>123</v>
      </c>
    </row>
    <row r="55" spans="1:2" x14ac:dyDescent="0.25">
      <c r="A55" t="s">
        <v>102</v>
      </c>
    </row>
    <row r="57" spans="1:2" x14ac:dyDescent="0.25">
      <c r="A57" s="94" t="s">
        <v>73</v>
      </c>
      <c r="B57" s="91" t="s">
        <v>70</v>
      </c>
    </row>
    <row r="59" spans="1:2" x14ac:dyDescent="0.25">
      <c r="A59" t="s">
        <v>72</v>
      </c>
    </row>
    <row r="60" spans="1:2" x14ac:dyDescent="0.25">
      <c r="A60" t="s">
        <v>103</v>
      </c>
    </row>
    <row r="61" spans="1:2" x14ac:dyDescent="0.25">
      <c r="A61" t="s">
        <v>122</v>
      </c>
    </row>
    <row r="63" spans="1:2" x14ac:dyDescent="0.25">
      <c r="A63" s="94" t="s">
        <v>83</v>
      </c>
      <c r="B63" s="91" t="s">
        <v>74</v>
      </c>
    </row>
    <row r="65" spans="1:1" x14ac:dyDescent="0.25">
      <c r="A65" t="s">
        <v>75</v>
      </c>
    </row>
    <row r="66" spans="1:1" x14ac:dyDescent="0.25">
      <c r="A66" t="s">
        <v>77</v>
      </c>
    </row>
    <row r="67" spans="1:1" x14ac:dyDescent="0.25">
      <c r="A67" t="s">
        <v>76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104</v>
      </c>
    </row>
    <row r="72" spans="1:1" x14ac:dyDescent="0.25">
      <c r="A72" t="s">
        <v>105</v>
      </c>
    </row>
    <row r="74" spans="1:1" x14ac:dyDescent="0.25">
      <c r="A74" t="s">
        <v>109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104</v>
      </c>
    </row>
    <row r="78" spans="1:1" x14ac:dyDescent="0.25">
      <c r="A78" t="s">
        <v>105</v>
      </c>
    </row>
    <row r="80" spans="1:1" x14ac:dyDescent="0.25">
      <c r="A80" s="91" t="s">
        <v>88</v>
      </c>
    </row>
    <row r="82" spans="1:1" x14ac:dyDescent="0.25">
      <c r="A82" s="95" t="s">
        <v>93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EN_0400_007_m+EN_0400_007_p</f>
        <v>2.0409999999999999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147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2.0409999999999999</v>
      </c>
      <c r="O5" s="60"/>
    </row>
    <row r="6" spans="1:15" x14ac:dyDescent="0.25">
      <c r="A6" s="126" t="s">
        <v>7</v>
      </c>
      <c r="B6" s="27" t="s">
        <v>225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136</v>
      </c>
      <c r="C11" s="20" t="s">
        <v>133</v>
      </c>
      <c r="D11" s="31">
        <v>2.25</v>
      </c>
      <c r="E11" s="20">
        <v>0.11600000000000001</v>
      </c>
      <c r="F11" s="20" t="s">
        <v>127</v>
      </c>
      <c r="G11" s="20"/>
      <c r="H11" s="19"/>
      <c r="I11" s="21" t="s">
        <v>182</v>
      </c>
      <c r="J11" s="145">
        <v>4.9100000000000001E-4</v>
      </c>
      <c r="K11" s="22">
        <v>0.03</v>
      </c>
      <c r="L11" s="30">
        <v>7850</v>
      </c>
      <c r="M11" s="24">
        <v>1</v>
      </c>
      <c r="N11" s="31">
        <f>D11*E11</f>
        <v>0.26100000000000001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0.26100000000000001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135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4</v>
      </c>
      <c r="G16" s="82" t="s">
        <v>179</v>
      </c>
      <c r="H16" s="82">
        <v>3</v>
      </c>
      <c r="I16" s="71">
        <f>IF(H16="",D16*F16,D16*F16*H16)</f>
        <v>0.48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5" t="s">
        <v>18</v>
      </c>
      <c r="I17" s="130">
        <f>SUM(I15:I16)</f>
        <v>1.78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8"/>
      <c r="I18" s="139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8"/>
      <c r="I19" s="139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EN_0400_008_m+EN_0400_008_p</f>
        <v>12.5068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148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12.5068</v>
      </c>
      <c r="O5" s="60"/>
    </row>
    <row r="6" spans="1:15" x14ac:dyDescent="0.25">
      <c r="A6" s="126" t="s">
        <v>7</v>
      </c>
      <c r="B6" s="27" t="s">
        <v>226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134</v>
      </c>
      <c r="C11" s="20" t="s">
        <v>137</v>
      </c>
      <c r="D11" s="31">
        <v>4.2</v>
      </c>
      <c r="E11" s="146">
        <v>0.95399999999999996</v>
      </c>
      <c r="F11" s="20" t="s">
        <v>127</v>
      </c>
      <c r="G11" s="20"/>
      <c r="H11" s="19"/>
      <c r="I11" s="21" t="s">
        <v>183</v>
      </c>
      <c r="J11" s="145">
        <v>5.0299999999999997E-3</v>
      </c>
      <c r="K11" s="22">
        <v>7.0000000000000007E-2</v>
      </c>
      <c r="L11" s="142">
        <v>2712</v>
      </c>
      <c r="M11" s="24">
        <v>1</v>
      </c>
      <c r="N11" s="31">
        <f>D11*E11</f>
        <v>4.0068000000000001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4.0068000000000001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180</v>
      </c>
      <c r="G16" s="82" t="s">
        <v>171</v>
      </c>
      <c r="H16" s="82">
        <v>1</v>
      </c>
      <c r="I16" s="71">
        <f>IF(H16="",D16*F16,D16*F16*H16)</f>
        <v>7.2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5" t="s">
        <v>18</v>
      </c>
      <c r="I17" s="130">
        <f>SUM(I15:I16)</f>
        <v>8.5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8"/>
      <c r="I18" s="139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8"/>
      <c r="I19" s="139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EN_0400_009_m+EN_0400_009_p</f>
        <v>1.492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149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1.492</v>
      </c>
      <c r="O5" s="60"/>
    </row>
    <row r="6" spans="1:15" x14ac:dyDescent="0.25">
      <c r="A6" s="126" t="s">
        <v>7</v>
      </c>
      <c r="B6" s="27" t="s">
        <v>227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136</v>
      </c>
      <c r="C11" s="20" t="s">
        <v>137</v>
      </c>
      <c r="D11" s="31">
        <v>2.25</v>
      </c>
      <c r="E11" s="146">
        <v>3.2000000000000001E-2</v>
      </c>
      <c r="F11" s="20" t="s">
        <v>127</v>
      </c>
      <c r="G11" s="20"/>
      <c r="H11" s="19"/>
      <c r="I11" s="21" t="s">
        <v>184</v>
      </c>
      <c r="J11" s="145">
        <v>8.0400000000000003E-4</v>
      </c>
      <c r="K11" s="22">
        <v>5.0000000000000001E-3</v>
      </c>
      <c r="L11" s="30">
        <v>7850</v>
      </c>
      <c r="M11" s="24">
        <v>1</v>
      </c>
      <c r="N11" s="31">
        <f>D11*E11</f>
        <v>7.2000000000000008E-2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7.2000000000000008E-2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>IF(H15="",D15*F15,D15*F15*H15)</f>
        <v>1.3</v>
      </c>
      <c r="J15" s="56"/>
      <c r="K15" s="56"/>
      <c r="L15" s="56"/>
      <c r="M15" s="56"/>
      <c r="N15" s="56"/>
      <c r="O15" s="66"/>
    </row>
    <row r="16" spans="1:15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1</v>
      </c>
      <c r="G16" s="82" t="s">
        <v>179</v>
      </c>
      <c r="H16" s="82">
        <v>3</v>
      </c>
      <c r="I16" s="71">
        <f>IF(H16="",D16*F16,D16*F16*H16)</f>
        <v>0.12</v>
      </c>
      <c r="J16" s="55"/>
      <c r="K16" s="55"/>
      <c r="L16" s="55"/>
      <c r="M16" s="55"/>
      <c r="N16" s="55"/>
      <c r="O16" s="60"/>
    </row>
    <row r="17" spans="1:15" x14ac:dyDescent="0.25">
      <c r="A17" s="65"/>
      <c r="B17" s="25"/>
      <c r="C17" s="25"/>
      <c r="D17" s="25"/>
      <c r="E17" s="25"/>
      <c r="F17" s="25"/>
      <c r="G17" s="25"/>
      <c r="H17" s="135" t="s">
        <v>18</v>
      </c>
      <c r="I17" s="130">
        <f>SUM(I15:I16)</f>
        <v>1.42</v>
      </c>
      <c r="J17" s="25"/>
      <c r="K17" s="25"/>
      <c r="L17" s="25"/>
      <c r="M17" s="25"/>
      <c r="N17" s="25"/>
      <c r="O17" s="60"/>
    </row>
    <row r="18" spans="1:15" x14ac:dyDescent="0.25">
      <c r="A18" s="65"/>
      <c r="B18" s="25"/>
      <c r="C18" s="25"/>
      <c r="D18" s="25"/>
      <c r="E18" s="25"/>
      <c r="F18" s="25"/>
      <c r="G18" s="25"/>
      <c r="H18" s="138"/>
      <c r="I18" s="139"/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8"/>
      <c r="I19" s="139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3"/>
  <sheetViews>
    <sheetView tabSelected="1"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C20" sqref="C2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7" style="9" customWidth="1"/>
    <col min="4" max="4" width="10" style="9" bestFit="1" customWidth="1"/>
    <col min="5" max="5" width="23" style="9" customWidth="1"/>
    <col min="6" max="6" width="39.140625" style="4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1" t="s">
        <v>0</v>
      </c>
      <c r="B1" s="98" t="s">
        <v>38</v>
      </c>
      <c r="D1" s="42"/>
      <c r="M1" s="54" t="s">
        <v>39</v>
      </c>
      <c r="N1" s="43"/>
      <c r="O1" s="53" t="e">
        <f>#REF!</f>
        <v>#REF!</v>
      </c>
    </row>
    <row r="2" spans="1:15" s="15" customFormat="1" ht="15.75" thickBot="1" x14ac:dyDescent="0.3">
      <c r="A2" s="49" t="s">
        <v>40</v>
      </c>
      <c r="B2" s="97" t="s">
        <v>110</v>
      </c>
      <c r="C2" s="14"/>
      <c r="F2" s="37"/>
    </row>
    <row r="3" spans="1:15" s="15" customFormat="1" ht="16.5" thickTop="1" thickBot="1" x14ac:dyDescent="0.3">
      <c r="A3" s="50" t="s">
        <v>41</v>
      </c>
      <c r="B3" s="52">
        <v>2018</v>
      </c>
      <c r="C3" s="14"/>
      <c r="F3" s="37"/>
    </row>
    <row r="4" spans="1:15" s="15" customFormat="1" ht="16.5" thickTop="1" thickBot="1" x14ac:dyDescent="0.3">
      <c r="A4" s="48" t="s">
        <v>1</v>
      </c>
      <c r="B4" s="96">
        <v>81</v>
      </c>
      <c r="C4" s="14"/>
      <c r="D4" s="42" t="s">
        <v>42</v>
      </c>
      <c r="F4" s="37"/>
    </row>
    <row r="5" spans="1:15" s="35" customFormat="1" ht="15.75" thickTop="1" x14ac:dyDescent="0.25">
      <c r="A5" s="34"/>
      <c r="B5" s="38"/>
      <c r="C5" s="36"/>
      <c r="F5" s="39"/>
    </row>
    <row r="6" spans="1:15" s="33" customFormat="1" ht="49.5" customHeight="1" x14ac:dyDescent="0.25">
      <c r="A6" s="32" t="s">
        <v>43</v>
      </c>
      <c r="B6" s="45" t="s">
        <v>44</v>
      </c>
      <c r="C6" s="45" t="s">
        <v>45</v>
      </c>
      <c r="D6" s="45" t="s">
        <v>46</v>
      </c>
      <c r="E6" s="45" t="s">
        <v>47</v>
      </c>
      <c r="F6" s="45" t="s">
        <v>48</v>
      </c>
      <c r="G6" s="45" t="s">
        <v>49</v>
      </c>
      <c r="H6" s="47" t="s">
        <v>50</v>
      </c>
      <c r="I6" s="45" t="s">
        <v>17</v>
      </c>
      <c r="J6" s="45" t="s">
        <v>51</v>
      </c>
      <c r="K6" s="45" t="s">
        <v>52</v>
      </c>
      <c r="L6" s="45" t="s">
        <v>53</v>
      </c>
      <c r="M6" s="45" t="s">
        <v>54</v>
      </c>
      <c r="N6" s="46" t="s">
        <v>55</v>
      </c>
      <c r="O6" s="45" t="s">
        <v>56</v>
      </c>
    </row>
    <row r="7" spans="1:15" ht="15" x14ac:dyDescent="0.25">
      <c r="A7" s="101"/>
      <c r="B7" s="102" t="str">
        <f>EN_A0400!B3</f>
        <v>Engine and Drivetrain</v>
      </c>
      <c r="C7" s="103" t="s">
        <v>218</v>
      </c>
      <c r="D7" s="103" t="s">
        <v>11</v>
      </c>
      <c r="E7" s="103"/>
      <c r="F7" s="104" t="str">
        <f>EN_A0400</f>
        <v>Throttle Body</v>
      </c>
      <c r="G7" s="103"/>
      <c r="H7" s="105">
        <f>SUM(J7:M7)</f>
        <v>130.01000000000002</v>
      </c>
      <c r="I7" s="106">
        <f>EN_A0400_q</f>
        <v>1</v>
      </c>
      <c r="J7" s="107">
        <f>EN_A0400_m</f>
        <v>119.8</v>
      </c>
      <c r="K7" s="107">
        <f>EN_A0400_p</f>
        <v>9.1900000000000013</v>
      </c>
      <c r="L7" s="107">
        <f>EN_A0400_f</f>
        <v>1.02</v>
      </c>
      <c r="M7" s="107">
        <f>EN_A0400_t</f>
        <v>0</v>
      </c>
      <c r="N7" s="108">
        <f t="shared" ref="N7:N16" si="0">H7*I7</f>
        <v>130.01000000000002</v>
      </c>
      <c r="O7" s="109"/>
    </row>
    <row r="8" spans="1:15" ht="15" x14ac:dyDescent="0.25">
      <c r="A8" s="110"/>
      <c r="B8" s="111" t="str">
        <f>EN_A0400!$B$3</f>
        <v>Engine and Drivetrain</v>
      </c>
      <c r="C8" s="112" t="s">
        <v>219</v>
      </c>
      <c r="D8" s="113" t="s">
        <v>11</v>
      </c>
      <c r="E8" s="113" t="str">
        <f>F$7</f>
        <v>Throttle Body</v>
      </c>
      <c r="F8" s="114" t="str">
        <f>EN_0400_001</f>
        <v>Throttle Frange</v>
      </c>
      <c r="G8" s="113"/>
      <c r="H8" s="115">
        <f t="shared" ref="H8:H16" si="1">SUM(J8:M8)</f>
        <v>5.1789856000000007</v>
      </c>
      <c r="I8" s="116">
        <f>EN_A0400_q*EN_0400_001_q</f>
        <v>1</v>
      </c>
      <c r="J8" s="117">
        <f>EN_0400_001_m</f>
        <v>0.72898560000000012</v>
      </c>
      <c r="K8" s="117">
        <f>EN_0400_001_p</f>
        <v>4.45</v>
      </c>
      <c r="L8" s="117">
        <f>EN_0400_001_f</f>
        <v>0</v>
      </c>
      <c r="M8" s="117">
        <f>EN_0400_001_t</f>
        <v>0</v>
      </c>
      <c r="N8" s="118">
        <f t="shared" si="0"/>
        <v>5.1789856000000007</v>
      </c>
      <c r="O8" s="119"/>
    </row>
    <row r="9" spans="1:15" ht="15" x14ac:dyDescent="0.25">
      <c r="A9" s="110"/>
      <c r="B9" s="111" t="str">
        <f>EN_A0400!$B$3</f>
        <v>Engine and Drivetrain</v>
      </c>
      <c r="C9" s="112" t="s">
        <v>220</v>
      </c>
      <c r="D9" s="113" t="s">
        <v>11</v>
      </c>
      <c r="E9" s="113" t="str">
        <f t="shared" ref="E9:E16" si="2">F$7</f>
        <v>Throttle Body</v>
      </c>
      <c r="F9" s="114" t="str">
        <f>EN_0400_002</f>
        <v>Restrictor</v>
      </c>
      <c r="G9" s="113"/>
      <c r="H9" s="115">
        <f t="shared" si="1"/>
        <v>5.7292000000000005</v>
      </c>
      <c r="I9" s="116">
        <f>EN_A0400_q*EN_0400_002_q</f>
        <v>1</v>
      </c>
      <c r="J9" s="117">
        <f>EN_0400_002_m</f>
        <v>1.5792000000000002</v>
      </c>
      <c r="K9" s="117">
        <f>EN_0400_002_p</f>
        <v>4.1500000000000004</v>
      </c>
      <c r="L9" s="117">
        <f>EN_0400_002_f</f>
        <v>0</v>
      </c>
      <c r="M9" s="117">
        <f>EN_0400_002_t</f>
        <v>0</v>
      </c>
      <c r="N9" s="118">
        <f t="shared" si="0"/>
        <v>5.7292000000000005</v>
      </c>
      <c r="O9" s="119"/>
    </row>
    <row r="10" spans="1:15" ht="15" x14ac:dyDescent="0.25">
      <c r="A10" s="110"/>
      <c r="B10" s="111" t="str">
        <f>EN_A0400!$B$3</f>
        <v>Engine and Drivetrain</v>
      </c>
      <c r="C10" s="112" t="s">
        <v>221</v>
      </c>
      <c r="D10" s="113" t="s">
        <v>11</v>
      </c>
      <c r="E10" s="113" t="str">
        <f t="shared" si="2"/>
        <v>Throttle Body</v>
      </c>
      <c r="F10" s="114" t="str">
        <f>EN_0400_003</f>
        <v>Throttle Housing</v>
      </c>
      <c r="G10" s="113"/>
      <c r="H10" s="115">
        <f t="shared" si="1"/>
        <v>4.2741999999999996</v>
      </c>
      <c r="I10" s="116">
        <f>EN_A0400_q*EN_0400_003_q</f>
        <v>1</v>
      </c>
      <c r="J10" s="117">
        <f>EN_0400_003_m</f>
        <v>0.84420000000000006</v>
      </c>
      <c r="K10" s="117">
        <f>EN_0400_003_p</f>
        <v>3.4299999999999997</v>
      </c>
      <c r="L10" s="117">
        <f>EN_0400_003_f</f>
        <v>0</v>
      </c>
      <c r="M10" s="117">
        <f>EN_0400_003_t</f>
        <v>0</v>
      </c>
      <c r="N10" s="118">
        <f t="shared" si="0"/>
        <v>4.2741999999999996</v>
      </c>
      <c r="O10" s="119"/>
    </row>
    <row r="11" spans="1:15" ht="15" x14ac:dyDescent="0.25">
      <c r="A11" s="110"/>
      <c r="B11" s="111" t="str">
        <f>EN_A0400!$B$3</f>
        <v>Engine and Drivetrain</v>
      </c>
      <c r="C11" s="112" t="s">
        <v>222</v>
      </c>
      <c r="D11" s="113" t="s">
        <v>11</v>
      </c>
      <c r="E11" s="113" t="str">
        <f t="shared" si="2"/>
        <v>Throttle Body</v>
      </c>
      <c r="F11" s="114" t="str">
        <f>EN_0400_004</f>
        <v>Throttle Axle</v>
      </c>
      <c r="G11" s="113"/>
      <c r="H11" s="115">
        <f t="shared" si="1"/>
        <v>2.7262499999999998</v>
      </c>
      <c r="I11" s="116">
        <f>EN_A0400_q*EN_0400_004_q</f>
        <v>1</v>
      </c>
      <c r="J11" s="117">
        <f>EN_0400_004_m</f>
        <v>5.6250000000000001E-2</v>
      </c>
      <c r="K11" s="117">
        <f>EN_0400_004_p</f>
        <v>2.67</v>
      </c>
      <c r="L11" s="117">
        <f>EN_0400_004_f</f>
        <v>0</v>
      </c>
      <c r="M11" s="117">
        <f>EN_0400_004_t</f>
        <v>0</v>
      </c>
      <c r="N11" s="118">
        <f t="shared" si="0"/>
        <v>2.7262499999999998</v>
      </c>
      <c r="O11" s="119"/>
    </row>
    <row r="12" spans="1:15" ht="15" x14ac:dyDescent="0.25">
      <c r="A12" s="110"/>
      <c r="B12" s="111" t="str">
        <f>EN_A0400!$B$3</f>
        <v>Engine and Drivetrain</v>
      </c>
      <c r="C12" s="112" t="s">
        <v>223</v>
      </c>
      <c r="D12" s="113" t="s">
        <v>11</v>
      </c>
      <c r="E12" s="113" t="str">
        <f t="shared" si="2"/>
        <v>Throttle Body</v>
      </c>
      <c r="F12" s="114" t="str">
        <f>EN_0400_005</f>
        <v>TPS Axle</v>
      </c>
      <c r="G12" s="113"/>
      <c r="H12" s="115">
        <f t="shared" si="1"/>
        <v>2.7105000000000001</v>
      </c>
      <c r="I12" s="116">
        <f>EN_A0400_q*EN_0400_005_q</f>
        <v>1</v>
      </c>
      <c r="J12" s="117">
        <f>EN_0400_005_m</f>
        <v>4.0499999999999994E-2</v>
      </c>
      <c r="K12" s="117">
        <f>EN_0400_005_p</f>
        <v>2.67</v>
      </c>
      <c r="L12" s="117">
        <f>EN_0400_005_f</f>
        <v>0</v>
      </c>
      <c r="M12" s="117">
        <f>EN_0400_005_t</f>
        <v>0</v>
      </c>
      <c r="N12" s="118">
        <f t="shared" si="0"/>
        <v>2.7105000000000001</v>
      </c>
      <c r="O12" s="119"/>
    </row>
    <row r="13" spans="1:15" ht="15" x14ac:dyDescent="0.25">
      <c r="A13" s="110"/>
      <c r="B13" s="111" t="str">
        <f>EN_A0400!$B$3</f>
        <v>Engine and Drivetrain</v>
      </c>
      <c r="C13" s="112" t="s">
        <v>224</v>
      </c>
      <c r="D13" s="113" t="s">
        <v>11</v>
      </c>
      <c r="E13" s="113" t="str">
        <f t="shared" si="2"/>
        <v>Throttle Body</v>
      </c>
      <c r="F13" s="114" t="str">
        <f>EN_0400_006</f>
        <v>Cable Housing</v>
      </c>
      <c r="G13" s="113"/>
      <c r="H13" s="115">
        <f t="shared" si="1"/>
        <v>3.5687500000000001</v>
      </c>
      <c r="I13" s="116">
        <f>EN_A0400_q*EN_0400_006_q</f>
        <v>1</v>
      </c>
      <c r="J13" s="117">
        <f>EN_0400_006_m</f>
        <v>0.16874999999999998</v>
      </c>
      <c r="K13" s="117">
        <f>EN_0400_006_p</f>
        <v>3.4</v>
      </c>
      <c r="L13" s="117">
        <f>EN_0400_006_f</f>
        <v>0</v>
      </c>
      <c r="M13" s="117">
        <f>EN_0400_006_t</f>
        <v>0</v>
      </c>
      <c r="N13" s="118">
        <f t="shared" si="0"/>
        <v>3.5687500000000001</v>
      </c>
      <c r="O13" s="119"/>
    </row>
    <row r="14" spans="1:15" ht="15" x14ac:dyDescent="0.25">
      <c r="A14" s="110"/>
      <c r="B14" s="111" t="str">
        <f>EN_A0400!$B$3</f>
        <v>Engine and Drivetrain</v>
      </c>
      <c r="C14" s="112" t="s">
        <v>225</v>
      </c>
      <c r="D14" s="113" t="s">
        <v>11</v>
      </c>
      <c r="E14" s="113" t="str">
        <f t="shared" si="2"/>
        <v>Throttle Body</v>
      </c>
      <c r="F14" s="114" t="str">
        <f>EN_0400_007</f>
        <v>Axle Stop</v>
      </c>
      <c r="G14" s="113"/>
      <c r="H14" s="115">
        <f t="shared" si="1"/>
        <v>2.0409999999999999</v>
      </c>
      <c r="I14" s="116">
        <f>EN_A0400_q*EN_0400_007_q</f>
        <v>1</v>
      </c>
      <c r="J14" s="117">
        <f>EN_0400_007_m</f>
        <v>0.26100000000000001</v>
      </c>
      <c r="K14" s="117">
        <f>EN_0400_007_p</f>
        <v>1.78</v>
      </c>
      <c r="L14" s="117">
        <f>EN_0400_007_f</f>
        <v>0</v>
      </c>
      <c r="M14" s="117">
        <f>EN_0400_007_t</f>
        <v>0</v>
      </c>
      <c r="N14" s="118">
        <f t="shared" si="0"/>
        <v>2.0409999999999999</v>
      </c>
      <c r="O14" s="119"/>
    </row>
    <row r="15" spans="1:15" ht="15" x14ac:dyDescent="0.25">
      <c r="A15" s="110"/>
      <c r="B15" s="111" t="str">
        <f>EN_A0400!$B$3</f>
        <v>Engine and Drivetrain</v>
      </c>
      <c r="C15" s="112" t="s">
        <v>226</v>
      </c>
      <c r="D15" s="113" t="s">
        <v>11</v>
      </c>
      <c r="E15" s="113" t="str">
        <f t="shared" si="2"/>
        <v>Throttle Body</v>
      </c>
      <c r="F15" s="114" t="str">
        <f>EN_0400_008</f>
        <v>Ram Pipe</v>
      </c>
      <c r="G15" s="120"/>
      <c r="H15" s="115">
        <f t="shared" si="1"/>
        <v>12.5068</v>
      </c>
      <c r="I15" s="116">
        <f>EN_A0400_q*EN_0400_008_q</f>
        <v>1</v>
      </c>
      <c r="J15" s="117">
        <f>EN_0400_008_m</f>
        <v>4.0068000000000001</v>
      </c>
      <c r="K15" s="117">
        <f>EN_0400_008_p</f>
        <v>8.5</v>
      </c>
      <c r="L15" s="117">
        <f>EN_0400_008_f</f>
        <v>0</v>
      </c>
      <c r="M15" s="117">
        <f>EN_0400_008_t</f>
        <v>0</v>
      </c>
      <c r="N15" s="118">
        <f t="shared" si="0"/>
        <v>12.5068</v>
      </c>
      <c r="O15" s="119"/>
    </row>
    <row r="16" spans="1:15" ht="15.75" thickBot="1" x14ac:dyDescent="0.3">
      <c r="A16" s="110"/>
      <c r="B16" s="111" t="str">
        <f>EN_A0400!$B$3</f>
        <v>Engine and Drivetrain</v>
      </c>
      <c r="C16" s="112" t="s">
        <v>227</v>
      </c>
      <c r="D16" s="113" t="s">
        <v>11</v>
      </c>
      <c r="E16" s="113" t="str">
        <f t="shared" si="2"/>
        <v>Throttle Body</v>
      </c>
      <c r="F16" s="114" t="str">
        <f>EN_0400_009</f>
        <v>Throttle Plate</v>
      </c>
      <c r="G16" s="113"/>
      <c r="H16" s="115">
        <f t="shared" si="1"/>
        <v>1.492</v>
      </c>
      <c r="I16" s="116">
        <f>EN_A0400_q*EN_0400_009_q</f>
        <v>1</v>
      </c>
      <c r="J16" s="117">
        <f>EN_0400_009_m</f>
        <v>7.2000000000000008E-2</v>
      </c>
      <c r="K16" s="117">
        <f>EN_0400_009_p</f>
        <v>1.42</v>
      </c>
      <c r="L16" s="117">
        <f>EN_0400_009_f</f>
        <v>0</v>
      </c>
      <c r="M16" s="117">
        <f>EN_0400_009_t</f>
        <v>0</v>
      </c>
      <c r="N16" s="118">
        <f t="shared" si="0"/>
        <v>1.492</v>
      </c>
      <c r="O16" s="119"/>
    </row>
    <row r="17" spans="1:15" s="12" customFormat="1" ht="15.75" thickTop="1" thickBot="1" x14ac:dyDescent="0.25">
      <c r="A17" s="5"/>
      <c r="B17" s="40" t="str">
        <f>EN_A0400!B3</f>
        <v>Engine and Drivetrain</v>
      </c>
      <c r="C17" s="1"/>
      <c r="D17" s="1"/>
      <c r="E17" s="1"/>
      <c r="F17" s="40" t="s">
        <v>57</v>
      </c>
      <c r="G17" s="1"/>
      <c r="H17" s="3"/>
      <c r="I17" s="4"/>
      <c r="J17" s="100">
        <f>SUMPRODUCT($I7:$I16,J7:J16)</f>
        <v>127.5576856</v>
      </c>
      <c r="K17" s="100">
        <f>SUMPRODUCT($I7:$I16,K7:K16)</f>
        <v>41.660000000000004</v>
      </c>
      <c r="L17" s="100">
        <f>SUMPRODUCT($I7:$I16,L7:L16)</f>
        <v>1.02</v>
      </c>
      <c r="M17" s="100">
        <f>SUMPRODUCT($I7:$I16,M7:M16)</f>
        <v>0</v>
      </c>
      <c r="N17" s="100">
        <f>SUM(N7:N16)</f>
        <v>170.23768559999999</v>
      </c>
      <c r="O17" s="2"/>
    </row>
    <row r="18" spans="1:15" ht="13.5" thickTop="1" x14ac:dyDescent="0.2">
      <c r="A18" s="11"/>
      <c r="B18" s="41"/>
      <c r="C18" s="13"/>
      <c r="D18" s="13"/>
      <c r="E18" s="13"/>
      <c r="F18" s="13"/>
      <c r="G18" s="13"/>
      <c r="H18" s="8"/>
      <c r="I18" s="13"/>
      <c r="J18" s="13"/>
      <c r="K18" s="13"/>
      <c r="L18" s="13"/>
      <c r="M18" s="13"/>
      <c r="N18" s="13"/>
    </row>
    <row r="19" spans="1:15" x14ac:dyDescent="0.2">
      <c r="A19" s="11"/>
      <c r="B19" s="4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44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44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s="9" customFormat="1" x14ac:dyDescent="0.2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1"/>
      <c r="I57" s="6"/>
      <c r="J57" s="6"/>
      <c r="K57" s="6"/>
      <c r="L57" s="6"/>
      <c r="M57" s="6"/>
    </row>
    <row r="58" spans="1:14" s="10" customFormat="1" x14ac:dyDescent="0.2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1"/>
      <c r="G163" s="9"/>
      <c r="H163" s="9"/>
      <c r="I163" s="6"/>
      <c r="J163" s="6"/>
      <c r="K163" s="6"/>
      <c r="L163" s="6"/>
      <c r="M163" s="6"/>
      <c r="N163" s="9"/>
    </row>
  </sheetData>
  <hyperlinks>
    <hyperlink ref="F7" location="EN_A0400" display="EN_A0400"/>
    <hyperlink ref="F8" location="EN_0400_001" display="EN_0400_001"/>
    <hyperlink ref="F9:F16" location="BR_01001" display="BR_01001"/>
    <hyperlink ref="F9" location="EN_0400_002" display="EN_0400_002"/>
    <hyperlink ref="F10" location="EN_0400_003" display="EN_0400_003"/>
    <hyperlink ref="F11" location="EN_0400_004" display="EN_0400_004"/>
    <hyperlink ref="F12" location="EN_0400_005" display="EN_0400_005"/>
    <hyperlink ref="F13" location="EN_0400_006" display="EN_0400_006"/>
    <hyperlink ref="F14" location="EN_0400_007" display="EN_0400_007"/>
    <hyperlink ref="F15" location="EN_0400_008" display="EN_0400_008"/>
    <hyperlink ref="F16" location="EN_0400_009" display="EN_0400_009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 H9:H16 H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G17" sqref="G17"/>
    </sheetView>
  </sheetViews>
  <sheetFormatPr baseColWidth="10" defaultColWidth="9.140625" defaultRowHeight="15" x14ac:dyDescent="0.25"/>
  <cols>
    <col min="1" max="1" width="11.42578125"/>
    <col min="2" max="2" width="35.28515625" customWidth="1"/>
    <col min="3" max="3" width="68.42578125" customWidth="1"/>
    <col min="4" max="4" width="11.42578125" customWidth="1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1" t="s">
        <v>0</v>
      </c>
      <c r="B2" s="16" t="s">
        <v>38</v>
      </c>
      <c r="C2" s="55"/>
      <c r="D2" s="55"/>
      <c r="E2" s="55" t="s">
        <v>111</v>
      </c>
      <c r="F2" s="55"/>
      <c r="G2" s="55"/>
      <c r="H2" s="55"/>
      <c r="I2" s="55"/>
      <c r="J2" s="121" t="s">
        <v>1</v>
      </c>
      <c r="K2" s="86">
        <v>81</v>
      </c>
      <c r="L2" s="55"/>
      <c r="M2" s="121" t="s">
        <v>2</v>
      </c>
      <c r="N2" s="99">
        <f>EN_A0400_pa+EN_A0400_m+EN_A0400_p+EN_A0400_f+EN_A0400_t</f>
        <v>170.23768559999999</v>
      </c>
      <c r="O2" s="60"/>
    </row>
    <row r="3" spans="1:15" x14ac:dyDescent="0.25">
      <c r="A3" s="121" t="s">
        <v>3</v>
      </c>
      <c r="B3" s="16" t="s">
        <v>125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121" t="s">
        <v>4</v>
      </c>
      <c r="N3" s="85">
        <v>1</v>
      </c>
      <c r="O3" s="60"/>
    </row>
    <row r="4" spans="1:15" x14ac:dyDescent="0.25">
      <c r="A4" s="121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124" t="s">
        <v>6</v>
      </c>
      <c r="K4" s="55"/>
      <c r="L4" s="55"/>
      <c r="M4" s="55"/>
      <c r="N4" s="55"/>
      <c r="O4" s="60"/>
    </row>
    <row r="5" spans="1:15" x14ac:dyDescent="0.25">
      <c r="A5" s="121" t="s">
        <v>7</v>
      </c>
      <c r="B5" s="18" t="s">
        <v>139</v>
      </c>
      <c r="C5" s="55"/>
      <c r="D5" s="55"/>
      <c r="E5" s="55"/>
      <c r="F5" s="55"/>
      <c r="G5" s="55"/>
      <c r="H5" s="55"/>
      <c r="I5" s="55"/>
      <c r="J5" s="124" t="s">
        <v>8</v>
      </c>
      <c r="K5" s="55"/>
      <c r="L5" s="55"/>
      <c r="M5" s="121" t="s">
        <v>9</v>
      </c>
      <c r="N5" s="71">
        <f>N2*N3</f>
        <v>170.23768559999999</v>
      </c>
      <c r="O5" s="60"/>
    </row>
    <row r="6" spans="1:15" x14ac:dyDescent="0.25">
      <c r="A6" s="121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124" t="s">
        <v>12</v>
      </c>
      <c r="K6" s="55"/>
      <c r="L6" s="55"/>
      <c r="M6" s="55"/>
      <c r="N6" s="55"/>
      <c r="O6" s="60"/>
    </row>
    <row r="7" spans="1:15" x14ac:dyDescent="0.25">
      <c r="A7" s="121" t="s">
        <v>13</v>
      </c>
      <c r="B7" s="16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6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121" t="s">
        <v>14</v>
      </c>
      <c r="B9" s="121" t="s">
        <v>15</v>
      </c>
      <c r="C9" s="121" t="s">
        <v>16</v>
      </c>
      <c r="D9" s="121" t="s">
        <v>17</v>
      </c>
      <c r="E9" s="121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70">
        <v>10</v>
      </c>
      <c r="B10" s="90" t="str">
        <f>EN_0400_001!B5</f>
        <v>Throttle Frange</v>
      </c>
      <c r="C10" s="71">
        <f>EN_0400_001!N$2</f>
        <v>5.1789856000000007</v>
      </c>
      <c r="D10" s="89">
        <f>EN_0400_001!N$3</f>
        <v>1</v>
      </c>
      <c r="E10" s="71">
        <f>C10*D10</f>
        <v>5.1789856000000007</v>
      </c>
      <c r="F10" s="55"/>
      <c r="G10" s="55"/>
      <c r="H10" s="55"/>
      <c r="I10" s="55"/>
      <c r="J10" s="55"/>
      <c r="K10" s="55"/>
      <c r="L10" s="55"/>
      <c r="M10" s="55"/>
      <c r="N10" s="55"/>
      <c r="O10" s="60"/>
    </row>
    <row r="11" spans="1:15" x14ac:dyDescent="0.25">
      <c r="A11" s="70">
        <v>20</v>
      </c>
      <c r="B11" s="93" t="str">
        <f>EN_0400_002!B5</f>
        <v>Restrictor</v>
      </c>
      <c r="C11" s="71">
        <f>EN_0400_002!N2</f>
        <v>5.7292000000000005</v>
      </c>
      <c r="D11" s="89">
        <f>EN_0400_002!N3</f>
        <v>1</v>
      </c>
      <c r="E11" s="71">
        <f t="shared" ref="E11:E18" si="0">C11*D11</f>
        <v>5.7292000000000005</v>
      </c>
      <c r="F11" s="56"/>
      <c r="G11" s="56"/>
      <c r="H11" s="56"/>
      <c r="I11" s="56"/>
      <c r="J11" s="56"/>
      <c r="K11" s="56"/>
      <c r="L11" s="56"/>
      <c r="M11" s="56"/>
      <c r="N11" s="56"/>
      <c r="O11" s="60"/>
    </row>
    <row r="12" spans="1:15" x14ac:dyDescent="0.25">
      <c r="A12" s="70">
        <v>30</v>
      </c>
      <c r="B12" s="90" t="s">
        <v>143</v>
      </c>
      <c r="C12" s="71">
        <f>EN_0400_003!N2</f>
        <v>4.2741999999999996</v>
      </c>
      <c r="D12" s="89">
        <f>EN_0400_003!N3</f>
        <v>1</v>
      </c>
      <c r="E12" s="71">
        <f t="shared" si="0"/>
        <v>4.2741999999999996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2"/>
    </row>
    <row r="13" spans="1:15" s="17" customFormat="1" x14ac:dyDescent="0.25">
      <c r="A13" s="70">
        <v>40</v>
      </c>
      <c r="B13" s="90" t="s">
        <v>144</v>
      </c>
      <c r="C13" s="71">
        <f>EN_0400_004!N2</f>
        <v>2.7262499999999998</v>
      </c>
      <c r="D13" s="89">
        <f>EN_0400_004!N3</f>
        <v>1</v>
      </c>
      <c r="E13" s="71">
        <f t="shared" si="0"/>
        <v>2.7262499999999998</v>
      </c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s="17" customFormat="1" x14ac:dyDescent="0.25">
      <c r="A14" s="70">
        <v>50</v>
      </c>
      <c r="B14" s="147" t="s">
        <v>145</v>
      </c>
      <c r="C14" s="71">
        <f>EN_0400_005!N2</f>
        <v>2.7105000000000001</v>
      </c>
      <c r="D14" s="89">
        <f>EN_0400_005!N3</f>
        <v>1</v>
      </c>
      <c r="E14" s="71">
        <f t="shared" si="0"/>
        <v>2.7105000000000001</v>
      </c>
      <c r="F14" s="56"/>
      <c r="G14" s="56"/>
      <c r="H14" s="56"/>
      <c r="I14" s="56"/>
      <c r="J14" s="56"/>
      <c r="K14" s="56"/>
      <c r="L14" s="56"/>
      <c r="M14" s="56"/>
      <c r="N14" s="56"/>
      <c r="O14" s="63"/>
    </row>
    <row r="15" spans="1:15" x14ac:dyDescent="0.25">
      <c r="A15" s="70">
        <v>60</v>
      </c>
      <c r="B15" s="147" t="s">
        <v>146</v>
      </c>
      <c r="C15" s="71">
        <f>EN_0400_006!N2</f>
        <v>3.5687500000000001</v>
      </c>
      <c r="D15" s="89">
        <f>EN_0400_006!N3</f>
        <v>1</v>
      </c>
      <c r="E15" s="71">
        <f t="shared" si="0"/>
        <v>3.5687500000000001</v>
      </c>
      <c r="F15" s="55"/>
      <c r="G15" s="55"/>
      <c r="H15" s="55"/>
      <c r="I15" s="55"/>
      <c r="J15" s="55"/>
      <c r="K15" s="55"/>
      <c r="L15" s="55"/>
      <c r="M15" s="55"/>
      <c r="N15" s="55"/>
      <c r="O15" s="60"/>
    </row>
    <row r="16" spans="1:15" x14ac:dyDescent="0.25">
      <c r="A16" s="70">
        <v>70</v>
      </c>
      <c r="B16" s="147" t="s">
        <v>147</v>
      </c>
      <c r="C16" s="71">
        <f>EN_0400_007!N2</f>
        <v>2.0409999999999999</v>
      </c>
      <c r="D16" s="89">
        <f>EN_0400_007!N3</f>
        <v>1</v>
      </c>
      <c r="E16" s="71">
        <f t="shared" si="0"/>
        <v>2.0409999999999999</v>
      </c>
      <c r="F16" s="55"/>
      <c r="G16" s="55"/>
      <c r="H16" s="55"/>
      <c r="I16" s="55"/>
      <c r="J16" s="55"/>
      <c r="K16" s="55"/>
      <c r="L16" s="55"/>
      <c r="M16" s="55"/>
      <c r="N16" s="55"/>
      <c r="O16" s="60"/>
    </row>
    <row r="17" spans="1:15" x14ac:dyDescent="0.25">
      <c r="A17" s="70">
        <v>80</v>
      </c>
      <c r="B17" s="147" t="s">
        <v>148</v>
      </c>
      <c r="C17" s="71">
        <f>EN_0400_008!N2</f>
        <v>12.5068</v>
      </c>
      <c r="D17" s="89">
        <f>EN_0400_008!N3</f>
        <v>1</v>
      </c>
      <c r="E17" s="71">
        <f t="shared" si="0"/>
        <v>12.5068</v>
      </c>
      <c r="F17" s="55"/>
      <c r="G17" s="55"/>
      <c r="H17" s="55"/>
      <c r="I17" s="55"/>
      <c r="J17" s="55"/>
      <c r="K17" s="55"/>
      <c r="L17" s="55"/>
      <c r="M17" s="55"/>
      <c r="N17" s="55"/>
      <c r="O17" s="60"/>
    </row>
    <row r="18" spans="1:15" x14ac:dyDescent="0.25">
      <c r="A18" s="70">
        <v>90</v>
      </c>
      <c r="B18" s="147" t="s">
        <v>149</v>
      </c>
      <c r="C18" s="71">
        <f>EN_0400_009!N2</f>
        <v>1.492</v>
      </c>
      <c r="D18" s="89">
        <f>EN_0400_009!N3</f>
        <v>1</v>
      </c>
      <c r="E18" s="71">
        <f t="shared" si="0"/>
        <v>1.492</v>
      </c>
      <c r="F18" s="55"/>
      <c r="G18" s="55"/>
      <c r="H18" s="55"/>
      <c r="I18" s="55"/>
      <c r="J18" s="55"/>
      <c r="K18" s="55"/>
      <c r="L18" s="55"/>
      <c r="M18" s="55"/>
      <c r="N18" s="55"/>
      <c r="O18" s="60"/>
    </row>
    <row r="19" spans="1:15" x14ac:dyDescent="0.25">
      <c r="A19" s="61"/>
      <c r="B19" s="55"/>
      <c r="C19" s="55"/>
      <c r="D19" s="122" t="s">
        <v>18</v>
      </c>
      <c r="E19" s="123">
        <f>SUM(E10:E18)</f>
        <v>40.227685600000001</v>
      </c>
      <c r="F19" s="56"/>
      <c r="G19" s="56"/>
      <c r="H19" s="56"/>
      <c r="I19" s="56"/>
      <c r="J19" s="56"/>
      <c r="K19" s="56"/>
      <c r="L19" s="56"/>
      <c r="M19" s="56"/>
      <c r="N19" s="56"/>
      <c r="O19" s="60"/>
    </row>
    <row r="20" spans="1:15" x14ac:dyDescent="0.25">
      <c r="A20" s="61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0"/>
    </row>
    <row r="21" spans="1:15" x14ac:dyDescent="0.25">
      <c r="A21" s="121" t="s">
        <v>14</v>
      </c>
      <c r="B21" s="121" t="s">
        <v>19</v>
      </c>
      <c r="C21" s="121" t="s">
        <v>20</v>
      </c>
      <c r="D21" s="121" t="s">
        <v>21</v>
      </c>
      <c r="E21" s="121" t="s">
        <v>22</v>
      </c>
      <c r="F21" s="121" t="s">
        <v>23</v>
      </c>
      <c r="G21" s="121" t="s">
        <v>24</v>
      </c>
      <c r="H21" s="121" t="s">
        <v>25</v>
      </c>
      <c r="I21" s="121" t="s">
        <v>26</v>
      </c>
      <c r="J21" s="121" t="s">
        <v>27</v>
      </c>
      <c r="K21" s="121" t="s">
        <v>28</v>
      </c>
      <c r="L21" s="121" t="s">
        <v>29</v>
      </c>
      <c r="M21" s="121" t="s">
        <v>17</v>
      </c>
      <c r="N21" s="121" t="s">
        <v>18</v>
      </c>
      <c r="O21" s="60"/>
    </row>
    <row r="22" spans="1:15" x14ac:dyDescent="0.25">
      <c r="A22" s="70">
        <v>10</v>
      </c>
      <c r="B22" s="70" t="s">
        <v>150</v>
      </c>
      <c r="C22" s="70"/>
      <c r="D22" s="71">
        <v>0.15</v>
      </c>
      <c r="E22" s="70">
        <v>420</v>
      </c>
      <c r="F22" s="70" t="s">
        <v>151</v>
      </c>
      <c r="G22" s="70"/>
      <c r="H22" s="72"/>
      <c r="I22" s="73"/>
      <c r="J22" s="74"/>
      <c r="K22" s="72"/>
      <c r="L22" s="72"/>
      <c r="M22" s="72">
        <v>420</v>
      </c>
      <c r="N22" s="71">
        <f>M22*D22</f>
        <v>63</v>
      </c>
      <c r="O22" s="60"/>
    </row>
    <row r="23" spans="1:15" s="23" customFormat="1" ht="15" customHeight="1" x14ac:dyDescent="0.25">
      <c r="A23" s="70">
        <v>20</v>
      </c>
      <c r="B23" s="70" t="s">
        <v>152</v>
      </c>
      <c r="C23" s="136" t="s">
        <v>153</v>
      </c>
      <c r="D23" s="71">
        <v>1</v>
      </c>
      <c r="E23" s="75"/>
      <c r="F23" s="75"/>
      <c r="G23" s="75"/>
      <c r="H23" s="72"/>
      <c r="I23" s="76"/>
      <c r="J23" s="125"/>
      <c r="K23" s="78"/>
      <c r="L23" s="79"/>
      <c r="M23" s="72">
        <v>1</v>
      </c>
      <c r="N23" s="71">
        <f>M23*D23</f>
        <v>1</v>
      </c>
      <c r="O23" s="64"/>
    </row>
    <row r="24" spans="1:15" x14ac:dyDescent="0.25">
      <c r="A24" s="70">
        <v>30</v>
      </c>
      <c r="B24" s="70" t="s">
        <v>152</v>
      </c>
      <c r="C24" s="70" t="s">
        <v>154</v>
      </c>
      <c r="D24" s="71">
        <v>1</v>
      </c>
      <c r="E24" s="70"/>
      <c r="F24" s="70"/>
      <c r="G24" s="70"/>
      <c r="H24" s="72"/>
      <c r="I24" s="80"/>
      <c r="J24" s="81"/>
      <c r="K24" s="72"/>
      <c r="L24" s="77"/>
      <c r="M24" s="72">
        <v>1</v>
      </c>
      <c r="N24" s="71">
        <f>M24*D24</f>
        <v>1</v>
      </c>
      <c r="O24" s="60"/>
    </row>
    <row r="25" spans="1:15" x14ac:dyDescent="0.25">
      <c r="A25" s="70">
        <v>40</v>
      </c>
      <c r="B25" s="70" t="s">
        <v>155</v>
      </c>
      <c r="C25" s="70" t="s">
        <v>156</v>
      </c>
      <c r="D25" s="71">
        <v>0.05</v>
      </c>
      <c r="E25" s="70"/>
      <c r="F25" s="70"/>
      <c r="G25" s="70"/>
      <c r="H25" s="72"/>
      <c r="I25" s="80"/>
      <c r="J25" s="81"/>
      <c r="K25" s="72"/>
      <c r="L25" s="77"/>
      <c r="M25" s="72">
        <v>1</v>
      </c>
      <c r="N25" s="71">
        <f t="shared" ref="N25:N29" si="1">M25*D25</f>
        <v>0.05</v>
      </c>
      <c r="O25" s="60"/>
    </row>
    <row r="26" spans="1:15" x14ac:dyDescent="0.25">
      <c r="A26" s="70">
        <v>50</v>
      </c>
      <c r="B26" s="70" t="s">
        <v>155</v>
      </c>
      <c r="C26" s="70" t="s">
        <v>157</v>
      </c>
      <c r="D26" s="71">
        <v>0.05</v>
      </c>
      <c r="E26" s="70"/>
      <c r="F26" s="70"/>
      <c r="G26" s="70"/>
      <c r="H26" s="72"/>
      <c r="I26" s="80"/>
      <c r="J26" s="81"/>
      <c r="K26" s="72"/>
      <c r="L26" s="72"/>
      <c r="M26" s="72">
        <v>1</v>
      </c>
      <c r="N26" s="71">
        <f t="shared" si="1"/>
        <v>0.05</v>
      </c>
      <c r="O26" s="60"/>
    </row>
    <row r="27" spans="1:15" x14ac:dyDescent="0.25">
      <c r="A27" s="70">
        <v>60</v>
      </c>
      <c r="B27" s="70" t="s">
        <v>158</v>
      </c>
      <c r="C27" s="70" t="s">
        <v>160</v>
      </c>
      <c r="D27" s="71">
        <v>15</v>
      </c>
      <c r="E27" s="70">
        <v>2.5</v>
      </c>
      <c r="F27" s="70" t="s">
        <v>163</v>
      </c>
      <c r="G27" s="70"/>
      <c r="H27" s="72"/>
      <c r="I27" s="80"/>
      <c r="J27" s="81"/>
      <c r="K27" s="72"/>
      <c r="L27" s="72"/>
      <c r="M27" s="72">
        <v>2.5</v>
      </c>
      <c r="N27" s="71">
        <f t="shared" si="1"/>
        <v>37.5</v>
      </c>
      <c r="O27" s="60"/>
    </row>
    <row r="28" spans="1:15" x14ac:dyDescent="0.25">
      <c r="A28" s="70">
        <v>70</v>
      </c>
      <c r="B28" s="70" t="s">
        <v>159</v>
      </c>
      <c r="C28" s="70"/>
      <c r="D28" s="71">
        <v>1</v>
      </c>
      <c r="E28" s="70"/>
      <c r="F28" s="70"/>
      <c r="G28" s="70"/>
      <c r="H28" s="72"/>
      <c r="I28" s="80"/>
      <c r="J28" s="81"/>
      <c r="K28" s="72"/>
      <c r="L28" s="72"/>
      <c r="M28" s="72">
        <v>1</v>
      </c>
      <c r="N28" s="71">
        <f t="shared" si="1"/>
        <v>1</v>
      </c>
      <c r="O28" s="60"/>
    </row>
    <row r="29" spans="1:15" x14ac:dyDescent="0.25">
      <c r="A29" s="70">
        <v>80</v>
      </c>
      <c r="B29" s="70" t="s">
        <v>161</v>
      </c>
      <c r="C29" s="70" t="s">
        <v>162</v>
      </c>
      <c r="D29" s="71">
        <v>8.1</v>
      </c>
      <c r="E29" s="70">
        <v>30</v>
      </c>
      <c r="F29" s="70" t="s">
        <v>30</v>
      </c>
      <c r="G29" s="70"/>
      <c r="H29" s="72"/>
      <c r="I29" s="80"/>
      <c r="J29" s="81"/>
      <c r="K29" s="72"/>
      <c r="L29" s="72"/>
      <c r="M29" s="72">
        <v>2</v>
      </c>
      <c r="N29" s="71">
        <f t="shared" si="1"/>
        <v>16.2</v>
      </c>
      <c r="O29" s="60"/>
    </row>
    <row r="30" spans="1:15" x14ac:dyDescent="0.25">
      <c r="A30" s="6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121" t="s">
        <v>18</v>
      </c>
      <c r="N30" s="123">
        <f>SUM(N22:N29)</f>
        <v>119.8</v>
      </c>
      <c r="O30" s="60"/>
    </row>
    <row r="31" spans="1:15" x14ac:dyDescent="0.25">
      <c r="A31" s="6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60"/>
    </row>
    <row r="32" spans="1:15" s="26" customFormat="1" x14ac:dyDescent="0.25">
      <c r="A32" s="121" t="s">
        <v>14</v>
      </c>
      <c r="B32" s="121" t="s">
        <v>31</v>
      </c>
      <c r="C32" s="121" t="s">
        <v>20</v>
      </c>
      <c r="D32" s="121" t="s">
        <v>21</v>
      </c>
      <c r="E32" s="121" t="s">
        <v>32</v>
      </c>
      <c r="F32" s="121" t="s">
        <v>17</v>
      </c>
      <c r="G32" s="121" t="s">
        <v>33</v>
      </c>
      <c r="H32" s="121" t="s">
        <v>34</v>
      </c>
      <c r="I32" s="121" t="s">
        <v>18</v>
      </c>
      <c r="J32" s="25"/>
      <c r="K32" s="25"/>
      <c r="L32" s="25"/>
      <c r="M32" s="25"/>
      <c r="N32" s="25"/>
      <c r="O32" s="66"/>
    </row>
    <row r="33" spans="1:15" s="26" customFormat="1" x14ac:dyDescent="0.25">
      <c r="A33" s="70">
        <v>10</v>
      </c>
      <c r="B33" s="70" t="s">
        <v>185</v>
      </c>
      <c r="C33" s="70" t="s">
        <v>186</v>
      </c>
      <c r="D33" s="71">
        <v>0.19</v>
      </c>
      <c r="E33" s="70" t="s">
        <v>35</v>
      </c>
      <c r="F33" s="82">
        <v>1</v>
      </c>
      <c r="G33" s="82"/>
      <c r="H33" s="82"/>
      <c r="I33" s="71">
        <f t="shared" ref="I33:I44" si="2">IF(H33="",D33*F33,D33*F33*H33)</f>
        <v>0.19</v>
      </c>
      <c r="J33" s="56"/>
      <c r="K33" s="56"/>
      <c r="L33" s="56"/>
      <c r="M33" s="56"/>
      <c r="N33" s="56"/>
      <c r="O33" s="66"/>
    </row>
    <row r="34" spans="1:15" s="26" customFormat="1" x14ac:dyDescent="0.25">
      <c r="A34" s="70">
        <v>20</v>
      </c>
      <c r="B34" s="70" t="s">
        <v>185</v>
      </c>
      <c r="C34" s="70" t="s">
        <v>187</v>
      </c>
      <c r="D34" s="71">
        <v>0.19</v>
      </c>
      <c r="E34" s="70" t="s">
        <v>35</v>
      </c>
      <c r="F34" s="82">
        <v>1</v>
      </c>
      <c r="G34" s="82"/>
      <c r="H34" s="82"/>
      <c r="I34" s="71">
        <f t="shared" si="2"/>
        <v>0.19</v>
      </c>
      <c r="J34" s="56"/>
      <c r="K34" s="56"/>
      <c r="L34" s="56"/>
      <c r="M34" s="56"/>
      <c r="N34" s="56"/>
      <c r="O34" s="66"/>
    </row>
    <row r="35" spans="1:15" s="26" customFormat="1" x14ac:dyDescent="0.25">
      <c r="A35" s="70">
        <v>30</v>
      </c>
      <c r="B35" s="70" t="s">
        <v>185</v>
      </c>
      <c r="C35" s="70" t="s">
        <v>188</v>
      </c>
      <c r="D35" s="71">
        <v>0.19</v>
      </c>
      <c r="E35" s="70" t="s">
        <v>35</v>
      </c>
      <c r="F35" s="82">
        <v>1</v>
      </c>
      <c r="G35" s="82"/>
      <c r="H35" s="82"/>
      <c r="I35" s="71">
        <f t="shared" si="2"/>
        <v>0.19</v>
      </c>
      <c r="J35" s="56"/>
      <c r="K35" s="56"/>
      <c r="L35" s="56"/>
      <c r="M35" s="56"/>
      <c r="N35" s="56"/>
      <c r="O35" s="66"/>
    </row>
    <row r="36" spans="1:15" s="26" customFormat="1" x14ac:dyDescent="0.25">
      <c r="A36" s="70">
        <v>40</v>
      </c>
      <c r="B36" s="70" t="s">
        <v>185</v>
      </c>
      <c r="C36" s="70" t="s">
        <v>189</v>
      </c>
      <c r="D36" s="71">
        <v>0.19</v>
      </c>
      <c r="E36" s="70" t="s">
        <v>35</v>
      </c>
      <c r="F36" s="82">
        <v>1</v>
      </c>
      <c r="G36" s="82"/>
      <c r="H36" s="82"/>
      <c r="I36" s="71">
        <f t="shared" si="2"/>
        <v>0.19</v>
      </c>
      <c r="J36" s="56"/>
      <c r="K36" s="56"/>
      <c r="L36" s="56"/>
      <c r="M36" s="56"/>
      <c r="N36" s="56"/>
      <c r="O36" s="66"/>
    </row>
    <row r="37" spans="1:15" s="26" customFormat="1" x14ac:dyDescent="0.25">
      <c r="A37" s="70">
        <v>50</v>
      </c>
      <c r="B37" s="70" t="s">
        <v>185</v>
      </c>
      <c r="C37" s="70" t="s">
        <v>190</v>
      </c>
      <c r="D37" s="71">
        <v>0.19</v>
      </c>
      <c r="E37" s="70" t="s">
        <v>35</v>
      </c>
      <c r="F37" s="82">
        <v>1</v>
      </c>
      <c r="G37" s="82"/>
      <c r="H37" s="82"/>
      <c r="I37" s="71">
        <f t="shared" si="2"/>
        <v>0.19</v>
      </c>
      <c r="J37" s="56"/>
      <c r="K37" s="56"/>
      <c r="L37" s="56"/>
      <c r="M37" s="56"/>
      <c r="N37" s="56"/>
      <c r="O37" s="66"/>
    </row>
    <row r="38" spans="1:15" s="26" customFormat="1" x14ac:dyDescent="0.25">
      <c r="A38" s="70">
        <v>60</v>
      </c>
      <c r="B38" s="70" t="s">
        <v>185</v>
      </c>
      <c r="C38" s="70" t="s">
        <v>191</v>
      </c>
      <c r="D38" s="71">
        <v>0.19</v>
      </c>
      <c r="E38" s="70" t="s">
        <v>35</v>
      </c>
      <c r="F38" s="82">
        <v>1</v>
      </c>
      <c r="G38" s="82"/>
      <c r="H38" s="82"/>
      <c r="I38" s="71">
        <f t="shared" si="2"/>
        <v>0.19</v>
      </c>
      <c r="J38" s="56"/>
      <c r="K38" s="56"/>
      <c r="L38" s="56"/>
      <c r="M38" s="56"/>
      <c r="N38" s="56"/>
      <c r="O38" s="66"/>
    </row>
    <row r="39" spans="1:15" s="26" customFormat="1" x14ac:dyDescent="0.25">
      <c r="A39" s="70">
        <v>70</v>
      </c>
      <c r="B39" s="70" t="s">
        <v>185</v>
      </c>
      <c r="C39" s="70" t="s">
        <v>192</v>
      </c>
      <c r="D39" s="71">
        <v>0.19</v>
      </c>
      <c r="E39" s="70" t="s">
        <v>35</v>
      </c>
      <c r="F39" s="82">
        <v>1</v>
      </c>
      <c r="G39" s="82"/>
      <c r="H39" s="82"/>
      <c r="I39" s="71">
        <f t="shared" si="2"/>
        <v>0.19</v>
      </c>
      <c r="J39" s="56"/>
      <c r="K39" s="56"/>
      <c r="L39" s="56"/>
      <c r="M39" s="56"/>
      <c r="N39" s="56"/>
      <c r="O39" s="66"/>
    </row>
    <row r="40" spans="1:15" s="26" customFormat="1" x14ac:dyDescent="0.25">
      <c r="A40" s="70">
        <v>80</v>
      </c>
      <c r="B40" s="70" t="s">
        <v>211</v>
      </c>
      <c r="C40" s="70" t="s">
        <v>197</v>
      </c>
      <c r="D40" s="71">
        <v>1.5</v>
      </c>
      <c r="E40" s="70" t="s">
        <v>35</v>
      </c>
      <c r="F40" s="82">
        <v>1</v>
      </c>
      <c r="G40" s="82"/>
      <c r="H40" s="82"/>
      <c r="I40" s="71">
        <f t="shared" si="2"/>
        <v>1.5</v>
      </c>
      <c r="J40" s="56"/>
      <c r="K40" s="56"/>
      <c r="L40" s="56"/>
      <c r="M40" s="56"/>
      <c r="N40" s="56"/>
      <c r="O40" s="66"/>
    </row>
    <row r="41" spans="1:15" s="26" customFormat="1" x14ac:dyDescent="0.25">
      <c r="A41" s="70">
        <v>90</v>
      </c>
      <c r="B41" s="70" t="s">
        <v>131</v>
      </c>
      <c r="C41" s="70" t="s">
        <v>198</v>
      </c>
      <c r="D41" s="71">
        <v>0.25</v>
      </c>
      <c r="E41" s="70" t="s">
        <v>35</v>
      </c>
      <c r="F41" s="82">
        <v>1</v>
      </c>
      <c r="G41" s="82"/>
      <c r="H41" s="82"/>
      <c r="I41" s="71">
        <f t="shared" si="2"/>
        <v>0.25</v>
      </c>
      <c r="J41" s="56"/>
      <c r="K41" s="56"/>
      <c r="L41" s="56"/>
      <c r="M41" s="56"/>
      <c r="N41" s="56"/>
      <c r="O41" s="66"/>
    </row>
    <row r="42" spans="1:15" s="26" customFormat="1" x14ac:dyDescent="0.25">
      <c r="A42" s="70">
        <v>100</v>
      </c>
      <c r="B42" s="70" t="s">
        <v>193</v>
      </c>
      <c r="C42" s="70" t="s">
        <v>199</v>
      </c>
      <c r="D42" s="71">
        <v>0.13</v>
      </c>
      <c r="E42" s="70" t="s">
        <v>35</v>
      </c>
      <c r="F42" s="82">
        <v>1</v>
      </c>
      <c r="G42" s="82"/>
      <c r="H42" s="82"/>
      <c r="I42" s="71">
        <f t="shared" si="2"/>
        <v>0.13</v>
      </c>
      <c r="J42" s="56"/>
      <c r="K42" s="56"/>
      <c r="L42" s="56"/>
      <c r="M42" s="56"/>
      <c r="N42" s="56"/>
      <c r="O42" s="66"/>
    </row>
    <row r="43" spans="1:15" s="26" customFormat="1" x14ac:dyDescent="0.25">
      <c r="A43" s="70">
        <v>110</v>
      </c>
      <c r="B43" s="70" t="s">
        <v>194</v>
      </c>
      <c r="C43" s="70" t="s">
        <v>200</v>
      </c>
      <c r="D43" s="71">
        <v>0.06</v>
      </c>
      <c r="E43" s="70" t="s">
        <v>35</v>
      </c>
      <c r="F43" s="82">
        <v>2</v>
      </c>
      <c r="G43" s="82"/>
      <c r="H43" s="82"/>
      <c r="I43" s="71">
        <f t="shared" si="2"/>
        <v>0.12</v>
      </c>
      <c r="J43" s="56"/>
      <c r="K43" s="56"/>
      <c r="L43" s="56"/>
      <c r="M43" s="56"/>
      <c r="N43" s="56"/>
      <c r="O43" s="66"/>
    </row>
    <row r="44" spans="1:15" s="26" customFormat="1" x14ac:dyDescent="0.25">
      <c r="A44" s="70">
        <v>120</v>
      </c>
      <c r="B44" s="70" t="s">
        <v>211</v>
      </c>
      <c r="C44" s="70" t="s">
        <v>197</v>
      </c>
      <c r="D44" s="71">
        <v>1.5</v>
      </c>
      <c r="E44" s="70" t="s">
        <v>35</v>
      </c>
      <c r="F44" s="82">
        <v>1</v>
      </c>
      <c r="G44" s="82"/>
      <c r="H44" s="82"/>
      <c r="I44" s="71">
        <f t="shared" si="2"/>
        <v>1.5</v>
      </c>
      <c r="J44" s="56"/>
      <c r="K44" s="56"/>
      <c r="L44" s="56"/>
      <c r="M44" s="56"/>
      <c r="N44" s="56"/>
      <c r="O44" s="66"/>
    </row>
    <row r="45" spans="1:15" s="26" customFormat="1" x14ac:dyDescent="0.25">
      <c r="A45" s="70">
        <v>130</v>
      </c>
      <c r="B45" s="70" t="s">
        <v>194</v>
      </c>
      <c r="C45" s="70" t="s">
        <v>201</v>
      </c>
      <c r="D45" s="71">
        <v>0.06</v>
      </c>
      <c r="E45" s="70" t="s">
        <v>35</v>
      </c>
      <c r="F45" s="82">
        <v>2</v>
      </c>
      <c r="G45" s="82"/>
      <c r="H45" s="82"/>
      <c r="I45" s="71">
        <f t="shared" ref="I45:I52" si="3">IF(H45="",D45*F45,D45*F45*H45)</f>
        <v>0.12</v>
      </c>
      <c r="J45" s="56"/>
      <c r="K45" s="56"/>
      <c r="L45" s="56"/>
      <c r="M45" s="56"/>
      <c r="N45" s="56"/>
      <c r="O45" s="66"/>
    </row>
    <row r="46" spans="1:15" s="26" customFormat="1" x14ac:dyDescent="0.25">
      <c r="A46" s="70">
        <v>140</v>
      </c>
      <c r="B46" s="70" t="s">
        <v>185</v>
      </c>
      <c r="C46" s="70" t="s">
        <v>202</v>
      </c>
      <c r="D46" s="71">
        <v>0.19</v>
      </c>
      <c r="E46" s="70" t="s">
        <v>35</v>
      </c>
      <c r="F46" s="82">
        <v>1</v>
      </c>
      <c r="G46" s="82"/>
      <c r="H46" s="82"/>
      <c r="I46" s="71">
        <f t="shared" si="3"/>
        <v>0.19</v>
      </c>
      <c r="J46" s="56"/>
      <c r="K46" s="56"/>
      <c r="L46" s="56"/>
      <c r="M46" s="56"/>
      <c r="N46" s="56"/>
      <c r="O46" s="66"/>
    </row>
    <row r="47" spans="1:15" s="26" customFormat="1" x14ac:dyDescent="0.25">
      <c r="A47" s="70">
        <v>150</v>
      </c>
      <c r="B47" s="70" t="s">
        <v>211</v>
      </c>
      <c r="C47" s="70" t="s">
        <v>203</v>
      </c>
      <c r="D47" s="71">
        <v>1.5</v>
      </c>
      <c r="E47" s="70" t="s">
        <v>35</v>
      </c>
      <c r="F47" s="82">
        <v>2</v>
      </c>
      <c r="G47" s="82"/>
      <c r="H47" s="82"/>
      <c r="I47" s="71">
        <f t="shared" si="3"/>
        <v>3</v>
      </c>
      <c r="J47" s="56"/>
      <c r="K47" s="56"/>
      <c r="L47" s="56"/>
      <c r="M47" s="56"/>
      <c r="N47" s="56"/>
      <c r="O47" s="66"/>
    </row>
    <row r="48" spans="1:15" s="26" customFormat="1" x14ac:dyDescent="0.25">
      <c r="A48" s="70">
        <v>160</v>
      </c>
      <c r="B48" s="70" t="s">
        <v>205</v>
      </c>
      <c r="C48" s="70" t="s">
        <v>204</v>
      </c>
      <c r="D48" s="71">
        <v>0.25</v>
      </c>
      <c r="E48" s="70" t="s">
        <v>35</v>
      </c>
      <c r="F48" s="82">
        <v>2</v>
      </c>
      <c r="G48" s="82"/>
      <c r="H48" s="82"/>
      <c r="I48" s="71">
        <f t="shared" si="3"/>
        <v>0.5</v>
      </c>
      <c r="J48" s="56"/>
      <c r="K48" s="56"/>
      <c r="L48" s="56"/>
      <c r="M48" s="56"/>
      <c r="N48" s="56"/>
      <c r="O48" s="66"/>
    </row>
    <row r="49" spans="1:15" s="26" customFormat="1" x14ac:dyDescent="0.25">
      <c r="A49" s="70">
        <v>170</v>
      </c>
      <c r="B49" s="70" t="s">
        <v>194</v>
      </c>
      <c r="C49" s="26" t="s">
        <v>206</v>
      </c>
      <c r="D49" s="71">
        <v>0.06</v>
      </c>
      <c r="E49" s="70" t="s">
        <v>35</v>
      </c>
      <c r="F49" s="82">
        <v>1</v>
      </c>
      <c r="G49" s="82"/>
      <c r="H49" s="82"/>
      <c r="I49" s="71">
        <f t="shared" ref="I49:I51" si="4">IF(H49="",D49*F49,D49*F49*H49)</f>
        <v>0.06</v>
      </c>
      <c r="J49" s="56"/>
      <c r="K49" s="56"/>
      <c r="L49" s="56"/>
      <c r="M49" s="56"/>
      <c r="N49" s="56"/>
      <c r="O49" s="66"/>
    </row>
    <row r="50" spans="1:15" s="26" customFormat="1" x14ac:dyDescent="0.25">
      <c r="A50" s="70">
        <v>180</v>
      </c>
      <c r="B50" s="70" t="s">
        <v>195</v>
      </c>
      <c r="C50" s="70" t="s">
        <v>207</v>
      </c>
      <c r="D50" s="71">
        <v>0.12</v>
      </c>
      <c r="E50" s="70" t="s">
        <v>35</v>
      </c>
      <c r="F50" s="82">
        <v>1</v>
      </c>
      <c r="G50" s="82"/>
      <c r="H50" s="82"/>
      <c r="I50" s="71">
        <f t="shared" si="4"/>
        <v>0.12</v>
      </c>
      <c r="J50" s="56"/>
      <c r="K50" s="56"/>
      <c r="L50" s="56"/>
      <c r="M50" s="56"/>
      <c r="N50" s="56"/>
      <c r="O50" s="66"/>
    </row>
    <row r="51" spans="1:15" s="26" customFormat="1" x14ac:dyDescent="0.25">
      <c r="A51" s="70">
        <v>190</v>
      </c>
      <c r="B51" s="70" t="s">
        <v>194</v>
      </c>
      <c r="C51" s="70" t="s">
        <v>208</v>
      </c>
      <c r="D51" s="71">
        <v>0.06</v>
      </c>
      <c r="E51" s="70" t="s">
        <v>35</v>
      </c>
      <c r="F51" s="82">
        <v>1</v>
      </c>
      <c r="G51" s="82"/>
      <c r="H51" s="82"/>
      <c r="I51" s="71">
        <f t="shared" si="4"/>
        <v>0.06</v>
      </c>
      <c r="J51" s="56"/>
      <c r="K51" s="56"/>
      <c r="L51" s="56"/>
      <c r="M51" s="56"/>
      <c r="N51" s="56"/>
      <c r="O51" s="66"/>
    </row>
    <row r="52" spans="1:15" s="26" customFormat="1" x14ac:dyDescent="0.25">
      <c r="A52" s="70">
        <v>200</v>
      </c>
      <c r="B52" s="70" t="s">
        <v>196</v>
      </c>
      <c r="C52" s="70" t="s">
        <v>209</v>
      </c>
      <c r="D52" s="71">
        <v>0.25</v>
      </c>
      <c r="E52" s="70" t="s">
        <v>35</v>
      </c>
      <c r="F52" s="82">
        <v>1</v>
      </c>
      <c r="G52" s="82"/>
      <c r="H52" s="82"/>
      <c r="I52" s="71">
        <f t="shared" si="3"/>
        <v>0.25</v>
      </c>
      <c r="J52" s="56"/>
      <c r="K52" s="56"/>
      <c r="L52" s="56"/>
      <c r="M52" s="56"/>
      <c r="N52" s="56"/>
      <c r="O52" s="66"/>
    </row>
    <row r="53" spans="1:15" s="26" customFormat="1" x14ac:dyDescent="0.25">
      <c r="A53" s="70">
        <v>210</v>
      </c>
      <c r="B53" s="70" t="s">
        <v>194</v>
      </c>
      <c r="C53" s="70" t="s">
        <v>210</v>
      </c>
      <c r="D53" s="71">
        <v>0.06</v>
      </c>
      <c r="E53" s="70" t="s">
        <v>35</v>
      </c>
      <c r="F53" s="82">
        <v>1</v>
      </c>
      <c r="G53" s="82"/>
      <c r="H53" s="82"/>
      <c r="I53" s="71">
        <f t="shared" ref="I53" si="5">IF(H53="",D53*F53,D53*F53*H53)</f>
        <v>0.06</v>
      </c>
      <c r="J53" s="56"/>
      <c r="K53" s="56"/>
      <c r="L53" s="56"/>
      <c r="M53" s="56"/>
      <c r="N53" s="56"/>
      <c r="O53" s="66"/>
    </row>
    <row r="54" spans="1:15" x14ac:dyDescent="0.25">
      <c r="A54" s="65"/>
      <c r="B54" s="25"/>
      <c r="C54" s="25"/>
      <c r="D54" s="25"/>
      <c r="E54" s="25"/>
      <c r="F54" s="25"/>
      <c r="G54" s="25"/>
      <c r="H54" s="122" t="s">
        <v>18</v>
      </c>
      <c r="I54" s="123">
        <f>SUM(I33:I53)</f>
        <v>9.1900000000000013</v>
      </c>
      <c r="J54" s="55"/>
      <c r="K54" s="55"/>
      <c r="L54" s="55"/>
      <c r="M54" s="55"/>
      <c r="N54" s="55"/>
      <c r="O54" s="60"/>
    </row>
    <row r="55" spans="1:15" x14ac:dyDescent="0.25">
      <c r="A55" s="61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60"/>
    </row>
    <row r="56" spans="1:15" x14ac:dyDescent="0.25">
      <c r="A56" s="121" t="s">
        <v>14</v>
      </c>
      <c r="B56" s="121" t="s">
        <v>36</v>
      </c>
      <c r="C56" s="121" t="s">
        <v>20</v>
      </c>
      <c r="D56" s="121" t="s">
        <v>21</v>
      </c>
      <c r="E56" s="121" t="s">
        <v>22</v>
      </c>
      <c r="F56" s="121" t="s">
        <v>23</v>
      </c>
      <c r="G56" s="121" t="s">
        <v>24</v>
      </c>
      <c r="H56" s="121" t="s">
        <v>25</v>
      </c>
      <c r="I56" s="121" t="s">
        <v>17</v>
      </c>
      <c r="J56" s="121" t="s">
        <v>18</v>
      </c>
      <c r="K56" s="55"/>
      <c r="L56" s="55"/>
      <c r="M56" s="55"/>
      <c r="N56" s="55"/>
      <c r="O56" s="60"/>
    </row>
    <row r="57" spans="1:15" x14ac:dyDescent="0.25">
      <c r="A57" s="70">
        <v>10</v>
      </c>
      <c r="B57" s="70" t="s">
        <v>132</v>
      </c>
      <c r="C57" s="70" t="s">
        <v>214</v>
      </c>
      <c r="D57" s="83">
        <v>0.02</v>
      </c>
      <c r="E57" s="84">
        <v>5</v>
      </c>
      <c r="F57" s="84" t="s">
        <v>30</v>
      </c>
      <c r="G57" s="84">
        <v>10</v>
      </c>
      <c r="H57" s="84" t="s">
        <v>30</v>
      </c>
      <c r="I57" s="85">
        <v>1</v>
      </c>
      <c r="J57" s="71">
        <f>I57*D57</f>
        <v>0.02</v>
      </c>
      <c r="K57" s="55"/>
      <c r="L57" s="55"/>
      <c r="M57" s="55"/>
      <c r="N57" s="55"/>
      <c r="O57" s="60"/>
    </row>
    <row r="58" spans="1:15" x14ac:dyDescent="0.25">
      <c r="A58" s="70">
        <v>20</v>
      </c>
      <c r="B58" s="70" t="s">
        <v>37</v>
      </c>
      <c r="C58" s="70" t="s">
        <v>214</v>
      </c>
      <c r="D58" s="83">
        <v>0.02</v>
      </c>
      <c r="E58" s="84">
        <v>5</v>
      </c>
      <c r="F58" s="84" t="s">
        <v>30</v>
      </c>
      <c r="G58" s="84"/>
      <c r="H58" s="84"/>
      <c r="I58" s="85">
        <v>1</v>
      </c>
      <c r="J58" s="71">
        <f t="shared" ref="J58:J63" si="6">I58*D58</f>
        <v>0.02</v>
      </c>
      <c r="K58" s="55"/>
      <c r="L58" s="55"/>
      <c r="M58" s="55"/>
      <c r="N58" s="55"/>
      <c r="O58" s="60"/>
    </row>
    <row r="59" spans="1:15" x14ac:dyDescent="0.25">
      <c r="A59" s="70">
        <v>30</v>
      </c>
      <c r="B59" s="70" t="s">
        <v>132</v>
      </c>
      <c r="C59" s="70" t="s">
        <v>215</v>
      </c>
      <c r="D59" s="83">
        <v>0.02</v>
      </c>
      <c r="E59" s="84">
        <v>5</v>
      </c>
      <c r="F59" s="84" t="s">
        <v>30</v>
      </c>
      <c r="G59" s="84">
        <v>10</v>
      </c>
      <c r="H59" s="84" t="s">
        <v>30</v>
      </c>
      <c r="I59" s="85">
        <v>1</v>
      </c>
      <c r="J59" s="71">
        <f t="shared" si="6"/>
        <v>0.02</v>
      </c>
      <c r="K59" s="55"/>
      <c r="L59" s="55"/>
      <c r="M59" s="55"/>
      <c r="N59" s="55"/>
      <c r="O59" s="60"/>
    </row>
    <row r="60" spans="1:15" x14ac:dyDescent="0.25">
      <c r="A60" s="70">
        <v>40</v>
      </c>
      <c r="B60" s="70" t="s">
        <v>132</v>
      </c>
      <c r="C60" s="70" t="s">
        <v>216</v>
      </c>
      <c r="D60" s="83">
        <v>0.04</v>
      </c>
      <c r="E60" s="84">
        <v>6</v>
      </c>
      <c r="F60" s="84" t="s">
        <v>30</v>
      </c>
      <c r="G60" s="84">
        <v>16</v>
      </c>
      <c r="H60" s="84" t="s">
        <v>30</v>
      </c>
      <c r="I60" s="85">
        <v>2</v>
      </c>
      <c r="J60" s="71">
        <f t="shared" si="6"/>
        <v>0.08</v>
      </c>
      <c r="K60" s="55"/>
      <c r="L60" s="55"/>
      <c r="M60" s="55"/>
      <c r="N60" s="55"/>
      <c r="O60" s="60"/>
    </row>
    <row r="61" spans="1:15" x14ac:dyDescent="0.25">
      <c r="A61" s="70">
        <v>50</v>
      </c>
      <c r="B61" s="70" t="s">
        <v>37</v>
      </c>
      <c r="C61" s="70" t="s">
        <v>216</v>
      </c>
      <c r="D61" s="83">
        <v>0.03</v>
      </c>
      <c r="E61" s="84">
        <v>6</v>
      </c>
      <c r="F61" s="84" t="s">
        <v>30</v>
      </c>
      <c r="G61" s="84"/>
      <c r="H61" s="84"/>
      <c r="I61" s="85">
        <v>2</v>
      </c>
      <c r="J61" s="71">
        <f t="shared" si="6"/>
        <v>0.06</v>
      </c>
      <c r="K61" s="55"/>
      <c r="L61" s="55"/>
      <c r="M61" s="55"/>
      <c r="N61" s="55"/>
      <c r="O61" s="60"/>
    </row>
    <row r="62" spans="1:15" x14ac:dyDescent="0.25">
      <c r="A62" s="70">
        <v>60</v>
      </c>
      <c r="B62" s="70" t="s">
        <v>212</v>
      </c>
      <c r="C62" s="70" t="s">
        <v>216</v>
      </c>
      <c r="D62" s="83">
        <v>0.01</v>
      </c>
      <c r="E62" s="84">
        <v>6</v>
      </c>
      <c r="F62" s="84" t="s">
        <v>30</v>
      </c>
      <c r="G62" s="84"/>
      <c r="H62" s="84"/>
      <c r="I62" s="85">
        <v>2</v>
      </c>
      <c r="J62" s="71">
        <f t="shared" si="6"/>
        <v>0.02</v>
      </c>
      <c r="K62" s="55"/>
      <c r="L62" s="55"/>
      <c r="M62" s="55"/>
      <c r="N62" s="55"/>
      <c r="O62" s="60"/>
    </row>
    <row r="63" spans="1:15" x14ac:dyDescent="0.25">
      <c r="A63" s="70">
        <v>70</v>
      </c>
      <c r="B63" s="70" t="s">
        <v>213</v>
      </c>
      <c r="C63" s="70" t="s">
        <v>217</v>
      </c>
      <c r="D63" s="83">
        <v>0.8</v>
      </c>
      <c r="E63" s="84">
        <v>75</v>
      </c>
      <c r="F63" s="84" t="s">
        <v>30</v>
      </c>
      <c r="G63" s="84"/>
      <c r="H63" s="84"/>
      <c r="I63" s="85">
        <v>1</v>
      </c>
      <c r="J63" s="71">
        <f t="shared" si="6"/>
        <v>0.8</v>
      </c>
      <c r="K63" s="55"/>
      <c r="L63" s="55"/>
      <c r="M63" s="55"/>
      <c r="N63" s="55"/>
      <c r="O63" s="60"/>
    </row>
    <row r="64" spans="1:15" x14ac:dyDescent="0.25">
      <c r="A64" s="65"/>
      <c r="B64" s="25"/>
      <c r="C64" s="25"/>
      <c r="D64" s="25"/>
      <c r="E64" s="25"/>
      <c r="F64" s="25"/>
      <c r="G64" s="25"/>
      <c r="H64" s="25"/>
      <c r="I64" s="122" t="s">
        <v>18</v>
      </c>
      <c r="J64" s="123">
        <f>SUM(J57:J63)</f>
        <v>1.02</v>
      </c>
      <c r="K64" s="55"/>
      <c r="L64" s="55"/>
      <c r="M64" s="55"/>
      <c r="N64" s="55"/>
      <c r="O64" s="60"/>
    </row>
    <row r="65" spans="1:15" x14ac:dyDescent="0.25">
      <c r="A65" s="61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60"/>
    </row>
    <row r="66" spans="1:15" ht="15.75" thickBot="1" x14ac:dyDescent="0.3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9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</sheetData>
  <hyperlinks>
    <hyperlink ref="B10" location="EN_0400_001" display="EN_0400_001"/>
    <hyperlink ref="B11" location="EN_0400_002" display="EN_0400_002"/>
    <hyperlink ref="B12" location="EN_0400_003" display="Throttle Housing"/>
    <hyperlink ref="B13" location="EN_0400_004" display="Throttle Axle"/>
    <hyperlink ref="B14" location="EN_0400_005" display="TPS Axle"/>
    <hyperlink ref="B15" location="EN_0400_006" display="Cable Housing"/>
    <hyperlink ref="B16" location="EN_0400_007" display="Axle Stop"/>
    <hyperlink ref="B17" location="EN_0400_008" display="Ram Pipe"/>
    <hyperlink ref="B18" location="EN_0400_009" display="Throttle Plate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3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4.7109375" customWidth="1"/>
    <col min="4" max="4" width="10.5703125"/>
    <col min="5" max="5" width="10.140625" customWidth="1"/>
    <col min="6" max="6" width="10.5703125"/>
    <col min="7" max="7" width="10.7109375" customWidth="1"/>
    <col min="8" max="8" width="10.5703125"/>
    <col min="9" max="9" width="25.14062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EN_0400_001_m+EN_0400_001_p</f>
        <v>5.1789856000000007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141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5.1789856000000007</v>
      </c>
      <c r="O5" s="60"/>
    </row>
    <row r="6" spans="1:15" x14ac:dyDescent="0.25">
      <c r="A6" s="126" t="s">
        <v>7</v>
      </c>
      <c r="B6" s="27" t="s">
        <v>219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134</v>
      </c>
      <c r="C11" s="20" t="s">
        <v>133</v>
      </c>
      <c r="D11" s="31">
        <v>4.2</v>
      </c>
      <c r="E11" s="20">
        <v>0.17399999999999999</v>
      </c>
      <c r="F11" s="20" t="s">
        <v>127</v>
      </c>
      <c r="G11" s="20"/>
      <c r="H11" s="19"/>
      <c r="I11" s="21" t="s">
        <v>165</v>
      </c>
      <c r="J11" s="143">
        <f>0.04*0.02</f>
        <v>8.0000000000000004E-4</v>
      </c>
      <c r="K11" s="22">
        <v>0.08</v>
      </c>
      <c r="L11" s="30">
        <v>2712</v>
      </c>
      <c r="M11" s="24">
        <v>1</v>
      </c>
      <c r="N11" s="31">
        <f>IF(J11="",D11*M11,D11*J11*K11*L11*M11)</f>
        <v>0.72898560000000012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0.72898560000000012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7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167</v>
      </c>
      <c r="C16" s="70"/>
      <c r="D16" s="71">
        <v>0.35</v>
      </c>
      <c r="E16" s="70" t="s">
        <v>169</v>
      </c>
      <c r="F16" s="82">
        <v>5</v>
      </c>
      <c r="G16" s="82"/>
      <c r="H16" s="82"/>
      <c r="I16" s="71">
        <f t="shared" ref="I16" si="1">IF(H16="",D16*F16,D16*F16*H16)</f>
        <v>1.75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168</v>
      </c>
      <c r="C17" s="70"/>
      <c r="D17" s="71">
        <v>0.04</v>
      </c>
      <c r="E17" s="70" t="s">
        <v>170</v>
      </c>
      <c r="F17" s="82">
        <v>35</v>
      </c>
      <c r="G17" s="82" t="s">
        <v>171</v>
      </c>
      <c r="H17" s="82">
        <v>1</v>
      </c>
      <c r="I17" s="71">
        <f t="shared" si="0"/>
        <v>1.4000000000000001</v>
      </c>
      <c r="J17" s="56"/>
      <c r="K17" s="56"/>
      <c r="L17" s="56"/>
      <c r="M17" s="56"/>
      <c r="N17" s="56"/>
      <c r="O17" s="66"/>
    </row>
    <row r="18" spans="1:15" x14ac:dyDescent="0.25">
      <c r="A18" s="65"/>
      <c r="B18" s="25"/>
      <c r="C18" s="25"/>
      <c r="D18" s="25"/>
      <c r="E18" s="25"/>
      <c r="F18" s="25"/>
      <c r="G18" s="25"/>
      <c r="H18" s="135" t="s">
        <v>18</v>
      </c>
      <c r="I18" s="130">
        <f>SUM(I15:I17)</f>
        <v>4.45</v>
      </c>
      <c r="J18" s="25"/>
      <c r="K18" s="25"/>
      <c r="L18" s="25"/>
      <c r="M18" s="25"/>
      <c r="N18" s="2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8"/>
      <c r="I19" s="139"/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x14ac:dyDescent="0.25">
      <c r="A22" s="65"/>
      <c r="B22" s="25"/>
      <c r="C22" s="25"/>
      <c r="D22" s="25"/>
      <c r="E22" s="25"/>
      <c r="F22" s="25"/>
      <c r="G22" s="25"/>
      <c r="H22" s="138"/>
      <c r="I22" s="139"/>
      <c r="J22" s="25"/>
      <c r="K22" s="25"/>
      <c r="L22" s="25"/>
      <c r="M22" s="25"/>
      <c r="N22" s="25"/>
      <c r="O22" s="60"/>
    </row>
    <row r="23" spans="1:15" ht="15.75" thickBot="1" x14ac:dyDescent="0.3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</row>
  </sheetData>
  <hyperlinks>
    <hyperlink ref="B4" location="EN_A0400" display="EN_A0400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EN_0400_002_m+EN_0400_002_p</f>
        <v>5.7292000000000005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142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5.7292000000000005</v>
      </c>
      <c r="O5" s="60"/>
    </row>
    <row r="6" spans="1:15" x14ac:dyDescent="0.25">
      <c r="A6" s="126" t="s">
        <v>7</v>
      </c>
      <c r="B6" s="27" t="s">
        <v>220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134</v>
      </c>
      <c r="C11" s="20" t="s">
        <v>133</v>
      </c>
      <c r="D11" s="31">
        <v>4.2</v>
      </c>
      <c r="E11" s="20">
        <v>0.376</v>
      </c>
      <c r="F11" s="20" t="s">
        <v>127</v>
      </c>
      <c r="G11" s="20"/>
      <c r="H11" s="19"/>
      <c r="I11" s="21" t="s">
        <v>172</v>
      </c>
      <c r="J11" s="144">
        <v>1.3799999999999999E-3</v>
      </c>
      <c r="K11" s="22">
        <v>0.1</v>
      </c>
      <c r="L11" s="30">
        <v>2712</v>
      </c>
      <c r="M11" s="24">
        <v>1</v>
      </c>
      <c r="N11" s="31">
        <f>E11*D11</f>
        <v>1.5792000000000002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1.5792000000000002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8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168</v>
      </c>
      <c r="C16" s="70" t="s">
        <v>174</v>
      </c>
      <c r="D16" s="71">
        <v>0.04</v>
      </c>
      <c r="E16" s="70" t="s">
        <v>170</v>
      </c>
      <c r="F16" s="82">
        <v>35</v>
      </c>
      <c r="G16" s="82" t="s">
        <v>171</v>
      </c>
      <c r="H16" s="82">
        <v>1</v>
      </c>
      <c r="I16" s="71">
        <f t="shared" si="0"/>
        <v>1.4000000000000001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173</v>
      </c>
      <c r="C17" s="70"/>
      <c r="D17" s="71">
        <v>0.65</v>
      </c>
      <c r="E17" s="70" t="s">
        <v>35</v>
      </c>
      <c r="F17" s="82">
        <v>1</v>
      </c>
      <c r="G17" s="82"/>
      <c r="H17" s="82"/>
      <c r="I17" s="71">
        <f t="shared" si="0"/>
        <v>0.65</v>
      </c>
      <c r="J17" s="56"/>
      <c r="K17" s="56"/>
      <c r="L17" s="56"/>
      <c r="M17" s="56"/>
      <c r="N17" s="56"/>
      <c r="O17" s="66"/>
    </row>
    <row r="18" spans="1:15" x14ac:dyDescent="0.25">
      <c r="A18" s="70">
        <v>40</v>
      </c>
      <c r="B18" s="70" t="s">
        <v>168</v>
      </c>
      <c r="C18" s="70"/>
      <c r="D18" s="71">
        <v>0.04</v>
      </c>
      <c r="E18" s="70" t="s">
        <v>170</v>
      </c>
      <c r="F18" s="82">
        <v>20</v>
      </c>
      <c r="G18" s="82" t="s">
        <v>171</v>
      </c>
      <c r="H18" s="82">
        <v>1</v>
      </c>
      <c r="I18" s="71">
        <f t="shared" si="0"/>
        <v>0.8</v>
      </c>
      <c r="J18" s="55"/>
      <c r="K18" s="55"/>
      <c r="L18" s="55"/>
      <c r="M18" s="55"/>
      <c r="N18" s="5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 t="s">
        <v>18</v>
      </c>
      <c r="I19" s="130">
        <f>SUM(I15:I18)</f>
        <v>4.1500000000000004</v>
      </c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x14ac:dyDescent="0.25">
      <c r="A22" s="65"/>
      <c r="B22" s="25"/>
      <c r="C22" s="25"/>
      <c r="D22" s="25"/>
      <c r="E22" s="25"/>
      <c r="F22" s="25"/>
      <c r="G22" s="25"/>
      <c r="H22" s="138"/>
      <c r="I22" s="139"/>
      <c r="J22" s="25"/>
      <c r="K22" s="25"/>
      <c r="L22" s="25"/>
      <c r="M22" s="25"/>
      <c r="N22" s="25"/>
      <c r="O22" s="60"/>
    </row>
    <row r="23" spans="1:15" x14ac:dyDescent="0.25">
      <c r="A23" s="65"/>
      <c r="B23" s="25"/>
      <c r="C23" s="25"/>
      <c r="D23" s="25"/>
      <c r="E23" s="25"/>
      <c r="F23" s="25"/>
      <c r="G23" s="25"/>
      <c r="H23" s="138"/>
      <c r="I23" s="139"/>
      <c r="J23" s="25"/>
      <c r="K23" s="25"/>
      <c r="L23" s="25"/>
      <c r="M23" s="25"/>
      <c r="N23" s="25"/>
      <c r="O23" s="60"/>
    </row>
    <row r="24" spans="1:15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</row>
  </sheetData>
  <hyperlinks>
    <hyperlink ref="B4" location="EN_A0400" display="EN_A040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EN_0400_003_m+EN_0400_003_p</f>
        <v>4.2741999999999996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143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4.2741999999999996</v>
      </c>
      <c r="O5" s="60"/>
    </row>
    <row r="6" spans="1:15" x14ac:dyDescent="0.25">
      <c r="A6" s="126" t="s">
        <v>7</v>
      </c>
      <c r="B6" s="27" t="s">
        <v>221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134</v>
      </c>
      <c r="C11" s="20" t="s">
        <v>133</v>
      </c>
      <c r="D11" s="31">
        <v>4.2</v>
      </c>
      <c r="E11" s="20">
        <v>0.20100000000000001</v>
      </c>
      <c r="F11" s="20" t="s">
        <v>127</v>
      </c>
      <c r="G11" s="20"/>
      <c r="H11" s="19"/>
      <c r="I11" s="21" t="s">
        <v>175</v>
      </c>
      <c r="J11" s="144">
        <f>0.045*0.03</f>
        <v>1.3499999999999999E-3</v>
      </c>
      <c r="K11" s="22">
        <v>0.06</v>
      </c>
      <c r="L11" s="30">
        <v>2712</v>
      </c>
      <c r="M11" s="24">
        <v>1</v>
      </c>
      <c r="N11" s="31">
        <f>D11*E11</f>
        <v>0.84420000000000006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0.84420000000000006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8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28</v>
      </c>
      <c r="G16" s="82" t="s">
        <v>171</v>
      </c>
      <c r="H16" s="82">
        <v>1</v>
      </c>
      <c r="I16" s="71">
        <f t="shared" si="0"/>
        <v>1.1200000000000001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173</v>
      </c>
      <c r="C17" s="70"/>
      <c r="D17" s="71">
        <v>0.65</v>
      </c>
      <c r="E17" s="70" t="s">
        <v>35</v>
      </c>
      <c r="F17" s="82">
        <v>1</v>
      </c>
      <c r="G17" s="82"/>
      <c r="H17" s="82"/>
      <c r="I17" s="71">
        <f t="shared" si="0"/>
        <v>0.65</v>
      </c>
      <c r="J17" s="56"/>
      <c r="K17" s="56"/>
      <c r="L17" s="56"/>
      <c r="M17" s="56"/>
      <c r="N17" s="56"/>
      <c r="O17" s="66"/>
    </row>
    <row r="18" spans="1:15" x14ac:dyDescent="0.25">
      <c r="A18" s="70">
        <v>40</v>
      </c>
      <c r="B18" s="70" t="s">
        <v>168</v>
      </c>
      <c r="C18" s="70"/>
      <c r="D18" s="71">
        <v>0.04</v>
      </c>
      <c r="E18" s="70" t="s">
        <v>170</v>
      </c>
      <c r="F18" s="82">
        <v>9</v>
      </c>
      <c r="G18" s="82" t="s">
        <v>171</v>
      </c>
      <c r="H18" s="82">
        <v>1</v>
      </c>
      <c r="I18" s="71">
        <f t="shared" si="0"/>
        <v>0.36</v>
      </c>
      <c r="J18" s="55"/>
      <c r="K18" s="55"/>
      <c r="L18" s="55"/>
      <c r="M18" s="55"/>
      <c r="N18" s="5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 t="s">
        <v>18</v>
      </c>
      <c r="I19" s="130">
        <f>SUM(I15:I18)</f>
        <v>3.4299999999999997</v>
      </c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40"/>
      <c r="I20" s="141"/>
      <c r="J20" s="25"/>
      <c r="K20" s="25"/>
      <c r="L20" s="25"/>
      <c r="M20" s="25"/>
      <c r="N20" s="25"/>
      <c r="O20" s="60"/>
    </row>
    <row r="21" spans="1:15" ht="15.75" thickBot="1" x14ac:dyDescent="0.3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</row>
  </sheetData>
  <hyperlinks>
    <hyperlink ref="B4" location="EN_A0400" display="EN_A040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N3" sqref="N3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EN_0400_004_m+EN_0400_004_p</f>
        <v>2.7262499999999998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144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2.7262499999999998</v>
      </c>
      <c r="O5" s="60"/>
    </row>
    <row r="6" spans="1:15" x14ac:dyDescent="0.25">
      <c r="A6" s="126" t="s">
        <v>7</v>
      </c>
      <c r="B6" s="27" t="s">
        <v>222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136</v>
      </c>
      <c r="C11" s="20" t="s">
        <v>133</v>
      </c>
      <c r="D11" s="31">
        <v>2.25</v>
      </c>
      <c r="E11" s="20">
        <v>2.5000000000000001E-2</v>
      </c>
      <c r="F11" s="20" t="s">
        <v>127</v>
      </c>
      <c r="G11" s="20"/>
      <c r="H11" s="19"/>
      <c r="I11" s="21" t="s">
        <v>176</v>
      </c>
      <c r="J11" s="145">
        <v>7.8499999999999997E-5</v>
      </c>
      <c r="K11" s="22">
        <v>0.04</v>
      </c>
      <c r="L11" s="30">
        <v>7850</v>
      </c>
      <c r="M11" s="24">
        <v>1</v>
      </c>
      <c r="N11" s="31">
        <f>D11*E11</f>
        <v>5.6250000000000001E-2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5.6250000000000001E-2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8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4</v>
      </c>
      <c r="G16" s="82" t="s">
        <v>179</v>
      </c>
      <c r="H16" s="82">
        <v>3</v>
      </c>
      <c r="I16" s="71">
        <f t="shared" si="0"/>
        <v>0.48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173</v>
      </c>
      <c r="C17" s="70" t="s">
        <v>177</v>
      </c>
      <c r="D17" s="71">
        <v>0.65</v>
      </c>
      <c r="E17" s="70" t="s">
        <v>35</v>
      </c>
      <c r="F17" s="82">
        <v>1</v>
      </c>
      <c r="G17" s="82"/>
      <c r="H17" s="82"/>
      <c r="I17" s="71">
        <f t="shared" si="0"/>
        <v>0.65</v>
      </c>
      <c r="J17" s="56"/>
      <c r="K17" s="56"/>
      <c r="L17" s="56"/>
      <c r="M17" s="56"/>
      <c r="N17" s="56"/>
      <c r="O17" s="66"/>
    </row>
    <row r="18" spans="1:15" x14ac:dyDescent="0.25">
      <c r="A18" s="70">
        <v>40</v>
      </c>
      <c r="B18" s="70" t="s">
        <v>168</v>
      </c>
      <c r="C18" s="70" t="s">
        <v>178</v>
      </c>
      <c r="D18" s="71">
        <v>0.04</v>
      </c>
      <c r="E18" s="70" t="s">
        <v>170</v>
      </c>
      <c r="F18" s="82">
        <v>2</v>
      </c>
      <c r="G18" s="82" t="s">
        <v>179</v>
      </c>
      <c r="H18" s="82">
        <v>3</v>
      </c>
      <c r="I18" s="71">
        <f t="shared" si="0"/>
        <v>0.24</v>
      </c>
      <c r="J18" s="55"/>
      <c r="K18" s="55"/>
      <c r="L18" s="55"/>
      <c r="M18" s="55"/>
      <c r="N18" s="5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 t="s">
        <v>18</v>
      </c>
      <c r="I19" s="130">
        <f>SUM(I15:I18)</f>
        <v>2.67</v>
      </c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EN_0400_005_m+EN_0400_005_p</f>
        <v>2.7105000000000001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145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2.7105000000000001</v>
      </c>
      <c r="O5" s="60"/>
    </row>
    <row r="6" spans="1:15" x14ac:dyDescent="0.25">
      <c r="A6" s="126" t="s">
        <v>7</v>
      </c>
      <c r="B6" s="27" t="s">
        <v>223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136</v>
      </c>
      <c r="C11" s="20" t="s">
        <v>133</v>
      </c>
      <c r="D11" s="31">
        <v>2.25</v>
      </c>
      <c r="E11" s="20">
        <v>1.7999999999999999E-2</v>
      </c>
      <c r="F11" s="20" t="s">
        <v>127</v>
      </c>
      <c r="G11" s="20"/>
      <c r="H11" s="19"/>
      <c r="I11" s="21" t="s">
        <v>176</v>
      </c>
      <c r="J11" s="145">
        <v>7.8499999999999997E-5</v>
      </c>
      <c r="K11" s="22">
        <v>0.04</v>
      </c>
      <c r="L11" s="30">
        <v>7850</v>
      </c>
      <c r="M11" s="24">
        <v>1</v>
      </c>
      <c r="N11" s="31">
        <f>D11*E11</f>
        <v>4.0499999999999994E-2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4.0499999999999994E-2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8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168</v>
      </c>
      <c r="C16" s="70"/>
      <c r="D16" s="71">
        <v>0.04</v>
      </c>
      <c r="E16" s="70" t="s">
        <v>170</v>
      </c>
      <c r="F16" s="82">
        <v>4</v>
      </c>
      <c r="G16" s="82" t="s">
        <v>179</v>
      </c>
      <c r="H16" s="82">
        <v>3</v>
      </c>
      <c r="I16" s="71">
        <f t="shared" si="0"/>
        <v>0.48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173</v>
      </c>
      <c r="C17" s="70" t="s">
        <v>177</v>
      </c>
      <c r="D17" s="71">
        <v>0.65</v>
      </c>
      <c r="E17" s="70" t="s">
        <v>35</v>
      </c>
      <c r="F17" s="82">
        <v>1</v>
      </c>
      <c r="G17" s="82"/>
      <c r="H17" s="82"/>
      <c r="I17" s="71">
        <f t="shared" si="0"/>
        <v>0.65</v>
      </c>
      <c r="J17" s="56"/>
      <c r="K17" s="56"/>
      <c r="L17" s="56"/>
      <c r="M17" s="56"/>
      <c r="N17" s="56"/>
      <c r="O17" s="66"/>
    </row>
    <row r="18" spans="1:15" x14ac:dyDescent="0.25">
      <c r="A18" s="70">
        <v>40</v>
      </c>
      <c r="B18" s="70" t="s">
        <v>168</v>
      </c>
      <c r="C18" s="70" t="s">
        <v>178</v>
      </c>
      <c r="D18" s="71">
        <v>0.04</v>
      </c>
      <c r="E18" s="70" t="s">
        <v>170</v>
      </c>
      <c r="F18" s="82">
        <v>2</v>
      </c>
      <c r="G18" s="82" t="s">
        <v>179</v>
      </c>
      <c r="H18" s="82">
        <v>3</v>
      </c>
      <c r="I18" s="71">
        <f t="shared" si="0"/>
        <v>0.24</v>
      </c>
      <c r="J18" s="55"/>
      <c r="K18" s="55"/>
      <c r="L18" s="55"/>
      <c r="M18" s="55"/>
      <c r="N18" s="5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 t="s">
        <v>18</v>
      </c>
      <c r="I19" s="130">
        <f>SUM(I15:I18)</f>
        <v>2.67</v>
      </c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25">
      <c r="A2" s="126" t="s">
        <v>0</v>
      </c>
      <c r="B2" s="16" t="s">
        <v>38</v>
      </c>
      <c r="C2" s="55"/>
      <c r="D2" s="55"/>
      <c r="E2" s="55"/>
      <c r="F2" s="55"/>
      <c r="G2" s="55" t="s">
        <v>111</v>
      </c>
      <c r="H2" s="55"/>
      <c r="I2" s="55"/>
      <c r="J2" s="127" t="s">
        <v>1</v>
      </c>
      <c r="K2" s="86">
        <v>81</v>
      </c>
      <c r="L2" s="55"/>
      <c r="M2" s="126" t="s">
        <v>16</v>
      </c>
      <c r="N2" s="71">
        <f>EN_0400_006_m+EN_0400_006_p</f>
        <v>3.5687500000000001</v>
      </c>
      <c r="O2" s="60"/>
    </row>
    <row r="3" spans="1:15" x14ac:dyDescent="0.25">
      <c r="A3" s="126" t="s">
        <v>3</v>
      </c>
      <c r="B3" s="16" t="str">
        <f>EN_A0400!B3</f>
        <v>Engine and Drivetrain</v>
      </c>
      <c r="C3" s="55"/>
      <c r="D3" s="126" t="s">
        <v>6</v>
      </c>
      <c r="E3" s="93"/>
      <c r="F3" s="55"/>
      <c r="G3" s="55"/>
      <c r="H3" s="55"/>
      <c r="I3" s="55"/>
      <c r="J3" s="55"/>
      <c r="K3" s="55"/>
      <c r="L3" s="55"/>
      <c r="M3" s="126" t="s">
        <v>4</v>
      </c>
      <c r="N3" s="85">
        <v>1</v>
      </c>
      <c r="O3" s="60"/>
    </row>
    <row r="4" spans="1:15" x14ac:dyDescent="0.25">
      <c r="A4" s="126" t="s">
        <v>5</v>
      </c>
      <c r="B4" s="92" t="str">
        <f>EN_A0400!B4</f>
        <v>Throttle Body</v>
      </c>
      <c r="C4" s="55"/>
      <c r="D4" s="126" t="s">
        <v>8</v>
      </c>
      <c r="E4" s="55"/>
      <c r="F4" s="55"/>
      <c r="G4" s="55"/>
      <c r="H4" s="55"/>
      <c r="I4" s="55"/>
      <c r="J4" s="128" t="s">
        <v>6</v>
      </c>
      <c r="K4" s="55"/>
      <c r="L4" s="55"/>
      <c r="M4" s="55"/>
      <c r="N4" s="55"/>
      <c r="O4" s="60"/>
    </row>
    <row r="5" spans="1:15" x14ac:dyDescent="0.25">
      <c r="A5" s="126" t="s">
        <v>15</v>
      </c>
      <c r="B5" s="18" t="s">
        <v>146</v>
      </c>
      <c r="C5" s="55"/>
      <c r="D5" s="126" t="s">
        <v>12</v>
      </c>
      <c r="E5" s="55"/>
      <c r="F5" s="55"/>
      <c r="G5" s="55"/>
      <c r="H5" s="55"/>
      <c r="I5" s="55"/>
      <c r="J5" s="128" t="s">
        <v>8</v>
      </c>
      <c r="K5" s="55"/>
      <c r="L5" s="55"/>
      <c r="M5" s="126" t="s">
        <v>9</v>
      </c>
      <c r="N5" s="71">
        <f>N3*N2</f>
        <v>3.5687500000000001</v>
      </c>
      <c r="O5" s="60"/>
    </row>
    <row r="6" spans="1:15" x14ac:dyDescent="0.25">
      <c r="A6" s="126" t="s">
        <v>7</v>
      </c>
      <c r="B6" s="27" t="s">
        <v>224</v>
      </c>
      <c r="C6" s="55"/>
      <c r="D6" s="55"/>
      <c r="E6" s="55"/>
      <c r="F6" s="55"/>
      <c r="G6" s="55"/>
      <c r="H6" s="55"/>
      <c r="I6" s="55"/>
      <c r="J6" s="128" t="s">
        <v>12</v>
      </c>
      <c r="K6" s="55"/>
      <c r="L6" s="55"/>
      <c r="M6" s="55"/>
      <c r="N6" s="55"/>
      <c r="O6" s="60"/>
    </row>
    <row r="7" spans="1:15" x14ac:dyDescent="0.25">
      <c r="A7" s="126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0"/>
    </row>
    <row r="8" spans="1:15" x14ac:dyDescent="0.25">
      <c r="A8" s="126" t="s">
        <v>13</v>
      </c>
      <c r="B8" s="16" t="s">
        <v>164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0"/>
    </row>
    <row r="9" spans="1:15" x14ac:dyDescent="0.25">
      <c r="A9" s="87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0"/>
    </row>
    <row r="10" spans="1:15" x14ac:dyDescent="0.25">
      <c r="A10" s="131" t="s">
        <v>14</v>
      </c>
      <c r="B10" s="132" t="s">
        <v>19</v>
      </c>
      <c r="C10" s="132" t="s">
        <v>20</v>
      </c>
      <c r="D10" s="132" t="s">
        <v>21</v>
      </c>
      <c r="E10" s="132" t="s">
        <v>22</v>
      </c>
      <c r="F10" s="133" t="s">
        <v>23</v>
      </c>
      <c r="G10" s="133" t="s">
        <v>24</v>
      </c>
      <c r="H10" s="133" t="s">
        <v>25</v>
      </c>
      <c r="I10" s="133" t="s">
        <v>26</v>
      </c>
      <c r="J10" s="133" t="s">
        <v>27</v>
      </c>
      <c r="K10" s="133" t="s">
        <v>28</v>
      </c>
      <c r="L10" s="133" t="s">
        <v>29</v>
      </c>
      <c r="M10" s="133" t="s">
        <v>17</v>
      </c>
      <c r="N10" s="133" t="s">
        <v>18</v>
      </c>
      <c r="O10" s="60"/>
    </row>
    <row r="11" spans="1:15" s="23" customFormat="1" x14ac:dyDescent="0.25">
      <c r="A11" s="88">
        <v>10</v>
      </c>
      <c r="B11" s="29" t="s">
        <v>136</v>
      </c>
      <c r="C11" s="20" t="s">
        <v>133</v>
      </c>
      <c r="D11" s="31">
        <v>2.25</v>
      </c>
      <c r="E11" s="20">
        <v>7.4999999999999997E-2</v>
      </c>
      <c r="F11" s="20" t="s">
        <v>127</v>
      </c>
      <c r="G11" s="20"/>
      <c r="H11" s="19"/>
      <c r="I11" s="21" t="s">
        <v>180</v>
      </c>
      <c r="J11" s="145">
        <v>1.2E-4</v>
      </c>
      <c r="K11" s="22">
        <v>0.08</v>
      </c>
      <c r="L11" s="30">
        <v>7850</v>
      </c>
      <c r="M11" s="24">
        <v>1</v>
      </c>
      <c r="N11" s="31">
        <f>D11*E11</f>
        <v>0.16874999999999998</v>
      </c>
      <c r="O11" s="64"/>
    </row>
    <row r="12" spans="1:15" x14ac:dyDescent="0.25">
      <c r="A12" s="6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9" t="s">
        <v>18</v>
      </c>
      <c r="N12" s="130">
        <f>SUM(N11:N11)</f>
        <v>0.16874999999999998</v>
      </c>
      <c r="O12" s="60"/>
    </row>
    <row r="13" spans="1:15" x14ac:dyDescent="0.25">
      <c r="A13" s="6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0"/>
    </row>
    <row r="14" spans="1:15" x14ac:dyDescent="0.25">
      <c r="A14" s="134" t="s">
        <v>14</v>
      </c>
      <c r="B14" s="133" t="s">
        <v>31</v>
      </c>
      <c r="C14" s="133" t="s">
        <v>20</v>
      </c>
      <c r="D14" s="133" t="s">
        <v>21</v>
      </c>
      <c r="E14" s="133" t="s">
        <v>32</v>
      </c>
      <c r="F14" s="133" t="s">
        <v>17</v>
      </c>
      <c r="G14" s="133" t="s">
        <v>33</v>
      </c>
      <c r="H14" s="133" t="s">
        <v>34</v>
      </c>
      <c r="I14" s="133" t="s">
        <v>18</v>
      </c>
      <c r="J14" s="25"/>
      <c r="K14" s="25"/>
      <c r="L14" s="25"/>
      <c r="M14" s="25"/>
      <c r="N14" s="25"/>
      <c r="O14" s="60"/>
    </row>
    <row r="15" spans="1:15" s="26" customFormat="1" x14ac:dyDescent="0.25">
      <c r="A15" s="70">
        <v>10</v>
      </c>
      <c r="B15" s="70" t="s">
        <v>166</v>
      </c>
      <c r="C15" s="70"/>
      <c r="D15" s="71">
        <v>1.3</v>
      </c>
      <c r="E15" s="70" t="s">
        <v>35</v>
      </c>
      <c r="F15" s="82">
        <v>1</v>
      </c>
      <c r="G15" s="82"/>
      <c r="H15" s="82"/>
      <c r="I15" s="71">
        <f t="shared" ref="I15:I18" si="0">IF(H15="",D15*F15,D15*F15*H15)</f>
        <v>1.3</v>
      </c>
      <c r="J15" s="56"/>
      <c r="K15" s="56"/>
      <c r="L15" s="56"/>
      <c r="M15" s="56"/>
      <c r="N15" s="56"/>
      <c r="O15" s="66"/>
    </row>
    <row r="16" spans="1:15" s="26" customFormat="1" x14ac:dyDescent="0.25">
      <c r="A16" s="70">
        <v>20</v>
      </c>
      <c r="B16" s="70" t="s">
        <v>181</v>
      </c>
      <c r="C16" s="70"/>
      <c r="D16" s="71">
        <v>0.01</v>
      </c>
      <c r="E16" s="70" t="s">
        <v>170</v>
      </c>
      <c r="F16" s="82">
        <v>35</v>
      </c>
      <c r="G16" s="82" t="s">
        <v>179</v>
      </c>
      <c r="H16" s="82">
        <v>3</v>
      </c>
      <c r="I16" s="71">
        <f t="shared" si="0"/>
        <v>1.05</v>
      </c>
      <c r="J16" s="56"/>
      <c r="K16" s="56"/>
      <c r="L16" s="56"/>
      <c r="M16" s="56"/>
      <c r="N16" s="56"/>
      <c r="O16" s="66"/>
    </row>
    <row r="17" spans="1:15" s="26" customFormat="1" x14ac:dyDescent="0.25">
      <c r="A17" s="70">
        <v>30</v>
      </c>
      <c r="B17" s="70" t="s">
        <v>128</v>
      </c>
      <c r="C17" s="70"/>
      <c r="D17" s="71">
        <v>0.25</v>
      </c>
      <c r="E17" s="70" t="s">
        <v>129</v>
      </c>
      <c r="F17" s="82">
        <v>3</v>
      </c>
      <c r="G17" s="82"/>
      <c r="H17" s="82"/>
      <c r="I17" s="71">
        <f t="shared" si="0"/>
        <v>0.75</v>
      </c>
      <c r="J17" s="56"/>
      <c r="K17" s="56"/>
      <c r="L17" s="56"/>
      <c r="M17" s="56"/>
      <c r="N17" s="56"/>
      <c r="O17" s="66"/>
    </row>
    <row r="18" spans="1:15" x14ac:dyDescent="0.25">
      <c r="A18" s="70">
        <v>40</v>
      </c>
      <c r="B18" s="70" t="s">
        <v>130</v>
      </c>
      <c r="C18" s="70"/>
      <c r="D18" s="71">
        <v>0.15</v>
      </c>
      <c r="E18" s="70" t="s">
        <v>170</v>
      </c>
      <c r="F18" s="82">
        <v>2</v>
      </c>
      <c r="G18" s="82"/>
      <c r="H18" s="82"/>
      <c r="I18" s="71">
        <f t="shared" si="0"/>
        <v>0.3</v>
      </c>
      <c r="J18" s="55"/>
      <c r="K18" s="55"/>
      <c r="L18" s="55"/>
      <c r="M18" s="55"/>
      <c r="N18" s="55"/>
      <c r="O18" s="60"/>
    </row>
    <row r="19" spans="1:15" x14ac:dyDescent="0.25">
      <c r="A19" s="65"/>
      <c r="B19" s="25"/>
      <c r="C19" s="25"/>
      <c r="D19" s="25"/>
      <c r="E19" s="25"/>
      <c r="F19" s="25"/>
      <c r="G19" s="25"/>
      <c r="H19" s="135" t="s">
        <v>18</v>
      </c>
      <c r="I19" s="130">
        <f>SUM(I15:I18)</f>
        <v>3.4</v>
      </c>
      <c r="J19" s="25"/>
      <c r="K19" s="25"/>
      <c r="L19" s="25"/>
      <c r="M19" s="25"/>
      <c r="N19" s="25"/>
      <c r="O19" s="60"/>
    </row>
    <row r="20" spans="1:15" x14ac:dyDescent="0.25">
      <c r="A20" s="65"/>
      <c r="B20" s="25"/>
      <c r="C20" s="25"/>
      <c r="D20" s="25"/>
      <c r="E20" s="25"/>
      <c r="F20" s="25"/>
      <c r="G20" s="25"/>
      <c r="H20" s="138"/>
      <c r="I20" s="139"/>
      <c r="J20" s="25"/>
      <c r="K20" s="25"/>
      <c r="L20" s="25"/>
      <c r="M20" s="25"/>
      <c r="N20" s="25"/>
      <c r="O20" s="60"/>
    </row>
    <row r="21" spans="1:15" x14ac:dyDescent="0.25">
      <c r="A21" s="65"/>
      <c r="B21" s="25"/>
      <c r="C21" s="25"/>
      <c r="D21" s="25"/>
      <c r="E21" s="25"/>
      <c r="F21" s="25"/>
      <c r="G21" s="25"/>
      <c r="H21" s="138"/>
      <c r="I21" s="139"/>
      <c r="J21" s="25"/>
      <c r="K21" s="25"/>
      <c r="L21" s="25"/>
      <c r="M21" s="25"/>
      <c r="N21" s="25"/>
      <c r="O21" s="60"/>
    </row>
    <row r="22" spans="1:15" ht="15.75" thickBot="1" x14ac:dyDescent="0.3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EN_A0400" display="EN_A04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67</vt:i4>
      </vt:variant>
    </vt:vector>
  </HeadingPairs>
  <TitlesOfParts>
    <vt:vector size="79" baseType="lpstr">
      <vt:lpstr>Instructions</vt:lpstr>
      <vt:lpstr>BOM</vt:lpstr>
      <vt:lpstr>EN_A0400</vt:lpstr>
      <vt:lpstr>EN_0400_001</vt:lpstr>
      <vt:lpstr>EN_0400_002</vt:lpstr>
      <vt:lpstr>EN_0400_003</vt:lpstr>
      <vt:lpstr>EN_0400_004</vt:lpstr>
      <vt:lpstr>EN_0400_005</vt:lpstr>
      <vt:lpstr>EN_0400_006</vt:lpstr>
      <vt:lpstr>EN_0400_007</vt:lpstr>
      <vt:lpstr>EN_0400_008</vt:lpstr>
      <vt:lpstr>EN_0400_009</vt:lpstr>
      <vt:lpstr>BOM!Car</vt:lpstr>
      <vt:lpstr>BOM!CompCode</vt:lpstr>
      <vt:lpstr>EN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EN_A0400</vt:lpstr>
      <vt:lpstr>EN_A0400_f</vt:lpstr>
      <vt:lpstr>EN_A0400_m</vt:lpstr>
      <vt:lpstr>EN_A0400_p</vt:lpstr>
      <vt:lpstr>EN_A0400_pa</vt:lpstr>
      <vt:lpstr>EN_A0400_q</vt:lpstr>
      <vt:lpstr>EN_A0400_t</vt:lpstr>
      <vt:lpstr>BOM!Impression_des_titres</vt:lpstr>
      <vt:lpstr>IT_A0001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Emilien</cp:lastModifiedBy>
  <cp:revision>0</cp:revision>
  <dcterms:created xsi:type="dcterms:W3CDTF">2015-05-29T18:57:13Z</dcterms:created>
  <dcterms:modified xsi:type="dcterms:W3CDTF">2018-04-25T23:58:15Z</dcterms:modified>
  <dc:language>fr-FR</dc:language>
</cp:coreProperties>
</file>