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0" yWindow="0" windowWidth="23040" windowHeight="10452" tabRatio="779" activeTab="3"/>
  </bookViews>
  <sheets>
    <sheet name="EN A0005" sheetId="1" r:id="rId1"/>
    <sheet name="EN 05001" sheetId="2" r:id="rId2"/>
    <sheet name="EN 05001 Drawing" sheetId="3" r:id="rId3"/>
    <sheet name="EN 05002" sheetId="6" r:id="rId4"/>
    <sheet name="EN 05003" sheetId="7" r:id="rId5"/>
    <sheet name="EN 05004" sheetId="8" r:id="rId6"/>
    <sheet name="EN 05004 Drawing" sheetId="9" r:id="rId7"/>
    <sheet name="EN 05005" sheetId="10" r:id="rId8"/>
    <sheet name="EN 05005 Drawing" sheetId="11" r:id="rId9"/>
  </sheets>
  <externalReferences>
    <externalReference r:id="rId10"/>
    <externalReference r:id="rId11"/>
  </externalReferences>
  <definedNames>
    <definedName name="a">#REF!</definedName>
    <definedName name="Car" localSheetId="4">#REF!</definedName>
    <definedName name="CompCode" localSheetId="4">#REF!</definedName>
    <definedName name="EL_A0003_f">#REF!</definedName>
    <definedName name="EL_A0003_m">#REF!</definedName>
    <definedName name="EL_A0003_p">#REF!</definedName>
    <definedName name="EL_A0003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Process_P1">#REF!</definedName>
    <definedName name="Processes" localSheetId="4">#REF!</definedName>
    <definedName name="Processes">#REF!</definedName>
    <definedName name="Uni" localSheetId="4">#REF!</definedName>
    <definedName name="Uni">[2]BOM!#REF!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N19" i="1"/>
  <c r="D45" i="1"/>
  <c r="D44" i="1"/>
  <c r="J44" i="1"/>
  <c r="J35" i="7"/>
  <c r="J36" i="7"/>
  <c r="I28" i="7"/>
  <c r="I30" i="7"/>
  <c r="D14" i="7"/>
  <c r="N14" i="7"/>
  <c r="N13" i="7"/>
  <c r="N15" i="7"/>
  <c r="J34" i="7"/>
  <c r="D34" i="7"/>
  <c r="D35" i="7"/>
  <c r="D33" i="7"/>
  <c r="I27" i="7"/>
  <c r="I18" i="7"/>
  <c r="I19" i="7"/>
  <c r="I20" i="7"/>
  <c r="I21" i="7"/>
  <c r="I22" i="7"/>
  <c r="I23" i="7"/>
  <c r="D24" i="7"/>
  <c r="I24" i="7"/>
  <c r="I25" i="7"/>
  <c r="I26" i="7"/>
  <c r="J11" i="7"/>
  <c r="D11" i="7"/>
  <c r="N11" i="7"/>
  <c r="I23" i="2"/>
  <c r="I20" i="2"/>
  <c r="J10" i="2"/>
  <c r="F25" i="2"/>
  <c r="C13" i="1"/>
  <c r="J10" i="10"/>
  <c r="K10" i="8"/>
  <c r="J10" i="8"/>
  <c r="E11" i="7"/>
  <c r="J10" i="7"/>
  <c r="E10" i="7"/>
  <c r="D12" i="7"/>
  <c r="N12" i="7"/>
  <c r="D10" i="7"/>
  <c r="D13" i="7"/>
  <c r="D13" i="6"/>
  <c r="N13" i="6"/>
  <c r="N12" i="6"/>
  <c r="D12" i="6"/>
  <c r="N11" i="6"/>
  <c r="E13" i="1"/>
  <c r="I14" i="10"/>
  <c r="I15" i="10"/>
  <c r="I16" i="10"/>
  <c r="K10" i="10"/>
  <c r="N10" i="10"/>
  <c r="N11" i="10"/>
  <c r="E10" i="10"/>
  <c r="N1" i="10"/>
  <c r="N4" i="10"/>
  <c r="I14" i="8"/>
  <c r="I15" i="8"/>
  <c r="I16" i="8"/>
  <c r="N10" i="8"/>
  <c r="N11" i="8"/>
  <c r="E10" i="8"/>
  <c r="N1" i="8"/>
  <c r="N4" i="8"/>
  <c r="I39" i="7"/>
  <c r="I40" i="7"/>
  <c r="J33" i="7"/>
  <c r="N10" i="7"/>
  <c r="I17" i="6"/>
  <c r="I18" i="6"/>
  <c r="I19" i="6"/>
  <c r="I20" i="6"/>
  <c r="I21" i="6"/>
  <c r="I22" i="6"/>
  <c r="J10" i="6"/>
  <c r="N10" i="6"/>
  <c r="N14" i="6"/>
  <c r="E10" i="6"/>
  <c r="N1" i="6"/>
  <c r="N4" i="6"/>
  <c r="I29" i="2"/>
  <c r="I30" i="2"/>
  <c r="I16" i="2"/>
  <c r="I17" i="2"/>
  <c r="I18" i="2"/>
  <c r="I19" i="2"/>
  <c r="I21" i="2"/>
  <c r="I22" i="2"/>
  <c r="I24" i="2"/>
  <c r="I25" i="2"/>
  <c r="I26" i="2"/>
  <c r="K10" i="2"/>
  <c r="N10" i="2"/>
  <c r="J11" i="2"/>
  <c r="N11" i="2"/>
  <c r="N12" i="2"/>
  <c r="N13" i="2"/>
  <c r="E11" i="2"/>
  <c r="E10" i="2"/>
  <c r="N1" i="2"/>
  <c r="N4" i="2"/>
  <c r="I49" i="1"/>
  <c r="I50" i="1"/>
  <c r="J39" i="1"/>
  <c r="J40" i="1"/>
  <c r="J41" i="1"/>
  <c r="J42" i="1"/>
  <c r="J43" i="1"/>
  <c r="J45" i="1"/>
  <c r="J46" i="1"/>
  <c r="I24" i="1"/>
  <c r="F25" i="1"/>
  <c r="I25" i="1"/>
  <c r="I26" i="1"/>
  <c r="I27" i="1"/>
  <c r="I28" i="1"/>
  <c r="I29" i="1"/>
  <c r="I30" i="1"/>
  <c r="I31" i="1"/>
  <c r="I32" i="1"/>
  <c r="I33" i="1"/>
  <c r="I34" i="1"/>
  <c r="I35" i="1"/>
  <c r="I36" i="1"/>
  <c r="N17" i="1"/>
  <c r="D18" i="1"/>
  <c r="N18" i="1"/>
  <c r="M20" i="1"/>
  <c r="N20" i="1"/>
  <c r="N21" i="1"/>
  <c r="E20" i="1"/>
  <c r="C9" i="1"/>
  <c r="E9" i="1"/>
  <c r="C10" i="1"/>
  <c r="E10" i="1"/>
  <c r="C12" i="1"/>
  <c r="E12" i="1"/>
  <c r="N1" i="7"/>
  <c r="N4" i="7"/>
  <c r="C11" i="1"/>
  <c r="E11" i="1"/>
  <c r="E14" i="1"/>
  <c r="N1" i="1"/>
  <c r="N4" i="1"/>
</calcChain>
</file>

<file path=xl/sharedStrings.xml><?xml version="1.0" encoding="utf-8"?>
<sst xmlns="http://schemas.openxmlformats.org/spreadsheetml/2006/main" count="585" uniqueCount="166">
  <si>
    <t>University</t>
  </si>
  <si>
    <t>Ecole Centrale de Lyon</t>
  </si>
  <si>
    <t>Back to BOM</t>
  </si>
  <si>
    <t>Car #</t>
  </si>
  <si>
    <t>Asm Cost</t>
  </si>
  <si>
    <t>System</t>
  </si>
  <si>
    <t>Engine &amp; Drivetrain</t>
  </si>
  <si>
    <t>Qty</t>
  </si>
  <si>
    <t>Assembly</t>
  </si>
  <si>
    <t>Fuel Tank 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</si>
  <si>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</si>
  <si>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</si>
  <si>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</si>
  <si>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</si>
  <si>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</si>
  <si>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</si>
  <si>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</si>
  <si>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</si>
  <si>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Fuel tank with filler neck</t>
  </si>
  <si>
    <t>ItemOrder</t>
  </si>
  <si>
    <t>Part</t>
  </si>
  <si>
    <t>Part Cost</t>
  </si>
  <si>
    <t>Quantity</t>
  </si>
  <si>
    <t>Sub Total</t>
  </si>
  <si>
    <t>Fuel Tank (with filler neck)</t>
  </si>
  <si>
    <t>Filler Cap</t>
  </si>
  <si>
    <t>Filler Tube</t>
  </si>
  <si>
    <t>Lateral tab</t>
  </si>
  <si>
    <t>Rear tab</t>
  </si>
  <si>
    <t>Front tab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</si>
  <si>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</si>
  <si>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</si>
  <si>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</si>
  <si>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</si>
  <si>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</si>
  <si>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</si>
  <si>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</si>
  <si>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</si>
  <si>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</si>
  <si>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</si>
  <si>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</si>
  <si>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Mount, Vibration-Damping, Sandwich</t>
  </si>
  <si>
    <t>Vibration-Damping, Sandwich for fuel tank</t>
  </si>
  <si>
    <t>mm</t>
  </si>
  <si>
    <t>Hose, Silicone</t>
  </si>
  <si>
    <t>Filler hose raccording Filler tube and Filler neck</t>
  </si>
  <si>
    <t>Paint</t>
  </si>
  <si>
    <t>Tabs painting</t>
  </si>
  <si>
    <t>m^2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</si>
  <si>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</si>
  <si>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</si>
  <si>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</si>
  <si>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</si>
  <si>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</si>
  <si>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</si>
  <si>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</si>
  <si>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</si>
  <si>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Assemble, 1kg, Loose</t>
  </si>
  <si>
    <t>Vibration dampings sandwich on Fuel tank</t>
  </si>
  <si>
    <t>Ratchet, &lt;= 25.4mm</t>
  </si>
  <si>
    <t>Tighten vibration damping sandwich on Fuel Tank</t>
  </si>
  <si>
    <t>Assemble, 3 kg, Line-on-Line</t>
  </si>
  <si>
    <t>Fuel tank on the tabs</t>
  </si>
  <si>
    <t>Tighten Fuel tank on the tabs</t>
  </si>
  <si>
    <t>Reaction tool, &lt;= 25.4mm</t>
  </si>
  <si>
    <t>Screwdriver &gt; 1 Turn</t>
  </si>
  <si>
    <t>Hose clamps</t>
  </si>
  <si>
    <t>Ratchet &lt;= 6.35 mm</t>
  </si>
  <si>
    <t>Filler tube collar on collar tab</t>
  </si>
  <si>
    <t>Reaction Tool &lt;= 6.35 mm</t>
  </si>
  <si>
    <t>Tighten Filler tube collar on collar tab</t>
  </si>
  <si>
    <t>Hand, Loose &gt; 25.4 mm</t>
  </si>
  <si>
    <t>Fastener</t>
  </si>
  <si>
    <t>Nut, Grade 8.8 (SAE 5)</t>
  </si>
  <si>
    <t>Washer, Grade 8.8 (SAE 5)</t>
  </si>
  <si>
    <t>Bolt, Grade 8.8 (SAE 5)</t>
  </si>
  <si>
    <t>M6 bolt for collar on collar mount</t>
  </si>
  <si>
    <t>M6 nut for collar on collar mount +  for vibration damping sandwich</t>
  </si>
  <si>
    <t>M6 washer for collar on collar mount +  for vibration damping sandwich</t>
  </si>
  <si>
    <t>Hose Clamp, Worm Drive</t>
  </si>
  <si>
    <t>Tooling</t>
  </si>
  <si>
    <t>PVF</t>
  </si>
  <si>
    <t>FracIncld</t>
  </si>
  <si>
    <t>Welds - Welding Fixture</t>
  </si>
  <si>
    <t>Point</t>
  </si>
  <si>
    <t xml:space="preserve">Drawing : </t>
  </si>
  <si>
    <t>Aluminum, Normal (per kg)</t>
  </si>
  <si>
    <t>Fuel tank plate material</t>
  </si>
  <si>
    <t>kg</t>
  </si>
  <si>
    <t>Nek tube</t>
  </si>
  <si>
    <t>Circular area (tube) 45mm x 2mm</t>
  </si>
  <si>
    <t>Fitting, Weld-in, Male, Aluminum</t>
  </si>
  <si>
    <t>For Dash6 connection</t>
  </si>
  <si>
    <t>Machining Setup, Install and Remove</t>
  </si>
  <si>
    <t>Plate material cut</t>
  </si>
  <si>
    <t>Material - Aluminum</t>
  </si>
  <si>
    <t>Laser cut</t>
  </si>
  <si>
    <t>Sheet metal bends</t>
  </si>
  <si>
    <t>Bend</t>
  </si>
  <si>
    <t>Tube cut</t>
  </si>
  <si>
    <t>Neck tube cut</t>
  </si>
  <si>
    <t>Filler neck body</t>
  </si>
  <si>
    <t>circle area (tube) 45mm x 2mm</t>
  </si>
  <si>
    <t>Drilled holes &lt; 25.4 mm dia.</t>
  </si>
  <si>
    <t>Hole</t>
  </si>
  <si>
    <t>Threading, External (machining)</t>
  </si>
  <si>
    <t>Barb fittings welding on tube</t>
  </si>
  <si>
    <t>Cut (scissors, knife)</t>
  </si>
  <si>
    <t>Assemble, 1 kg, Interference</t>
  </si>
  <si>
    <t>Aluminum - Normal (per kg)</t>
  </si>
  <si>
    <t>Cap material</t>
  </si>
  <si>
    <t>Round area diameter 50mm</t>
  </si>
  <si>
    <t>Fuel Check Valve, In-line, Aluminum Rollover</t>
  </si>
  <si>
    <t>Machning Setup, Install and Remove</t>
  </si>
  <si>
    <t>Machining</t>
  </si>
  <si>
    <t>cm^3</t>
  </si>
  <si>
    <t>Material - Aluminium</t>
  </si>
  <si>
    <t>Threading, Internal (machining)</t>
  </si>
  <si>
    <t>Fuel Check Valve hole (20mm)</t>
  </si>
  <si>
    <t>hole</t>
  </si>
  <si>
    <t>Assemble, 1 kg, Line-on-Line</t>
  </si>
  <si>
    <t>Fuel Check Valve assembling</t>
  </si>
  <si>
    <t>Sight tube</t>
  </si>
  <si>
    <t>m</t>
  </si>
  <si>
    <t>Drawing :</t>
  </si>
  <si>
    <t>Steel, Mild</t>
  </si>
  <si>
    <t>Material - Steel</t>
  </si>
  <si>
    <t>EN A0005</t>
  </si>
  <si>
    <t>EN 05001</t>
  </si>
  <si>
    <t>EN 05002</t>
  </si>
  <si>
    <t>EN 05003</t>
  </si>
  <si>
    <t>Hose rubber</t>
  </si>
  <si>
    <t>Fitting/L.P./Male Flare to Pipe//Aluminum/Anodized</t>
  </si>
  <si>
    <t>Connect hose rubbber to  fuel check valve</t>
  </si>
  <si>
    <t>Sight tube fitting</t>
  </si>
  <si>
    <t>circle area (tube) 10mm x 1mm</t>
  </si>
  <si>
    <t>Filler neck body,  and sight tube fitting</t>
  </si>
  <si>
    <t>Adapter plug - filler neck body</t>
  </si>
  <si>
    <t>Thread for plug</t>
  </si>
  <si>
    <t>EN 05004</t>
  </si>
  <si>
    <t>EN 05005</t>
  </si>
  <si>
    <t>Rectangular area, 30x42 mm</t>
  </si>
  <si>
    <t>Rectangular area, 30x48 mm</t>
  </si>
  <si>
    <t>Side plate</t>
  </si>
  <si>
    <t>Lower plate</t>
  </si>
  <si>
    <t>Upper plate</t>
  </si>
  <si>
    <t>Upper plate bend</t>
  </si>
  <si>
    <t>Side plate bend</t>
  </si>
  <si>
    <t>Fuel tank welding + neck tube</t>
  </si>
  <si>
    <t>Rectangular plate 460mm x 1200mm</t>
  </si>
  <si>
    <t>Cavity</t>
  </si>
  <si>
    <t>Hose and sight tube cut</t>
  </si>
  <si>
    <t>Attach the filler tube to frame</t>
  </si>
  <si>
    <t>Attach sight tube to filler tube</t>
  </si>
  <si>
    <t>Attach filler tube to hose</t>
  </si>
  <si>
    <t>Hose, frame attach and sight tube mounting</t>
  </si>
  <si>
    <t>Hose,  frame attach and sight tube clamp</t>
  </si>
  <si>
    <t>Attach to fuel tank</t>
  </si>
  <si>
    <t>Clamp on the Filler hose</t>
  </si>
  <si>
    <t>M6 nut for vibration damping sandwich</t>
  </si>
  <si>
    <t>M6 washer for vibration damping sandwich</t>
  </si>
  <si>
    <t>Clamp for filler neck and filler tube</t>
  </si>
  <si>
    <t>Clamp on tube of frame to attach the filler tube</t>
  </si>
  <si>
    <t>Seal, O-Ring, Elastomer</t>
  </si>
  <si>
    <t>Between the plug and the filler tube</t>
  </si>
  <si>
    <t>Seal O-ring + Filler tube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</si>
</sst>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_(* #,##0.00_);_(* \(#,##0.00\);_(* &quot;-&quot;??_);_(@_)"/>
    <numFmt numFmtId="167" formatCode="_(* #,##0_);_(* \(#,##0\);_(* &quot;-&quot;??_);_(@_)"/>
    <numFmt numFmtId="168" formatCode="0.000"/>
    <numFmt numFmtId="169" formatCode="&quot;$&quot;#,##0.00"/>
    <numFmt numFmtId="170" formatCode="\$#,##0.00_);&quot;($&quot;#,##0.00\)"/>
    <numFmt numFmtId="171" formatCode="_(\$* #,##0.00_);_(\$* \(#,##0.00\);_(\$* \-??_);_(@_)"/>
    <numFmt numFmtId="172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8"/>
      <color rgb="FFFF0000"/>
      <name val="Calibri"/>
      <family val="2"/>
    </font>
    <font>
      <sz val="18"/>
      <name val="Calibri"/>
      <family val="2"/>
    </font>
    <font>
      <b/>
      <sz val="18"/>
      <name val="Calibri"/>
      <family val="2"/>
    </font>
    <font>
      <sz val="11"/>
      <color rgb="FF000000"/>
      <name val="Calibri"/>
      <family val="2"/>
      <charset val="1"/>
    </font>
    <font>
      <sz val="18"/>
      <color rgb="FFFF0000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b/>
      <sz val="26"/>
      <color rgb="FFFF0000"/>
      <name val="Calibri"/>
      <family val="2"/>
    </font>
    <font>
      <sz val="10"/>
      <name val="MS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D79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0" fontId="12" fillId="0" borderId="0"/>
    <xf numFmtId="164" fontId="5" fillId="0" borderId="0" applyFont="0" applyFill="0" applyBorder="0" applyAlignment="0" applyProtection="0"/>
    <xf numFmtId="169" fontId="9" fillId="0" borderId="3">
      <alignment vertical="center" wrapText="1"/>
    </xf>
    <xf numFmtId="0" fontId="14" fillId="0" borderId="0"/>
    <xf numFmtId="170" fontId="9" fillId="0" borderId="3">
      <alignment vertical="center" wrapText="1"/>
    </xf>
    <xf numFmtId="43" fontId="9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5" fontId="3" fillId="0" borderId="0" xfId="1" applyNumberFormat="1" applyFont="1" applyFill="1" applyBorder="1"/>
    <xf numFmtId="37" fontId="3" fillId="0" borderId="0" xfId="3" applyNumberFormat="1" applyFont="1" applyFill="1" applyBorder="1"/>
    <xf numFmtId="0" fontId="3" fillId="0" borderId="0" xfId="0" applyFont="1" applyFill="1" applyBorder="1" applyAlignment="1">
      <alignment horizontal="left"/>
    </xf>
    <xf numFmtId="164" fontId="3" fillId="0" borderId="0" xfId="1" applyNumberFormat="1" applyFont="1" applyFill="1" applyBorder="1"/>
    <xf numFmtId="0" fontId="3" fillId="0" borderId="2" xfId="0" applyFont="1" applyFill="1" applyBorder="1"/>
    <xf numFmtId="0" fontId="4" fillId="0" borderId="2" xfId="2" applyFill="1" applyBorder="1"/>
    <xf numFmtId="164" fontId="3" fillId="0" borderId="2" xfId="1" applyFont="1" applyFill="1" applyBorder="1"/>
    <xf numFmtId="0" fontId="3" fillId="0" borderId="2" xfId="0" applyNumberFormat="1" applyFont="1" applyFill="1" applyBorder="1"/>
    <xf numFmtId="164" fontId="3" fillId="0" borderId="2" xfId="1" applyNumberFormat="1" applyFont="1" applyFill="1" applyBorder="1"/>
    <xf numFmtId="0" fontId="3" fillId="0" borderId="2" xfId="0" applyFont="1" applyFill="1" applyBorder="1" applyAlignment="1"/>
    <xf numFmtId="164" fontId="3" fillId="0" borderId="2" xfId="1" applyFont="1" applyFill="1" applyBorder="1" applyAlignment="1"/>
    <xf numFmtId="166" fontId="3" fillId="0" borderId="2" xfId="3" applyFont="1" applyFill="1" applyBorder="1"/>
    <xf numFmtId="11" fontId="3" fillId="0" borderId="2" xfId="0" applyNumberFormat="1" applyFont="1" applyFill="1" applyBorder="1"/>
    <xf numFmtId="167" fontId="3" fillId="0" borderId="2" xfId="3" applyNumberFormat="1" applyFont="1" applyFill="1" applyBorder="1"/>
    <xf numFmtId="0" fontId="3" fillId="0" borderId="2" xfId="3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2" fontId="3" fillId="0" borderId="2" xfId="1" applyNumberFormat="1" applyFont="1" applyFill="1" applyBorder="1"/>
    <xf numFmtId="11" fontId="3" fillId="0" borderId="2" xfId="3" applyNumberFormat="1" applyFont="1" applyFill="1" applyBorder="1"/>
    <xf numFmtId="0" fontId="3" fillId="0" borderId="2" xfId="4" applyFont="1" applyFill="1" applyBorder="1" applyAlignment="1"/>
    <xf numFmtId="164" fontId="3" fillId="0" borderId="2" xfId="5" applyFont="1" applyFill="1" applyBorder="1" applyAlignment="1"/>
    <xf numFmtId="166" fontId="3" fillId="0" borderId="2" xfId="3" applyFont="1" applyFill="1" applyBorder="1" applyAlignment="1"/>
    <xf numFmtId="168" fontId="3" fillId="0" borderId="2" xfId="3" applyNumberFormat="1" applyFont="1" applyFill="1" applyBorder="1"/>
    <xf numFmtId="168" fontId="3" fillId="0" borderId="2" xfId="4" applyNumberFormat="1" applyFont="1" applyBorder="1"/>
    <xf numFmtId="0" fontId="10" fillId="0" borderId="0" xfId="0" applyFont="1" applyFill="1" applyBorder="1"/>
    <xf numFmtId="0" fontId="11" fillId="0" borderId="0" xfId="0" applyFont="1" applyFill="1" applyBorder="1"/>
    <xf numFmtId="0" fontId="2" fillId="0" borderId="0" xfId="0" applyFont="1" applyFill="1" applyBorder="1"/>
    <xf numFmtId="0" fontId="3" fillId="0" borderId="2" xfId="4" applyFont="1" applyFill="1" applyBorder="1"/>
    <xf numFmtId="0" fontId="3" fillId="0" borderId="2" xfId="6" applyFont="1" applyFill="1" applyBorder="1" applyAlignment="1">
      <alignment wrapText="1"/>
    </xf>
    <xf numFmtId="0" fontId="3" fillId="0" borderId="2" xfId="4" applyNumberFormat="1" applyFont="1" applyFill="1" applyBorder="1" applyAlignment="1">
      <alignment wrapText="1"/>
    </xf>
    <xf numFmtId="164" fontId="3" fillId="0" borderId="2" xfId="5" applyFont="1" applyFill="1" applyBorder="1"/>
    <xf numFmtId="0" fontId="3" fillId="0" borderId="2" xfId="4" applyFont="1" applyBorder="1"/>
    <xf numFmtId="0" fontId="3" fillId="0" borderId="2" xfId="4" applyNumberFormat="1" applyFont="1" applyFill="1" applyBorder="1"/>
    <xf numFmtId="164" fontId="3" fillId="0" borderId="2" xfId="7" applyFont="1" applyFill="1" applyBorder="1"/>
    <xf numFmtId="0" fontId="3" fillId="0" borderId="2" xfId="4" applyFont="1" applyFill="1" applyBorder="1" applyAlignment="1">
      <alignment wrapText="1"/>
    </xf>
    <xf numFmtId="0" fontId="13" fillId="0" borderId="0" xfId="0" applyFont="1" applyFill="1" applyBorder="1" applyAlignment="1">
      <alignment vertical="center"/>
    </xf>
    <xf numFmtId="169" fontId="9" fillId="0" borderId="2" xfId="8" applyBorder="1">
      <alignment vertical="center" wrapText="1"/>
    </xf>
    <xf numFmtId="165" fontId="3" fillId="0" borderId="2" xfId="4" applyNumberFormat="1" applyFont="1" applyFill="1" applyBorder="1"/>
    <xf numFmtId="0" fontId="3" fillId="0" borderId="2" xfId="9" applyFont="1" applyFill="1" applyBorder="1" applyAlignment="1" applyProtection="1">
      <alignment vertical="center" wrapText="1"/>
    </xf>
    <xf numFmtId="37" fontId="3" fillId="0" borderId="2" xfId="5" applyNumberFormat="1" applyFont="1" applyFill="1" applyBorder="1"/>
    <xf numFmtId="39" fontId="3" fillId="0" borderId="2" xfId="5" applyNumberFormat="1" applyFont="1" applyFill="1" applyBorder="1"/>
    <xf numFmtId="0" fontId="3" fillId="0" borderId="2" xfId="0" applyFont="1" applyFill="1" applyBorder="1" applyAlignment="1" applyProtection="1">
      <alignment vertical="center" wrapText="1"/>
    </xf>
    <xf numFmtId="39" fontId="3" fillId="0" borderId="2" xfId="7" applyNumberFormat="1" applyFont="1" applyFill="1" applyBorder="1"/>
    <xf numFmtId="37" fontId="3" fillId="0" borderId="2" xfId="5" applyNumberFormat="1" applyFont="1" applyFill="1" applyBorder="1" applyAlignment="1"/>
    <xf numFmtId="171" fontId="3" fillId="0" borderId="2" xfId="10" applyNumberFormat="1" applyFont="1" applyBorder="1" applyAlignment="1" applyProtection="1"/>
    <xf numFmtId="0" fontId="3" fillId="0" borderId="0" xfId="0" applyFont="1" applyFill="1" applyBorder="1" applyAlignment="1">
      <alignment horizontal="right"/>
    </xf>
    <xf numFmtId="0" fontId="3" fillId="0" borderId="2" xfId="4" applyFont="1" applyFill="1" applyBorder="1" applyAlignment="1" applyProtection="1"/>
    <xf numFmtId="168" fontId="3" fillId="0" borderId="2" xfId="4" applyNumberFormat="1" applyFont="1" applyFill="1" applyBorder="1" applyAlignment="1"/>
    <xf numFmtId="11" fontId="3" fillId="0" borderId="2" xfId="4" applyNumberFormat="1" applyFont="1" applyFill="1" applyBorder="1" applyAlignment="1">
      <alignment wrapText="1"/>
    </xf>
    <xf numFmtId="11" fontId="3" fillId="0" borderId="2" xfId="11" applyNumberFormat="1" applyFont="1" applyFill="1" applyBorder="1" applyAlignment="1"/>
    <xf numFmtId="11" fontId="3" fillId="0" borderId="2" xfId="3" applyNumberFormat="1" applyFont="1" applyFill="1" applyBorder="1" applyAlignment="1"/>
    <xf numFmtId="0" fontId="9" fillId="0" borderId="2" xfId="4" applyNumberFormat="1" applyBorder="1" applyAlignment="1"/>
    <xf numFmtId="0" fontId="3" fillId="0" borderId="2" xfId="3" applyNumberFormat="1" applyFont="1" applyFill="1" applyBorder="1" applyAlignment="1"/>
    <xf numFmtId="172" fontId="3" fillId="0" borderId="2" xfId="3" applyNumberFormat="1" applyFont="1" applyFill="1" applyBorder="1" applyAlignment="1"/>
    <xf numFmtId="0" fontId="3" fillId="0" borderId="2" xfId="4" applyFont="1" applyFill="1" applyBorder="1" applyAlignment="1" applyProtection="1">
      <alignment wrapText="1"/>
    </xf>
    <xf numFmtId="3" fontId="9" fillId="0" borderId="2" xfId="4" applyNumberFormat="1" applyBorder="1" applyAlignment="1"/>
    <xf numFmtId="1" fontId="3" fillId="0" borderId="2" xfId="3" applyNumberFormat="1" applyFont="1" applyFill="1" applyBorder="1" applyAlignment="1"/>
    <xf numFmtId="0" fontId="3" fillId="0" borderId="2" xfId="4" applyFont="1" applyBorder="1" applyAlignment="1">
      <alignment wrapText="1"/>
    </xf>
    <xf numFmtId="164" fontId="3" fillId="0" borderId="2" xfId="5" applyFont="1" applyFill="1" applyBorder="1" applyAlignment="1">
      <alignment wrapText="1"/>
    </xf>
    <xf numFmtId="1" fontId="3" fillId="0" borderId="2" xfId="4" applyNumberFormat="1" applyFont="1" applyFill="1" applyBorder="1"/>
    <xf numFmtId="164" fontId="3" fillId="0" borderId="0" xfId="0" applyNumberFormat="1" applyFont="1" applyFill="1" applyBorder="1"/>
    <xf numFmtId="0" fontId="4" fillId="0" borderId="0" xfId="2"/>
    <xf numFmtId="0" fontId="9" fillId="0" borderId="2" xfId="4" applyBorder="1" applyAlignment="1"/>
    <xf numFmtId="0" fontId="9" fillId="0" borderId="2" xfId="4" applyBorder="1"/>
    <xf numFmtId="164" fontId="3" fillId="0" borderId="2" xfId="5" applyNumberFormat="1" applyFont="1" applyFill="1" applyBorder="1" applyAlignment="1"/>
    <xf numFmtId="37" fontId="3" fillId="0" borderId="2" xfId="7" applyNumberFormat="1" applyFont="1" applyFill="1" applyBorder="1"/>
    <xf numFmtId="0" fontId="3" fillId="0" borderId="2" xfId="4" applyFont="1" applyFill="1" applyBorder="1" applyAlignment="1">
      <alignment horizontal="left"/>
    </xf>
    <xf numFmtId="168" fontId="3" fillId="0" borderId="2" xfId="4" applyNumberFormat="1" applyFont="1" applyFill="1" applyBorder="1"/>
    <xf numFmtId="172" fontId="3" fillId="0" borderId="2" xfId="3" applyNumberFormat="1" applyFont="1" applyFill="1" applyBorder="1"/>
    <xf numFmtId="11" fontId="3" fillId="0" borderId="2" xfId="4" applyNumberFormat="1" applyFont="1" applyFill="1" applyBorder="1"/>
    <xf numFmtId="0" fontId="15" fillId="0" borderId="0" xfId="0" applyFont="1" applyAlignment="1">
      <alignment horizontal="right"/>
    </xf>
    <xf numFmtId="11" fontId="3" fillId="0" borderId="2" xfId="4" applyNumberFormat="1" applyFont="1" applyFill="1" applyBorder="1" applyAlignment="1"/>
    <xf numFmtId="0" fontId="3" fillId="0" borderId="0" xfId="0" applyFont="1" applyFill="1" applyBorder="1" applyAlignment="1" applyProtection="1">
      <alignment vertical="center" wrapText="1"/>
    </xf>
    <xf numFmtId="0" fontId="3" fillId="0" borderId="2" xfId="4" applyFont="1" applyFill="1" applyBorder="1" applyAlignment="1">
      <alignment horizontal="left" wrapText="1"/>
    </xf>
    <xf numFmtId="1" fontId="3" fillId="0" borderId="2" xfId="4" applyNumberFormat="1" applyFont="1" applyBorder="1"/>
    <xf numFmtId="0" fontId="2" fillId="2" borderId="1" xfId="0" applyFont="1" applyFill="1" applyBorder="1"/>
    <xf numFmtId="0" fontId="4" fillId="2" borderId="1" xfId="2" applyFill="1" applyBorder="1"/>
    <xf numFmtId="0" fontId="2" fillId="2" borderId="1" xfId="0" applyFont="1" applyFill="1" applyBorder="1" applyAlignment="1">
      <alignment horizontal="left"/>
    </xf>
    <xf numFmtId="0" fontId="3" fillId="3" borderId="0" xfId="0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 applyAlignment="1">
      <alignment horizontal="right"/>
    </xf>
    <xf numFmtId="165" fontId="2" fillId="2" borderId="2" xfId="1" applyNumberFormat="1" applyFont="1" applyFill="1" applyBorder="1"/>
    <xf numFmtId="164" fontId="2" fillId="2" borderId="4" xfId="0" applyNumberFormat="1" applyFont="1" applyFill="1" applyBorder="1"/>
    <xf numFmtId="0" fontId="2" fillId="2" borderId="4" xfId="0" applyFont="1" applyFill="1" applyBorder="1" applyAlignment="1">
      <alignment horizontal="right"/>
    </xf>
    <xf numFmtId="0" fontId="1" fillId="2" borderId="0" xfId="0" applyFont="1" applyFill="1"/>
    <xf numFmtId="165" fontId="2" fillId="2" borderId="2" xfId="0" applyNumberFormat="1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right"/>
    </xf>
    <xf numFmtId="165" fontId="2" fillId="4" borderId="2" xfId="0" applyNumberFormat="1" applyFont="1" applyFill="1" applyBorder="1"/>
    <xf numFmtId="164" fontId="2" fillId="4" borderId="2" xfId="0" applyNumberFormat="1" applyFont="1" applyFill="1" applyBorder="1"/>
    <xf numFmtId="165" fontId="2" fillId="4" borderId="2" xfId="1" applyNumberFormat="1" applyFont="1" applyFill="1" applyBorder="1"/>
  </cellXfs>
  <cellStyles count="12">
    <cellStyle name="Lien hypertexte" xfId="2" builtinId="8"/>
    <cellStyle name="Milliers 2" xfId="3"/>
    <cellStyle name="Milliers 3" xfId="11"/>
    <cellStyle name="Monétaire" xfId="1" builtinId="4"/>
    <cellStyle name="Monétaire 10" xfId="7"/>
    <cellStyle name="Monétaire 2" xfId="5"/>
    <cellStyle name="Normal" xfId="0" builtinId="0"/>
    <cellStyle name="Normal 4" xfId="4"/>
    <cellStyle name="Normal 6" xfId="9"/>
    <cellStyle name="Normal_Sheet1" xfId="6"/>
    <cellStyle name="Style 1" xfId="8"/>
    <cellStyle name="TableStyleLight1" xfId="10"/>
  </cellStyles>
  <dxfs count="0"/>
  <tableStyles count="0" defaultTableStyle="TableStyleMedium2" defaultPivotStyle="PivotStyleLight16"/>
  <colors>
    <mruColors>
      <color rgb="FFC4D79B"/>
      <color rgb="FF76933C"/>
      <color rgb="FFD8E4BC"/>
      <color rgb="FFD8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108855</xdr:colOff>
      <xdr:row>14</xdr:row>
      <xdr:rowOff>119742</xdr:rowOff>
    </xdr:from>
    <xdr:to>
      <xdr:col>13</xdr:col>
      <xdr:colOff>566057</xdr:colOff>
      <xdr:row>26</xdr:row>
      <xdr:rowOff>32656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3969" y="3450771"/>
          <a:ext cx="3091545" cy="2318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46652</xdr:rowOff>
    </xdr:from>
    <xdr:to>
      <xdr:col>11</xdr:col>
      <xdr:colOff>710256</xdr:colOff>
      <xdr:row>38</xdr:row>
      <xdr:rowOff>19552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081"/>
          <a:ext cx="9434378" cy="6690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186612</xdr:colOff>
      <xdr:row>14</xdr:row>
      <xdr:rowOff>108857</xdr:rowOff>
    </xdr:from>
    <xdr:to>
      <xdr:col>13</xdr:col>
      <xdr:colOff>215528</xdr:colOff>
      <xdr:row>23</xdr:row>
      <xdr:rowOff>93306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0041" y="2348204"/>
          <a:ext cx="2750345" cy="1663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15</xdr:row>
      <xdr:rowOff>121248</xdr:rowOff>
    </xdr:from>
    <xdr:to>
      <xdr:col>12</xdr:col>
      <xdr:colOff>827314</xdr:colOff>
      <xdr:row>32</xdr:row>
      <xdr:rowOff>3264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257" y="3082162"/>
          <a:ext cx="1132114" cy="3583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345</xdr:rowOff>
    </xdr:from>
    <xdr:to>
      <xdr:col>7</xdr:col>
      <xdr:colOff>390416</xdr:colOff>
      <xdr:row>23</xdr:row>
      <xdr:rowOff>101601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6612"/>
          <a:ext cx="5961483" cy="41991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</xdr:row>
      <xdr:rowOff>169333</xdr:rowOff>
    </xdr:from>
    <xdr:to>
      <xdr:col>7</xdr:col>
      <xdr:colOff>450555</xdr:colOff>
      <xdr:row>24</xdr:row>
      <xdr:rowOff>118533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5600"/>
          <a:ext cx="5996222" cy="42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relien/Centrale/Epsa/Exemples%20livrables%20FS%20+%20template/Cost/Cost_Olympix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T50"/>
  <sheetViews>
    <sheetView topLeftCell="A13" zoomScale="75" zoomScaleNormal="49" zoomScalePageLayoutView="49" workbookViewId="0">
      <selection activeCell="M36" sqref="M36"/>
    </sheetView>
  </sheetViews>
  <sheetFormatPr baseColWidth="10" defaultColWidth="9.33203125" defaultRowHeight="15" customHeight="1" x14ac:dyDescent="0.3"/>
  <cols>
    <col min="1" max="1" width="10.33203125" style="1" bestFit="1" customWidth="1"/>
    <col min="2" max="2" width="34.6640625" style="1" bestFit="1" customWidth="1"/>
    <col min="3" max="3" width="64.6640625" style="1" bestFit="1" customWidth="1"/>
    <col min="4" max="4" width="12" style="1" bestFit="1" customWidth="1"/>
    <col min="5" max="5" width="9.109375" style="1" bestFit="1" customWidth="1"/>
    <col min="6" max="6" width="8.6640625" style="1" bestFit="1" customWidth="1"/>
    <col min="7" max="7" width="10" style="1" bestFit="1" customWidth="1"/>
    <col min="8" max="8" width="9.6640625" style="1" bestFit="1" customWidth="1"/>
    <col min="9" max="9" width="10.77734375" style="1" bestFit="1" customWidth="1"/>
    <col min="10" max="10" width="9.109375" style="1" bestFit="1" customWidth="1"/>
    <col min="11" max="11" width="7" style="1" bestFit="1" customWidth="1"/>
    <col min="12" max="12" width="7.6640625" style="1" bestFit="1" customWidth="1"/>
    <col min="13" max="13" width="13.6640625" style="1" bestFit="1" customWidth="1"/>
    <col min="14" max="14" width="9.109375" style="1" bestFit="1" customWidth="1"/>
    <col min="15" max="16384" width="9.33203125" style="1"/>
  </cols>
  <sheetData>
    <row r="1" spans="1:14" ht="15" customHeight="1" x14ac:dyDescent="0.3">
      <c r="A1" s="92" t="s">
        <v>0</v>
      </c>
      <c r="B1" s="1" t="s">
        <v>1</v>
      </c>
      <c r="D1" s="2" t="s">
        <v>2</v>
      </c>
      <c r="J1" s="92" t="s">
        <v>3</v>
      </c>
      <c r="K1" s="3">
        <v>81</v>
      </c>
      <c r="M1" s="92" t="s">
        <v>4</v>
      </c>
      <c r="N1" s="4">
        <f>E14+N21+I36+J46+I50</f>
        <v>201.49199448376947</v>
      </c>
    </row>
    <row r="2" spans="1:14" ht="15" customHeight="1" x14ac:dyDescent="0.3">
      <c r="A2" s="92" t="s">
        <v>5</v>
      </c>
      <c r="B2" s="1" t="s">
        <v>6</v>
      </c>
      <c r="C2" s="93"/>
      <c r="M2" s="92" t="s">
        <v>7</v>
      </c>
      <c r="N2" s="5">
        <v>1</v>
      </c>
    </row>
    <row r="3" spans="1:14" ht="15" customHeight="1" x14ac:dyDescent="0.3">
      <c r="A3" s="92" t="s">
        <v>8</v>
      </c>
      <c r="B3" s="1" t="s">
        <v>9</v>
      </c>
      <c r="C3" s="93"/>
      <c r="J3" s="92" t="s">
        <v>10</v>
      </c>
    </row>
    <row r="4" spans="1:14" ht="15" customHeight="1" x14ac:dyDescent="0.3">
      <c r="A4" s="92" t="s">
        <v>11</v>
      </c>
      <c r="B4" s="6" t="s">
        <v>127</v>
      </c>
      <c r="J4" s="92" t="s">
        <v>12</v>
      </c>
      <c r="M4" s="92" t="s">
        <v>13</v>
      </c>
      <c r="N4" s="7">
        <f>N1*N2</f>
        <v>201.49199448376947</v>
      </c>
    </row>
    <row r="5" spans="1:14" ht="15" customHeight="1" x14ac:dyDescent="0.3">
      <c r="A5" s="92" t="s">
        <v>14</v>
      </c>
      <c r="B5" s="1" t="s">
        <v>15</v>
      </c>
      <c r="J5" s="92" t="s">
        <v>16</v>
      </c>
    </row>
    <row r="6" spans="1:14" ht="15" customHeight="1" x14ac:dyDescent="0.3">
      <c r="A6" s="92" t="s">
        <v>17</v>
      </c>
      <c r="B6" s="1" t="s">
        <v>18</v>
      </c>
    </row>
    <row r="8" spans="1:14" ht="15" customHeight="1" x14ac:dyDescent="0.3">
      <c r="A8" s="92" t="s">
        <v>19</v>
      </c>
      <c r="B8" s="92" t="s">
        <v>20</v>
      </c>
      <c r="C8" s="92" t="s">
        <v>21</v>
      </c>
      <c r="D8" s="92" t="s">
        <v>22</v>
      </c>
      <c r="E8" s="92" t="s">
        <v>23</v>
      </c>
    </row>
    <row r="9" spans="1:14" ht="15" customHeight="1" x14ac:dyDescent="0.3">
      <c r="A9" s="8">
        <v>10</v>
      </c>
      <c r="B9" s="9" t="s">
        <v>24</v>
      </c>
      <c r="C9" s="10">
        <f>'EN 05001'!N1</f>
        <v>103.67125799008251</v>
      </c>
      <c r="D9" s="11">
        <v>1</v>
      </c>
      <c r="E9" s="12">
        <f t="shared" ref="E9:E13" si="0">C9*D9</f>
        <v>103.67125799008251</v>
      </c>
    </row>
    <row r="10" spans="1:14" ht="15" customHeight="1" x14ac:dyDescent="0.3">
      <c r="A10" s="8">
        <v>20</v>
      </c>
      <c r="B10" s="9" t="s">
        <v>25</v>
      </c>
      <c r="C10" s="10">
        <f>'EN 05002'!N1</f>
        <v>31.684274971513588</v>
      </c>
      <c r="D10" s="11">
        <v>1</v>
      </c>
      <c r="E10" s="12">
        <f t="shared" si="0"/>
        <v>31.684274971513588</v>
      </c>
    </row>
    <row r="11" spans="1:14" ht="15" customHeight="1" x14ac:dyDescent="0.3">
      <c r="A11" s="8">
        <v>30</v>
      </c>
      <c r="B11" s="9" t="s">
        <v>26</v>
      </c>
      <c r="C11" s="10">
        <f>'EN 05003'!N1</f>
        <v>18.357814563839998</v>
      </c>
      <c r="D11" s="11">
        <v>1</v>
      </c>
      <c r="E11" s="12">
        <f t="shared" si="0"/>
        <v>18.357814563839998</v>
      </c>
    </row>
    <row r="12" spans="1:14" ht="15" customHeight="1" x14ac:dyDescent="0.3">
      <c r="A12" s="8">
        <v>40</v>
      </c>
      <c r="B12" s="9" t="s">
        <v>27</v>
      </c>
      <c r="C12" s="10">
        <f>'EN 05004'!N1</f>
        <v>1.738382125</v>
      </c>
      <c r="D12" s="11">
        <v>2</v>
      </c>
      <c r="E12" s="12">
        <f t="shared" si="0"/>
        <v>3.47676425</v>
      </c>
    </row>
    <row r="13" spans="1:14" ht="15" customHeight="1" x14ac:dyDescent="0.3">
      <c r="A13" s="8">
        <v>50</v>
      </c>
      <c r="B13" s="9" t="s">
        <v>29</v>
      </c>
      <c r="C13" s="10">
        <f>'EN 05005'!N1</f>
        <v>1.884868</v>
      </c>
      <c r="D13" s="11">
        <v>2</v>
      </c>
      <c r="E13" s="12">
        <f t="shared" si="0"/>
        <v>3.769736</v>
      </c>
    </row>
    <row r="14" spans="1:14" ht="15" customHeight="1" x14ac:dyDescent="0.3">
      <c r="D14" s="92" t="s">
        <v>23</v>
      </c>
      <c r="E14" s="92">
        <f>SUM(E9:E13)</f>
        <v>160.95984777543612</v>
      </c>
    </row>
    <row r="16" spans="1:14" ht="15" customHeight="1" x14ac:dyDescent="0.3">
      <c r="A16" s="92" t="s">
        <v>19</v>
      </c>
      <c r="B16" s="92" t="s">
        <v>30</v>
      </c>
      <c r="C16" s="92" t="s">
        <v>31</v>
      </c>
      <c r="D16" s="92" t="s">
        <v>32</v>
      </c>
      <c r="E16" s="92" t="s">
        <v>33</v>
      </c>
      <c r="F16" s="92" t="s">
        <v>34</v>
      </c>
      <c r="G16" s="92" t="s">
        <v>35</v>
      </c>
      <c r="H16" s="92" t="s">
        <v>36</v>
      </c>
      <c r="I16" s="92" t="s">
        <v>37</v>
      </c>
      <c r="J16" s="92" t="s">
        <v>38</v>
      </c>
      <c r="K16" s="92" t="s">
        <v>39</v>
      </c>
      <c r="L16" s="92" t="s">
        <v>40</v>
      </c>
      <c r="M16" s="92" t="s">
        <v>22</v>
      </c>
      <c r="N16" s="92" t="s">
        <v>23</v>
      </c>
    </row>
    <row r="17" spans="1:20" ht="15" customHeight="1" x14ac:dyDescent="0.45">
      <c r="A17" s="13">
        <v>10</v>
      </c>
      <c r="B17" s="13" t="s">
        <v>41</v>
      </c>
      <c r="C17" s="13" t="s">
        <v>42</v>
      </c>
      <c r="D17" s="14">
        <f>0.27*E17</f>
        <v>5.4</v>
      </c>
      <c r="E17" s="8">
        <v>20</v>
      </c>
      <c r="F17" s="8" t="s">
        <v>43</v>
      </c>
      <c r="G17" s="8"/>
      <c r="H17" s="15"/>
      <c r="I17" s="16"/>
      <c r="J17" s="17"/>
      <c r="K17" s="15"/>
      <c r="L17" s="15"/>
      <c r="M17" s="18">
        <v>4</v>
      </c>
      <c r="N17" s="10">
        <f>M17*D17</f>
        <v>21.6</v>
      </c>
      <c r="P17" s="19"/>
      <c r="Q17" s="20"/>
    </row>
    <row r="18" spans="1:20" ht="15" customHeight="1" x14ac:dyDescent="0.45">
      <c r="A18" s="13">
        <v>20</v>
      </c>
      <c r="B18" s="24" t="s">
        <v>44</v>
      </c>
      <c r="C18" s="24" t="s">
        <v>45</v>
      </c>
      <c r="D18" s="25">
        <f>0.47*E18</f>
        <v>20.68</v>
      </c>
      <c r="E18" s="24">
        <v>44</v>
      </c>
      <c r="F18" s="24" t="s">
        <v>43</v>
      </c>
      <c r="G18" s="24"/>
      <c r="H18" s="26"/>
      <c r="I18" s="22"/>
      <c r="J18" s="17"/>
      <c r="K18" s="15"/>
      <c r="L18" s="15"/>
      <c r="M18" s="27">
        <v>0.15</v>
      </c>
      <c r="N18" s="10">
        <f>M18*D18</f>
        <v>3.1019999999999999</v>
      </c>
      <c r="P18" s="21"/>
      <c r="Q18" s="20"/>
    </row>
    <row r="19" spans="1:20" ht="15" customHeight="1" x14ac:dyDescent="0.45">
      <c r="A19" s="13">
        <v>30</v>
      </c>
      <c r="B19" s="24" t="s">
        <v>163</v>
      </c>
      <c r="C19" s="24" t="s">
        <v>164</v>
      </c>
      <c r="D19" s="25">
        <v>0.05</v>
      </c>
      <c r="E19" s="24"/>
      <c r="F19" s="24"/>
      <c r="G19" s="24"/>
      <c r="H19" s="26"/>
      <c r="I19" s="22"/>
      <c r="J19" s="17"/>
      <c r="K19" s="15"/>
      <c r="L19" s="15"/>
      <c r="M19" s="18">
        <v>1</v>
      </c>
      <c r="N19" s="10">
        <f>M19*D19</f>
        <v>0.05</v>
      </c>
      <c r="P19" s="21"/>
      <c r="Q19" s="20"/>
    </row>
    <row r="20" spans="1:20" ht="15" customHeight="1" x14ac:dyDescent="0.45">
      <c r="A20" s="13">
        <v>40</v>
      </c>
      <c r="B20" s="24" t="s">
        <v>46</v>
      </c>
      <c r="C20" s="24" t="s">
        <v>47</v>
      </c>
      <c r="D20" s="25">
        <v>10</v>
      </c>
      <c r="E20" s="28">
        <f>106.435/10000</f>
        <v>1.06435E-2</v>
      </c>
      <c r="F20" s="24" t="s">
        <v>48</v>
      </c>
      <c r="G20" s="24"/>
      <c r="H20" s="26"/>
      <c r="I20" s="22"/>
      <c r="J20" s="17"/>
      <c r="K20" s="15"/>
      <c r="L20" s="15"/>
      <c r="M20" s="28">
        <f>106.435/10000</f>
        <v>1.06435E-2</v>
      </c>
      <c r="N20" s="10">
        <f>M20*D20</f>
        <v>0.106435</v>
      </c>
      <c r="P20" s="19"/>
      <c r="Q20" s="29"/>
      <c r="R20" s="30"/>
      <c r="S20" s="30"/>
      <c r="T20" s="30"/>
    </row>
    <row r="21" spans="1:20" s="31" customFormat="1" ht="15" customHeight="1" x14ac:dyDescent="0.45">
      <c r="M21" s="95" t="s">
        <v>23</v>
      </c>
      <c r="N21" s="97">
        <f>SUM(N17:N20)</f>
        <v>24.858435000000004</v>
      </c>
      <c r="P21" s="21"/>
      <c r="Q21" s="21"/>
    </row>
    <row r="23" spans="1:20" s="31" customFormat="1" ht="15" customHeight="1" x14ac:dyDescent="0.3">
      <c r="A23" s="94" t="s">
        <v>19</v>
      </c>
      <c r="B23" s="94" t="s">
        <v>49</v>
      </c>
      <c r="C23" s="94" t="s">
        <v>31</v>
      </c>
      <c r="D23" s="94" t="s">
        <v>32</v>
      </c>
      <c r="E23" s="94" t="s">
        <v>50</v>
      </c>
      <c r="F23" s="94" t="s">
        <v>22</v>
      </c>
      <c r="G23" s="94" t="s">
        <v>51</v>
      </c>
      <c r="H23" s="94" t="s">
        <v>52</v>
      </c>
      <c r="I23" s="94" t="s">
        <v>23</v>
      </c>
    </row>
    <row r="24" spans="1:20" ht="15" customHeight="1" x14ac:dyDescent="0.3">
      <c r="A24" s="32">
        <v>10</v>
      </c>
      <c r="B24" s="33" t="s">
        <v>53</v>
      </c>
      <c r="C24" s="34" t="s">
        <v>54</v>
      </c>
      <c r="D24" s="35">
        <v>0.15</v>
      </c>
      <c r="E24" s="33" t="s">
        <v>55</v>
      </c>
      <c r="F24" s="36">
        <v>9.83</v>
      </c>
      <c r="G24" s="8"/>
      <c r="H24" s="8">
        <v>1</v>
      </c>
      <c r="I24" s="10">
        <f>D24*F24*H24</f>
        <v>1.4744999999999999</v>
      </c>
    </row>
    <row r="25" spans="1:20" ht="15" customHeight="1" x14ac:dyDescent="0.3">
      <c r="A25" s="32">
        <v>20</v>
      </c>
      <c r="B25" s="33" t="s">
        <v>56</v>
      </c>
      <c r="C25" s="34" t="s">
        <v>47</v>
      </c>
      <c r="D25" s="35">
        <v>5.25</v>
      </c>
      <c r="E25" s="33" t="s">
        <v>48</v>
      </c>
      <c r="F25" s="28">
        <f>106.435/10000</f>
        <v>1.06435E-2</v>
      </c>
      <c r="G25" s="8"/>
      <c r="H25" s="8">
        <v>1</v>
      </c>
      <c r="I25" s="10">
        <f>D25*F25*H25</f>
        <v>5.5878375000000001E-2</v>
      </c>
    </row>
    <row r="26" spans="1:20" ht="15" customHeight="1" x14ac:dyDescent="0.3">
      <c r="A26" s="32">
        <v>30</v>
      </c>
      <c r="B26" s="33" t="s">
        <v>57</v>
      </c>
      <c r="C26" s="34" t="s">
        <v>58</v>
      </c>
      <c r="D26" s="35">
        <v>0.06</v>
      </c>
      <c r="E26" s="33" t="s">
        <v>50</v>
      </c>
      <c r="F26" s="36">
        <v>4</v>
      </c>
      <c r="G26" s="8"/>
      <c r="H26" s="8">
        <v>1</v>
      </c>
      <c r="I26" s="10">
        <f>D26*F26*H26</f>
        <v>0.24</v>
      </c>
    </row>
    <row r="27" spans="1:20" ht="15" customHeight="1" x14ac:dyDescent="0.3">
      <c r="A27" s="32">
        <v>40</v>
      </c>
      <c r="B27" s="37" t="s">
        <v>59</v>
      </c>
      <c r="C27" s="34" t="s">
        <v>60</v>
      </c>
      <c r="D27" s="38">
        <v>0.75</v>
      </c>
      <c r="E27" s="32" t="s">
        <v>50</v>
      </c>
      <c r="F27" s="36">
        <v>4</v>
      </c>
      <c r="G27" s="8"/>
      <c r="H27" s="8">
        <v>1</v>
      </c>
      <c r="I27" s="10">
        <f t="shared" ref="I27:I35" si="1">D27*F27*H27</f>
        <v>3</v>
      </c>
    </row>
    <row r="28" spans="1:20" ht="15" customHeight="1" x14ac:dyDescent="0.3">
      <c r="A28" s="32">
        <v>50</v>
      </c>
      <c r="B28" s="33" t="s">
        <v>61</v>
      </c>
      <c r="C28" s="39" t="s">
        <v>62</v>
      </c>
      <c r="D28" s="35">
        <v>0.38</v>
      </c>
      <c r="E28" s="32" t="s">
        <v>50</v>
      </c>
      <c r="F28" s="36">
        <v>1</v>
      </c>
      <c r="G28" s="8"/>
      <c r="H28" s="8">
        <v>1</v>
      </c>
      <c r="I28" s="10">
        <f t="shared" si="1"/>
        <v>0.38</v>
      </c>
    </row>
    <row r="29" spans="1:20" ht="15" customHeight="1" x14ac:dyDescent="0.3">
      <c r="A29" s="32">
        <v>60</v>
      </c>
      <c r="B29" s="37" t="s">
        <v>59</v>
      </c>
      <c r="C29" s="34" t="s">
        <v>63</v>
      </c>
      <c r="D29" s="38">
        <v>0.75</v>
      </c>
      <c r="E29" s="32" t="s">
        <v>50</v>
      </c>
      <c r="F29" s="36">
        <v>4</v>
      </c>
      <c r="G29" s="8"/>
      <c r="H29" s="8">
        <v>1</v>
      </c>
      <c r="I29" s="10">
        <f>D29*F29*H29</f>
        <v>3</v>
      </c>
    </row>
    <row r="30" spans="1:20" ht="15" customHeight="1" x14ac:dyDescent="0.3">
      <c r="A30" s="32">
        <v>70</v>
      </c>
      <c r="B30" s="37" t="s">
        <v>64</v>
      </c>
      <c r="C30" s="34" t="s">
        <v>63</v>
      </c>
      <c r="D30" s="38">
        <v>0.25</v>
      </c>
      <c r="E30" s="32" t="s">
        <v>50</v>
      </c>
      <c r="F30" s="36">
        <v>4</v>
      </c>
      <c r="G30" s="8"/>
      <c r="H30" s="8">
        <v>1</v>
      </c>
      <c r="I30" s="10">
        <f t="shared" si="1"/>
        <v>1</v>
      </c>
      <c r="L30" s="30"/>
    </row>
    <row r="31" spans="1:20" ht="15" customHeight="1" x14ac:dyDescent="0.3">
      <c r="A31" s="32">
        <v>90</v>
      </c>
      <c r="B31" s="37" t="s">
        <v>57</v>
      </c>
      <c r="C31" s="34" t="s">
        <v>158</v>
      </c>
      <c r="D31" s="38">
        <v>0.06</v>
      </c>
      <c r="E31" s="32" t="s">
        <v>50</v>
      </c>
      <c r="F31" s="36">
        <v>1</v>
      </c>
      <c r="G31" s="8"/>
      <c r="H31" s="8">
        <v>1</v>
      </c>
      <c r="I31" s="10">
        <f t="shared" si="1"/>
        <v>0.06</v>
      </c>
    </row>
    <row r="32" spans="1:20" ht="15" customHeight="1" x14ac:dyDescent="0.3">
      <c r="A32" s="32">
        <v>110</v>
      </c>
      <c r="B32" s="32" t="s">
        <v>65</v>
      </c>
      <c r="C32" s="39" t="s">
        <v>66</v>
      </c>
      <c r="D32" s="35">
        <v>0.5</v>
      </c>
      <c r="E32" s="32" t="s">
        <v>50</v>
      </c>
      <c r="F32" s="36">
        <v>2</v>
      </c>
      <c r="G32" s="8"/>
      <c r="H32" s="8">
        <v>1</v>
      </c>
      <c r="I32" s="10">
        <f t="shared" si="1"/>
        <v>1</v>
      </c>
    </row>
    <row r="33" spans="1:13" ht="15" customHeight="1" x14ac:dyDescent="0.3">
      <c r="A33" s="32">
        <v>120</v>
      </c>
      <c r="B33" s="32" t="s">
        <v>67</v>
      </c>
      <c r="C33" s="34" t="s">
        <v>68</v>
      </c>
      <c r="D33" s="35">
        <v>0.5</v>
      </c>
      <c r="E33" s="32" t="s">
        <v>50</v>
      </c>
      <c r="F33" s="36">
        <v>1</v>
      </c>
      <c r="G33" s="8"/>
      <c r="H33" s="8">
        <v>1</v>
      </c>
      <c r="I33" s="10">
        <f t="shared" si="1"/>
        <v>0.5</v>
      </c>
    </row>
    <row r="34" spans="1:13" ht="15" customHeight="1" x14ac:dyDescent="0.3">
      <c r="A34" s="32">
        <v>130</v>
      </c>
      <c r="B34" s="32" t="s">
        <v>69</v>
      </c>
      <c r="C34" s="34" t="s">
        <v>70</v>
      </c>
      <c r="D34" s="35">
        <v>0.25</v>
      </c>
      <c r="E34" s="32" t="s">
        <v>50</v>
      </c>
      <c r="F34" s="36">
        <v>1</v>
      </c>
      <c r="G34" s="8"/>
      <c r="H34" s="8">
        <v>1</v>
      </c>
      <c r="I34" s="10">
        <f t="shared" si="1"/>
        <v>0.25</v>
      </c>
    </row>
    <row r="35" spans="1:13" ht="15" customHeight="1" x14ac:dyDescent="0.3">
      <c r="A35" s="32">
        <v>140</v>
      </c>
      <c r="B35" s="32" t="s">
        <v>71</v>
      </c>
      <c r="C35" s="39" t="s">
        <v>165</v>
      </c>
      <c r="D35" s="35">
        <v>0.75</v>
      </c>
      <c r="E35" s="32" t="s">
        <v>50</v>
      </c>
      <c r="F35" s="36">
        <v>2</v>
      </c>
      <c r="G35" s="8"/>
      <c r="H35" s="8">
        <v>1</v>
      </c>
      <c r="I35" s="10">
        <f t="shared" si="1"/>
        <v>1.5</v>
      </c>
    </row>
    <row r="36" spans="1:13" s="31" customFormat="1" ht="15" customHeight="1" x14ac:dyDescent="0.3">
      <c r="H36" s="95" t="s">
        <v>23</v>
      </c>
      <c r="I36" s="96">
        <f>SUM(I24:I35)</f>
        <v>12.460378374999999</v>
      </c>
    </row>
    <row r="38" spans="1:13" s="31" customFormat="1" ht="15" customHeight="1" x14ac:dyDescent="0.3">
      <c r="A38" s="94" t="s">
        <v>19</v>
      </c>
      <c r="B38" s="94" t="s">
        <v>72</v>
      </c>
      <c r="C38" s="94" t="s">
        <v>31</v>
      </c>
      <c r="D38" s="94" t="s">
        <v>32</v>
      </c>
      <c r="E38" s="94" t="s">
        <v>33</v>
      </c>
      <c r="F38" s="94" t="s">
        <v>34</v>
      </c>
      <c r="G38" s="94" t="s">
        <v>35</v>
      </c>
      <c r="H38" s="94" t="s">
        <v>36</v>
      </c>
      <c r="I38" s="94" t="s">
        <v>22</v>
      </c>
      <c r="J38" s="94" t="s">
        <v>23</v>
      </c>
      <c r="M38" s="40"/>
    </row>
    <row r="39" spans="1:13" ht="15" customHeight="1" x14ac:dyDescent="0.3">
      <c r="A39" s="8">
        <v>10</v>
      </c>
      <c r="B39" s="41" t="s">
        <v>73</v>
      </c>
      <c r="C39" s="32" t="s">
        <v>159</v>
      </c>
      <c r="D39" s="42">
        <v>0.04</v>
      </c>
      <c r="E39" s="43">
        <v>6</v>
      </c>
      <c r="F39" s="43" t="s">
        <v>43</v>
      </c>
      <c r="G39" s="43"/>
      <c r="H39" s="43"/>
      <c r="I39" s="44">
        <v>4</v>
      </c>
      <c r="J39" s="10">
        <f t="shared" ref="J39:J45" si="2">I39*D39</f>
        <v>0.16</v>
      </c>
    </row>
    <row r="40" spans="1:13" ht="15" customHeight="1" x14ac:dyDescent="0.3">
      <c r="A40" s="8">
        <v>20</v>
      </c>
      <c r="B40" s="41" t="s">
        <v>74</v>
      </c>
      <c r="C40" s="39" t="s">
        <v>160</v>
      </c>
      <c r="D40" s="42">
        <v>0.01</v>
      </c>
      <c r="E40" s="32">
        <v>6</v>
      </c>
      <c r="F40" s="45" t="s">
        <v>43</v>
      </c>
      <c r="G40" s="32"/>
      <c r="H40" s="37"/>
      <c r="I40" s="44">
        <v>8</v>
      </c>
      <c r="J40" s="10">
        <f t="shared" si="2"/>
        <v>0.08</v>
      </c>
    </row>
    <row r="41" spans="1:13" ht="15" customHeight="1" x14ac:dyDescent="0.3">
      <c r="A41" s="8">
        <v>30</v>
      </c>
      <c r="B41" s="46" t="s">
        <v>75</v>
      </c>
      <c r="C41" s="39" t="s">
        <v>76</v>
      </c>
      <c r="D41" s="35">
        <v>0.04</v>
      </c>
      <c r="E41" s="32">
        <v>6</v>
      </c>
      <c r="F41" s="47" t="s">
        <v>43</v>
      </c>
      <c r="G41" s="32">
        <v>30</v>
      </c>
      <c r="H41" s="37" t="s">
        <v>43</v>
      </c>
      <c r="I41" s="44">
        <v>4</v>
      </c>
      <c r="J41" s="10">
        <f t="shared" si="2"/>
        <v>0.16</v>
      </c>
    </row>
    <row r="42" spans="1:13" ht="15" customHeight="1" x14ac:dyDescent="0.3">
      <c r="A42" s="8">
        <v>40</v>
      </c>
      <c r="B42" s="41" t="s">
        <v>73</v>
      </c>
      <c r="C42" s="39" t="s">
        <v>77</v>
      </c>
      <c r="D42" s="35">
        <v>0.03</v>
      </c>
      <c r="E42" s="32">
        <v>6</v>
      </c>
      <c r="F42" s="47" t="s">
        <v>43</v>
      </c>
      <c r="G42" s="32"/>
      <c r="H42" s="37"/>
      <c r="I42" s="48">
        <v>5</v>
      </c>
      <c r="J42" s="10">
        <f t="shared" si="2"/>
        <v>0.15</v>
      </c>
    </row>
    <row r="43" spans="1:13" ht="15" customHeight="1" x14ac:dyDescent="0.3">
      <c r="A43" s="8">
        <v>50</v>
      </c>
      <c r="B43" s="41" t="s">
        <v>74</v>
      </c>
      <c r="C43" s="39" t="s">
        <v>78</v>
      </c>
      <c r="D43" s="35">
        <v>0.01</v>
      </c>
      <c r="E43" s="32">
        <v>6</v>
      </c>
      <c r="F43" s="47" t="s">
        <v>43</v>
      </c>
      <c r="G43" s="32"/>
      <c r="H43" s="37"/>
      <c r="I43" s="48">
        <v>5</v>
      </c>
      <c r="J43" s="10">
        <f t="shared" si="2"/>
        <v>0.05</v>
      </c>
    </row>
    <row r="44" spans="1:13" ht="15" customHeight="1" x14ac:dyDescent="0.3">
      <c r="A44" s="8">
        <v>60</v>
      </c>
      <c r="B44" s="46" t="s">
        <v>79</v>
      </c>
      <c r="C44" s="39" t="s">
        <v>161</v>
      </c>
      <c r="D44" s="42">
        <f>0.004*E44+0.5</f>
        <v>0.72</v>
      </c>
      <c r="E44" s="32">
        <v>55</v>
      </c>
      <c r="F44" s="45" t="s">
        <v>43</v>
      </c>
      <c r="G44" s="32"/>
      <c r="H44" s="37"/>
      <c r="I44" s="44">
        <v>1</v>
      </c>
      <c r="J44" s="10">
        <f t="shared" ref="J44" si="3">I44*D44</f>
        <v>0.72</v>
      </c>
    </row>
    <row r="45" spans="1:13" ht="15" customHeight="1" x14ac:dyDescent="0.3">
      <c r="A45" s="8">
        <v>70</v>
      </c>
      <c r="B45" s="46" t="s">
        <v>79</v>
      </c>
      <c r="C45" s="39" t="s">
        <v>162</v>
      </c>
      <c r="D45" s="42">
        <f>0.004*E45+0.5</f>
        <v>0.56000000000000005</v>
      </c>
      <c r="E45" s="32">
        <v>15</v>
      </c>
      <c r="F45" s="45" t="s">
        <v>43</v>
      </c>
      <c r="G45" s="32"/>
      <c r="H45" s="37"/>
      <c r="I45" s="44">
        <v>1</v>
      </c>
      <c r="J45" s="10">
        <f t="shared" si="2"/>
        <v>0.56000000000000005</v>
      </c>
    </row>
    <row r="46" spans="1:13" s="31" customFormat="1" ht="15" customHeight="1" x14ac:dyDescent="0.3">
      <c r="I46" s="95" t="s">
        <v>23</v>
      </c>
      <c r="J46" s="97">
        <f>SUM(J39:J45)</f>
        <v>1.8800000000000001</v>
      </c>
    </row>
    <row r="48" spans="1:13" ht="15" customHeight="1" x14ac:dyDescent="0.3">
      <c r="A48" s="94" t="s">
        <v>19</v>
      </c>
      <c r="B48" s="94" t="s">
        <v>80</v>
      </c>
      <c r="C48" s="94" t="s">
        <v>31</v>
      </c>
      <c r="D48" s="94" t="s">
        <v>32</v>
      </c>
      <c r="E48" s="94" t="s">
        <v>50</v>
      </c>
      <c r="F48" s="94" t="s">
        <v>22</v>
      </c>
      <c r="G48" s="94" t="s">
        <v>81</v>
      </c>
      <c r="H48" s="94" t="s">
        <v>82</v>
      </c>
      <c r="I48" s="94" t="s">
        <v>23</v>
      </c>
    </row>
    <row r="49" spans="1:9" ht="15" customHeight="1" x14ac:dyDescent="0.3">
      <c r="A49" s="32">
        <v>10</v>
      </c>
      <c r="B49" s="32" t="s">
        <v>83</v>
      </c>
      <c r="C49" s="32" t="s">
        <v>54</v>
      </c>
      <c r="D49" s="38">
        <v>500</v>
      </c>
      <c r="E49" s="32" t="s">
        <v>84</v>
      </c>
      <c r="F49" s="32">
        <v>8</v>
      </c>
      <c r="G49" s="32">
        <v>3000</v>
      </c>
      <c r="H49" s="32">
        <v>1</v>
      </c>
      <c r="I49" s="49">
        <f>D49*F49/G49*H49</f>
        <v>1.3333333333333333</v>
      </c>
    </row>
    <row r="50" spans="1:9" ht="15" customHeight="1" x14ac:dyDescent="0.3">
      <c r="A50" s="31"/>
      <c r="B50" s="31"/>
      <c r="C50" s="31"/>
      <c r="D50" s="31"/>
      <c r="E50" s="31"/>
      <c r="F50" s="31"/>
      <c r="G50" s="31"/>
      <c r="H50" s="95" t="s">
        <v>23</v>
      </c>
      <c r="I50" s="98">
        <f>SUM(I49:I49)</f>
        <v>1.3333333333333333</v>
      </c>
    </row>
  </sheetData>
  <hyperlinks>
    <hyperlink ref="D1" location="BOM!A1" display="Back to BOM"/>
    <hyperlink ref="B9" location="'EN 05001'!A1" display="Fuel Tank (with filler neck)"/>
    <hyperlink ref="B10" location="'EN 05002'!A1" display="Filler Cap"/>
    <hyperlink ref="B11" location="'EN 05003'!A1" display="Filler Tube"/>
    <hyperlink ref="B12" location="'EN 05004'!A1" display="Lateral tab"/>
    <hyperlink ref="B13" location="'EN 05005'!A1" display="Front tab"/>
  </hyperlinks>
  <printOptions horizontalCentered="1"/>
  <pageMargins left="0.3" right="0.3" top="0.3" bottom="0.4" header="0.2" footer="0.2"/>
  <pageSetup paperSize="9" scale="61" orientation="landscape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31"/>
  <sheetViews>
    <sheetView zoomScale="70" zoomScaleNormal="70" zoomScalePageLayoutView="49" workbookViewId="0">
      <selection activeCell="N38" sqref="N38"/>
    </sheetView>
  </sheetViews>
  <sheetFormatPr baseColWidth="10" defaultColWidth="7.6640625" defaultRowHeight="14.4" x14ac:dyDescent="0.3"/>
  <cols>
    <col min="1" max="1" width="10.33203125" style="1" bestFit="1" customWidth="1"/>
    <col min="2" max="2" width="34.109375" style="1" bestFit="1" customWidth="1"/>
    <col min="3" max="3" width="23.77734375" style="1" bestFit="1" customWidth="1"/>
    <col min="4" max="4" width="10.88671875" style="1" customWidth="1"/>
    <col min="5" max="5" width="5.6640625" style="1" bestFit="1" customWidth="1"/>
    <col min="6" max="6" width="12" style="1" bestFit="1" customWidth="1"/>
    <col min="7" max="7" width="19.44140625" style="1" bestFit="1" customWidth="1"/>
    <col min="8" max="8" width="9.6640625" style="1" bestFit="1" customWidth="1"/>
    <col min="9" max="9" width="18.109375" style="1" bestFit="1" customWidth="1"/>
    <col min="10" max="10" width="8.77734375" style="1" bestFit="1" customWidth="1"/>
    <col min="11" max="11" width="8.33203125" style="1" bestFit="1" customWidth="1"/>
    <col min="12" max="12" width="7.6640625" style="1" bestFit="1" customWidth="1"/>
    <col min="13" max="13" width="13.6640625" style="1" bestFit="1" customWidth="1"/>
    <col min="14" max="14" width="11.33203125" style="1" customWidth="1"/>
    <col min="15" max="15" width="7.6640625" style="1"/>
    <col min="16" max="16" width="7.6640625" style="1" bestFit="1" customWidth="1"/>
    <col min="17" max="18" width="7.6640625" style="1"/>
    <col min="19" max="19" width="8.6640625" style="1" bestFit="1" customWidth="1"/>
    <col min="20" max="20" width="7.6640625" style="1" bestFit="1" customWidth="1"/>
    <col min="21" max="21" width="7.6640625" style="1"/>
    <col min="22" max="22" width="7.6640625" style="1" bestFit="1" customWidth="1"/>
    <col min="23" max="23" width="7.6640625" style="1"/>
    <col min="24" max="25" width="8.44140625" style="1" bestFit="1" customWidth="1"/>
    <col min="26" max="28" width="7.6640625" style="1" bestFit="1" customWidth="1"/>
    <col min="29" max="16384" width="7.6640625" style="1"/>
  </cols>
  <sheetData>
    <row r="1" spans="1:14" x14ac:dyDescent="0.3">
      <c r="A1" s="80" t="s">
        <v>0</v>
      </c>
      <c r="B1" s="1" t="s">
        <v>1</v>
      </c>
      <c r="F1" s="2" t="s">
        <v>2</v>
      </c>
      <c r="J1" s="82" t="s">
        <v>3</v>
      </c>
      <c r="K1" s="3">
        <v>81</v>
      </c>
      <c r="M1" s="80" t="s">
        <v>21</v>
      </c>
      <c r="N1" s="7">
        <f>N13+I26+I30</f>
        <v>103.67125799008251</v>
      </c>
    </row>
    <row r="2" spans="1:14" x14ac:dyDescent="0.3">
      <c r="A2" s="80" t="s">
        <v>5</v>
      </c>
      <c r="B2" s="1" t="s">
        <v>6</v>
      </c>
      <c r="C2" s="50" t="s">
        <v>85</v>
      </c>
      <c r="D2" s="81" t="s">
        <v>10</v>
      </c>
      <c r="M2" s="80" t="s">
        <v>7</v>
      </c>
      <c r="N2" s="5">
        <v>1</v>
      </c>
    </row>
    <row r="3" spans="1:14" x14ac:dyDescent="0.3">
      <c r="A3" s="80" t="s">
        <v>8</v>
      </c>
      <c r="B3" s="2" t="s">
        <v>9</v>
      </c>
      <c r="C3" s="50"/>
      <c r="D3" s="80" t="s">
        <v>12</v>
      </c>
      <c r="J3" s="80" t="s">
        <v>10</v>
      </c>
    </row>
    <row r="4" spans="1:14" x14ac:dyDescent="0.3">
      <c r="A4" s="80" t="s">
        <v>20</v>
      </c>
      <c r="B4" s="1" t="s">
        <v>24</v>
      </c>
      <c r="D4" s="80" t="s">
        <v>16</v>
      </c>
      <c r="J4" s="80" t="s">
        <v>12</v>
      </c>
      <c r="M4" s="80" t="s">
        <v>13</v>
      </c>
      <c r="N4" s="7">
        <f>N1*N2</f>
        <v>103.67125799008251</v>
      </c>
    </row>
    <row r="5" spans="1:14" x14ac:dyDescent="0.3">
      <c r="A5" s="80" t="s">
        <v>11</v>
      </c>
      <c r="B5" s="6" t="s">
        <v>128</v>
      </c>
      <c r="J5" s="80" t="s">
        <v>16</v>
      </c>
      <c r="M5" s="83"/>
    </row>
    <row r="6" spans="1:14" x14ac:dyDescent="0.3">
      <c r="A6" s="80" t="s">
        <v>14</v>
      </c>
      <c r="B6" s="1" t="s">
        <v>15</v>
      </c>
    </row>
    <row r="7" spans="1:14" x14ac:dyDescent="0.3">
      <c r="A7" s="80" t="s">
        <v>17</v>
      </c>
    </row>
    <row r="9" spans="1:14" s="31" customFormat="1" x14ac:dyDescent="0.3">
      <c r="A9" s="84" t="s">
        <v>19</v>
      </c>
      <c r="B9" s="84" t="s">
        <v>30</v>
      </c>
      <c r="C9" s="84" t="s">
        <v>31</v>
      </c>
      <c r="D9" s="84" t="s">
        <v>32</v>
      </c>
      <c r="E9" s="84" t="s">
        <v>33</v>
      </c>
      <c r="F9" s="84"/>
      <c r="G9" s="84" t="s">
        <v>35</v>
      </c>
      <c r="H9" s="84" t="s">
        <v>36</v>
      </c>
      <c r="I9" s="84" t="s">
        <v>37</v>
      </c>
      <c r="J9" s="84" t="s">
        <v>38</v>
      </c>
      <c r="K9" s="84" t="s">
        <v>39</v>
      </c>
      <c r="L9" s="84" t="s">
        <v>40</v>
      </c>
      <c r="M9" s="84" t="s">
        <v>22</v>
      </c>
      <c r="N9" s="84" t="s">
        <v>23</v>
      </c>
    </row>
    <row r="10" spans="1:14" ht="28.8" x14ac:dyDescent="0.3">
      <c r="A10" s="24">
        <v>10</v>
      </c>
      <c r="B10" s="51" t="s">
        <v>86</v>
      </c>
      <c r="C10" s="24" t="s">
        <v>87</v>
      </c>
      <c r="D10" s="25">
        <v>4.2</v>
      </c>
      <c r="E10" s="52">
        <f>J10*K10*L10</f>
        <v>3.7425600000000006</v>
      </c>
      <c r="F10" s="24" t="s">
        <v>88</v>
      </c>
      <c r="G10" s="24">
        <v>2.5</v>
      </c>
      <c r="H10" s="26" t="s">
        <v>43</v>
      </c>
      <c r="I10" s="53" t="s">
        <v>149</v>
      </c>
      <c r="J10" s="54">
        <f>460*1200/1000000</f>
        <v>0.55200000000000005</v>
      </c>
      <c r="K10" s="55">
        <f>2.5/1000</f>
        <v>2.5000000000000001E-3</v>
      </c>
      <c r="L10" s="56">
        <v>2712</v>
      </c>
      <c r="M10" s="57">
        <v>1</v>
      </c>
      <c r="N10" s="49">
        <f>IF(J10="",D10*M10,D10*J10*K10*L10*M10)</f>
        <v>15.718752000000004</v>
      </c>
    </row>
    <row r="11" spans="1:14" ht="28.8" x14ac:dyDescent="0.3">
      <c r="A11" s="24">
        <v>20</v>
      </c>
      <c r="B11" s="51" t="s">
        <v>86</v>
      </c>
      <c r="C11" s="24" t="s">
        <v>89</v>
      </c>
      <c r="D11" s="25">
        <v>4.2</v>
      </c>
      <c r="E11" s="52">
        <f>J11*K11*L11</f>
        <v>0.10258079128948773</v>
      </c>
      <c r="F11" s="24" t="s">
        <v>88</v>
      </c>
      <c r="G11" s="24">
        <v>2</v>
      </c>
      <c r="H11" s="26" t="s">
        <v>43</v>
      </c>
      <c r="I11" s="53" t="s">
        <v>90</v>
      </c>
      <c r="J11" s="54">
        <f>(PI()*22.5*22.5-PI()*20.5*20.5)/1000000</f>
        <v>2.7017696820872241E-4</v>
      </c>
      <c r="K11" s="58">
        <v>0.14000000000000001</v>
      </c>
      <c r="L11" s="56">
        <v>2712</v>
      </c>
      <c r="M11" s="57">
        <v>1</v>
      </c>
      <c r="N11" s="49">
        <f>IF(J11="",D11*M11,D11*J11*K11*L11*M11)</f>
        <v>0.43083932341584852</v>
      </c>
    </row>
    <row r="12" spans="1:14" x14ac:dyDescent="0.3">
      <c r="A12" s="24">
        <v>30</v>
      </c>
      <c r="B12" s="59" t="s">
        <v>91</v>
      </c>
      <c r="C12" s="24" t="s">
        <v>92</v>
      </c>
      <c r="D12" s="25">
        <v>1.85</v>
      </c>
      <c r="E12" s="24">
        <v>8</v>
      </c>
      <c r="F12" s="24" t="s">
        <v>43</v>
      </c>
      <c r="G12" s="24"/>
      <c r="H12" s="26"/>
      <c r="I12" s="53"/>
      <c r="J12" s="55"/>
      <c r="K12" s="58"/>
      <c r="L12" s="60"/>
      <c r="M12" s="61">
        <v>2</v>
      </c>
      <c r="N12" s="49">
        <f>IF(J12="",D12*M12,D12*J12*K12*L12*M12)</f>
        <v>3.7</v>
      </c>
    </row>
    <row r="13" spans="1:14" s="31" customFormat="1" x14ac:dyDescent="0.3">
      <c r="M13" s="86" t="s">
        <v>23</v>
      </c>
      <c r="N13" s="85">
        <f>SUM(N10:N12)</f>
        <v>19.849591323415851</v>
      </c>
    </row>
    <row r="15" spans="1:14" s="31" customFormat="1" x14ac:dyDescent="0.3">
      <c r="A15" s="84" t="s">
        <v>19</v>
      </c>
      <c r="B15" s="84" t="s">
        <v>49</v>
      </c>
      <c r="C15" s="84" t="s">
        <v>31</v>
      </c>
      <c r="D15" s="84" t="s">
        <v>32</v>
      </c>
      <c r="E15" s="84" t="s">
        <v>50</v>
      </c>
      <c r="F15" s="84" t="s">
        <v>22</v>
      </c>
      <c r="G15" s="84" t="s">
        <v>51</v>
      </c>
      <c r="H15" s="84" t="s">
        <v>52</v>
      </c>
      <c r="I15" s="84" t="s">
        <v>23</v>
      </c>
    </row>
    <row r="16" spans="1:14" x14ac:dyDescent="0.3">
      <c r="A16" s="62">
        <v>10</v>
      </c>
      <c r="B16" s="33" t="s">
        <v>93</v>
      </c>
      <c r="C16" s="62" t="s">
        <v>94</v>
      </c>
      <c r="D16" s="63">
        <v>1.3</v>
      </c>
      <c r="E16" s="33" t="s">
        <v>50</v>
      </c>
      <c r="F16" s="62">
        <v>1</v>
      </c>
      <c r="G16" s="62" t="s">
        <v>95</v>
      </c>
      <c r="H16" s="62">
        <v>1</v>
      </c>
      <c r="I16" s="49">
        <f>IF(H16="",D16*F16,D16*F16*H16)</f>
        <v>1.3</v>
      </c>
    </row>
    <row r="17" spans="1:9" x14ac:dyDescent="0.3">
      <c r="A17" s="32">
        <v>20</v>
      </c>
      <c r="B17" s="33" t="s">
        <v>96</v>
      </c>
      <c r="C17" s="32" t="s">
        <v>145</v>
      </c>
      <c r="D17" s="35">
        <v>0.01</v>
      </c>
      <c r="E17" s="32" t="s">
        <v>55</v>
      </c>
      <c r="F17" s="64">
        <v>178</v>
      </c>
      <c r="G17" s="33" t="s">
        <v>95</v>
      </c>
      <c r="H17" s="36">
        <v>1</v>
      </c>
      <c r="I17" s="49">
        <f t="shared" ref="I17:I25" si="0">IF(H17="",D17*F17,D17*F17*H17)</f>
        <v>1.78</v>
      </c>
    </row>
    <row r="18" spans="1:9" x14ac:dyDescent="0.3">
      <c r="A18" s="62">
        <v>30</v>
      </c>
      <c r="B18" s="33" t="s">
        <v>96</v>
      </c>
      <c r="C18" s="32" t="s">
        <v>144</v>
      </c>
      <c r="D18" s="35">
        <v>0.01</v>
      </c>
      <c r="E18" s="32" t="s">
        <v>55</v>
      </c>
      <c r="F18" s="64">
        <v>128</v>
      </c>
      <c r="G18" s="33" t="s">
        <v>95</v>
      </c>
      <c r="H18" s="36">
        <v>1</v>
      </c>
      <c r="I18" s="49">
        <f t="shared" si="0"/>
        <v>1.28</v>
      </c>
    </row>
    <row r="19" spans="1:9" x14ac:dyDescent="0.3">
      <c r="A19" s="62">
        <v>40</v>
      </c>
      <c r="B19" s="33" t="s">
        <v>96</v>
      </c>
      <c r="C19" s="32" t="s">
        <v>143</v>
      </c>
      <c r="D19" s="35">
        <v>0.01</v>
      </c>
      <c r="E19" s="32" t="s">
        <v>55</v>
      </c>
      <c r="F19" s="64">
        <v>180</v>
      </c>
      <c r="G19" s="33" t="s">
        <v>95</v>
      </c>
      <c r="H19" s="36">
        <v>1</v>
      </c>
      <c r="I19" s="49">
        <f t="shared" si="0"/>
        <v>1.8</v>
      </c>
    </row>
    <row r="20" spans="1:9" x14ac:dyDescent="0.3">
      <c r="A20" s="32">
        <v>50</v>
      </c>
      <c r="B20" s="33" t="s">
        <v>96</v>
      </c>
      <c r="C20" s="32" t="s">
        <v>150</v>
      </c>
      <c r="D20" s="35">
        <v>0.01</v>
      </c>
      <c r="E20" s="32" t="s">
        <v>55</v>
      </c>
      <c r="F20" s="64">
        <v>42</v>
      </c>
      <c r="G20" s="33" t="s">
        <v>95</v>
      </c>
      <c r="H20" s="36">
        <v>1</v>
      </c>
      <c r="I20" s="49">
        <f t="shared" ref="I20" si="1">IF(H20="",D20*F20,D20*F20*H20)</f>
        <v>0.42</v>
      </c>
    </row>
    <row r="21" spans="1:9" x14ac:dyDescent="0.3">
      <c r="A21" s="62">
        <v>60</v>
      </c>
      <c r="B21" s="33" t="s">
        <v>97</v>
      </c>
      <c r="C21" s="32" t="s">
        <v>146</v>
      </c>
      <c r="D21" s="35">
        <v>0.25</v>
      </c>
      <c r="E21" s="32" t="s">
        <v>98</v>
      </c>
      <c r="F21" s="64">
        <v>1</v>
      </c>
      <c r="G21" s="33"/>
      <c r="H21" s="36"/>
      <c r="I21" s="49">
        <f>IF(H21="",D21*F21,D21*F21*H21)</f>
        <v>0.25</v>
      </c>
    </row>
    <row r="22" spans="1:9" x14ac:dyDescent="0.3">
      <c r="A22" s="62">
        <v>70</v>
      </c>
      <c r="B22" s="33" t="s">
        <v>97</v>
      </c>
      <c r="C22" s="32" t="s">
        <v>147</v>
      </c>
      <c r="D22" s="35">
        <v>0.25</v>
      </c>
      <c r="E22" s="32" t="s">
        <v>98</v>
      </c>
      <c r="F22" s="64">
        <v>2</v>
      </c>
      <c r="G22" s="33"/>
      <c r="H22" s="36"/>
      <c r="I22" s="49">
        <f t="shared" si="0"/>
        <v>0.5</v>
      </c>
    </row>
    <row r="23" spans="1:9" x14ac:dyDescent="0.3">
      <c r="A23" s="32">
        <v>80</v>
      </c>
      <c r="B23" s="33" t="s">
        <v>97</v>
      </c>
      <c r="C23" s="32" t="s">
        <v>150</v>
      </c>
      <c r="D23" s="35">
        <v>1.25</v>
      </c>
      <c r="E23" s="32" t="s">
        <v>98</v>
      </c>
      <c r="F23" s="64">
        <v>1</v>
      </c>
      <c r="G23" s="33"/>
      <c r="H23" s="36"/>
      <c r="I23" s="49">
        <f t="shared" si="0"/>
        <v>1.25</v>
      </c>
    </row>
    <row r="24" spans="1:9" x14ac:dyDescent="0.3">
      <c r="A24" s="62">
        <v>90</v>
      </c>
      <c r="B24" s="32" t="s">
        <v>99</v>
      </c>
      <c r="C24" s="36" t="s">
        <v>100</v>
      </c>
      <c r="D24" s="35">
        <v>0.15</v>
      </c>
      <c r="E24" s="33" t="s">
        <v>55</v>
      </c>
      <c r="F24" s="36">
        <v>4.5</v>
      </c>
      <c r="G24" s="33"/>
      <c r="H24" s="36"/>
      <c r="I24" s="49">
        <f t="shared" si="0"/>
        <v>0.67499999999999993</v>
      </c>
    </row>
    <row r="25" spans="1:9" ht="28.8" x14ac:dyDescent="0.3">
      <c r="A25" s="62">
        <v>100</v>
      </c>
      <c r="B25" s="32" t="s">
        <v>53</v>
      </c>
      <c r="C25" s="62" t="s">
        <v>148</v>
      </c>
      <c r="D25" s="35">
        <v>0.15</v>
      </c>
      <c r="E25" s="33" t="s">
        <v>55</v>
      </c>
      <c r="F25" s="79">
        <f>F17+F18+F19</f>
        <v>486</v>
      </c>
      <c r="G25" s="33"/>
      <c r="H25" s="36"/>
      <c r="I25" s="49">
        <f t="shared" si="0"/>
        <v>72.899999999999991</v>
      </c>
    </row>
    <row r="26" spans="1:9" s="31" customFormat="1" x14ac:dyDescent="0.3">
      <c r="H26" s="86" t="s">
        <v>23</v>
      </c>
      <c r="I26" s="85">
        <f>SUM(I16:I25)</f>
        <v>82.154999999999987</v>
      </c>
    </row>
    <row r="27" spans="1:9" x14ac:dyDescent="0.3">
      <c r="H27" s="50"/>
      <c r="I27" s="65"/>
    </row>
    <row r="28" spans="1:9" s="31" customFormat="1" x14ac:dyDescent="0.3">
      <c r="A28" s="84" t="s">
        <v>19</v>
      </c>
      <c r="B28" s="84" t="s">
        <v>80</v>
      </c>
      <c r="C28" s="84" t="s">
        <v>31</v>
      </c>
      <c r="D28" s="84" t="s">
        <v>32</v>
      </c>
      <c r="E28" s="84" t="s">
        <v>50</v>
      </c>
      <c r="F28" s="84" t="s">
        <v>22</v>
      </c>
      <c r="G28" s="84" t="s">
        <v>81</v>
      </c>
      <c r="H28" s="84" t="s">
        <v>82</v>
      </c>
      <c r="I28" s="84" t="s">
        <v>23</v>
      </c>
    </row>
    <row r="29" spans="1:9" x14ac:dyDescent="0.3">
      <c r="A29" s="32">
        <v>10</v>
      </c>
      <c r="B29" s="32" t="s">
        <v>83</v>
      </c>
      <c r="C29" s="32"/>
      <c r="D29" s="38">
        <v>500</v>
      </c>
      <c r="E29" s="32" t="s">
        <v>84</v>
      </c>
      <c r="F29" s="32">
        <v>10</v>
      </c>
      <c r="G29" s="32">
        <v>3000</v>
      </c>
      <c r="H29" s="32">
        <v>1</v>
      </c>
      <c r="I29" s="49">
        <f>D29*F29/G29*H29</f>
        <v>1.6666666666666667</v>
      </c>
    </row>
    <row r="30" spans="1:9" s="31" customFormat="1" x14ac:dyDescent="0.3">
      <c r="H30" s="86" t="s">
        <v>23</v>
      </c>
      <c r="I30" s="87">
        <f>SUM(I29:I29)</f>
        <v>1.6666666666666667</v>
      </c>
    </row>
    <row r="31" spans="1:9" x14ac:dyDescent="0.3">
      <c r="H31" s="50"/>
      <c r="I31" s="65"/>
    </row>
  </sheetData>
  <hyperlinks>
    <hyperlink ref="F1" location="BOM!A1" display="Back to BOM"/>
    <hyperlink ref="B3" location="'EN A0005'!A1" display="Fuel Tank Assembly"/>
    <hyperlink ref="D2" location="'EN 05001 Drawing'!A1" display="FileLink1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49" zoomScaleNormal="49" zoomScalePageLayoutView="49" workbookViewId="0"/>
  </sheetViews>
  <sheetFormatPr baseColWidth="10" defaultRowHeight="14.4" x14ac:dyDescent="0.3"/>
  <sheetData>
    <row r="1" spans="1:1" ht="19.2" customHeight="1" x14ac:dyDescent="0.3">
      <c r="A1" s="66" t="s">
        <v>128</v>
      </c>
    </row>
  </sheetData>
  <hyperlinks>
    <hyperlink ref="A1" location="'EN 05001'!A1" display="EN 05001"/>
  </hyperlinks>
  <printOptions horizontalCentered="1"/>
  <pageMargins left="0.3" right="0.3" top="0.3" bottom="0.4" header="0.2" footer="0.2"/>
  <pageSetup paperSize="9" scale="93" orientation="landscape" horizontalDpi="0" verticalDpi="0"/>
  <headerFoot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22"/>
  <sheetViews>
    <sheetView tabSelected="1" zoomScale="70" zoomScaleNormal="70" zoomScalePageLayoutView="49" workbookViewId="0">
      <selection activeCell="G35" sqref="G35"/>
    </sheetView>
  </sheetViews>
  <sheetFormatPr baseColWidth="10" defaultColWidth="7.6640625" defaultRowHeight="14.4" x14ac:dyDescent="0.3"/>
  <cols>
    <col min="1" max="1" width="10.33203125" style="1" bestFit="1" customWidth="1"/>
    <col min="2" max="2" width="50.33203125" style="1" customWidth="1"/>
    <col min="3" max="3" width="22" style="1" customWidth="1"/>
    <col min="4" max="4" width="11.44140625" style="1" customWidth="1"/>
    <col min="5" max="5" width="10.44140625" style="1" customWidth="1"/>
    <col min="6" max="6" width="12" style="1" bestFit="1" customWidth="1"/>
    <col min="7" max="7" width="20" style="1" bestFit="1" customWidth="1"/>
    <col min="8" max="8" width="9.6640625" style="1" bestFit="1" customWidth="1"/>
    <col min="9" max="9" width="25.6640625" style="1" bestFit="1" customWidth="1"/>
    <col min="10" max="10" width="8.77734375" style="1" bestFit="1" customWidth="1"/>
    <col min="11" max="11" width="9.44140625" style="1" customWidth="1"/>
    <col min="12" max="12" width="7.6640625" style="1" bestFit="1" customWidth="1"/>
    <col min="13" max="13" width="13.6640625" style="1" bestFit="1" customWidth="1"/>
    <col min="14" max="14" width="13.21875" style="1" customWidth="1"/>
    <col min="15" max="15" width="7.6640625" style="1"/>
    <col min="16" max="16" width="7.6640625" style="1" bestFit="1" customWidth="1"/>
    <col min="17" max="18" width="7.6640625" style="1"/>
    <col min="19" max="19" width="8.6640625" style="1" bestFit="1" customWidth="1"/>
    <col min="20" max="20" width="7.6640625" style="1" bestFit="1" customWidth="1"/>
    <col min="21" max="21" width="7.6640625" style="1"/>
    <col min="22" max="22" width="7.6640625" style="1" bestFit="1" customWidth="1"/>
    <col min="23" max="23" width="7.6640625" style="1"/>
    <col min="24" max="25" width="8.44140625" style="1" bestFit="1" customWidth="1"/>
    <col min="26" max="28" width="7.6640625" style="1" bestFit="1" customWidth="1"/>
    <col min="29" max="16384" width="7.6640625" style="1"/>
  </cols>
  <sheetData>
    <row r="1" spans="1:14" x14ac:dyDescent="0.3">
      <c r="A1" s="80" t="s">
        <v>0</v>
      </c>
      <c r="B1" s="1" t="s">
        <v>1</v>
      </c>
      <c r="F1" s="2" t="s">
        <v>2</v>
      </c>
      <c r="J1" s="82" t="s">
        <v>3</v>
      </c>
      <c r="K1" s="3">
        <v>81</v>
      </c>
      <c r="M1" s="80" t="s">
        <v>21</v>
      </c>
      <c r="N1" s="7">
        <f>N14+I22</f>
        <v>31.684274971513588</v>
      </c>
    </row>
    <row r="2" spans="1:14" x14ac:dyDescent="0.3">
      <c r="A2" s="80" t="s">
        <v>5</v>
      </c>
      <c r="B2" s="1" t="s">
        <v>6</v>
      </c>
      <c r="D2" s="80" t="s">
        <v>10</v>
      </c>
      <c r="M2" s="80" t="s">
        <v>7</v>
      </c>
      <c r="N2" s="5">
        <v>1</v>
      </c>
    </row>
    <row r="3" spans="1:14" x14ac:dyDescent="0.3">
      <c r="A3" s="80" t="s">
        <v>8</v>
      </c>
      <c r="B3" s="2" t="s">
        <v>9</v>
      </c>
      <c r="D3" s="80" t="s">
        <v>12</v>
      </c>
      <c r="J3" s="80" t="s">
        <v>10</v>
      </c>
    </row>
    <row r="4" spans="1:14" x14ac:dyDescent="0.3">
      <c r="A4" s="80" t="s">
        <v>20</v>
      </c>
      <c r="B4" s="1" t="s">
        <v>25</v>
      </c>
      <c r="D4" s="80" t="s">
        <v>16</v>
      </c>
      <c r="J4" s="80" t="s">
        <v>12</v>
      </c>
      <c r="M4" s="80" t="s">
        <v>13</v>
      </c>
      <c r="N4" s="7">
        <f>N1*N2</f>
        <v>31.684274971513588</v>
      </c>
    </row>
    <row r="5" spans="1:14" x14ac:dyDescent="0.3">
      <c r="A5" s="80" t="s">
        <v>11</v>
      </c>
      <c r="B5" s="6" t="s">
        <v>129</v>
      </c>
      <c r="J5" s="80" t="s">
        <v>16</v>
      </c>
      <c r="M5" s="83"/>
    </row>
    <row r="6" spans="1:14" x14ac:dyDescent="0.3">
      <c r="A6" s="80" t="s">
        <v>14</v>
      </c>
      <c r="B6" s="1" t="s">
        <v>15</v>
      </c>
    </row>
    <row r="7" spans="1:14" x14ac:dyDescent="0.3">
      <c r="A7" s="80" t="s">
        <v>17</v>
      </c>
    </row>
    <row r="9" spans="1:14" s="31" customFormat="1" x14ac:dyDescent="0.3">
      <c r="A9" s="84" t="s">
        <v>19</v>
      </c>
      <c r="B9" s="84" t="s">
        <v>30</v>
      </c>
      <c r="C9" s="84" t="s">
        <v>31</v>
      </c>
      <c r="D9" s="84" t="s">
        <v>32</v>
      </c>
      <c r="E9" s="84" t="s">
        <v>33</v>
      </c>
      <c r="F9" s="84" t="s">
        <v>34</v>
      </c>
      <c r="G9" s="84" t="s">
        <v>35</v>
      </c>
      <c r="H9" s="84" t="s">
        <v>36</v>
      </c>
      <c r="I9" s="84" t="s">
        <v>37</v>
      </c>
      <c r="J9" s="84" t="s">
        <v>38</v>
      </c>
      <c r="K9" s="84" t="s">
        <v>39</v>
      </c>
      <c r="L9" s="84" t="s">
        <v>40</v>
      </c>
      <c r="M9" s="84" t="s">
        <v>22</v>
      </c>
      <c r="N9" s="84" t="s">
        <v>23</v>
      </c>
    </row>
    <row r="10" spans="1:14" x14ac:dyDescent="0.3">
      <c r="A10" s="32">
        <v>10</v>
      </c>
      <c r="B10" s="59" t="s">
        <v>109</v>
      </c>
      <c r="C10" s="71" t="s">
        <v>110</v>
      </c>
      <c r="D10" s="35">
        <v>4.2</v>
      </c>
      <c r="E10" s="72">
        <f>J10*K10*L10</f>
        <v>7.9874993217520493E-2</v>
      </c>
      <c r="F10" s="32" t="s">
        <v>88</v>
      </c>
      <c r="G10" s="32"/>
      <c r="H10" s="15"/>
      <c r="I10" s="53" t="s">
        <v>111</v>
      </c>
      <c r="J10" s="23">
        <f>PI()*50*50/4/1000000</f>
        <v>1.9634954084936209E-3</v>
      </c>
      <c r="K10" s="73">
        <v>1.4999999999999999E-2</v>
      </c>
      <c r="L10" s="18">
        <v>2712</v>
      </c>
      <c r="M10" s="18">
        <v>1</v>
      </c>
      <c r="N10" s="49">
        <f>IF(J10="",D10*M10,D10*J10*K10*L10*M10)</f>
        <v>0.33547497151358602</v>
      </c>
    </row>
    <row r="11" spans="1:14" x14ac:dyDescent="0.3">
      <c r="A11" s="32">
        <v>20</v>
      </c>
      <c r="B11" s="59" t="s">
        <v>112</v>
      </c>
      <c r="C11" s="71"/>
      <c r="D11" s="35">
        <v>15</v>
      </c>
      <c r="E11" s="32"/>
      <c r="F11" s="32"/>
      <c r="G11" s="32"/>
      <c r="H11" s="15"/>
      <c r="I11" s="74"/>
      <c r="J11" s="17"/>
      <c r="K11" s="15"/>
      <c r="L11" s="15"/>
      <c r="M11" s="18">
        <v>1</v>
      </c>
      <c r="N11" s="49">
        <f>IF(J11="",D11*M11,D11*J11*K11*L11*M11)</f>
        <v>15</v>
      </c>
    </row>
    <row r="12" spans="1:14" x14ac:dyDescent="0.3">
      <c r="A12" s="32">
        <v>30</v>
      </c>
      <c r="B12" s="59" t="s">
        <v>131</v>
      </c>
      <c r="C12" s="77"/>
      <c r="D12" s="35">
        <f>0.18*E12</f>
        <v>2.52</v>
      </c>
      <c r="E12" s="32">
        <v>14</v>
      </c>
      <c r="F12" s="32" t="s">
        <v>43</v>
      </c>
      <c r="G12" s="32"/>
      <c r="H12" s="15"/>
      <c r="I12" s="74"/>
      <c r="J12" s="17"/>
      <c r="K12" s="15">
        <v>0.59</v>
      </c>
      <c r="L12" s="15"/>
      <c r="M12" s="18">
        <v>1</v>
      </c>
      <c r="N12" s="49">
        <f>K12*D12</f>
        <v>1.4867999999999999</v>
      </c>
    </row>
    <row r="13" spans="1:14" ht="28.8" customHeight="1" x14ac:dyDescent="0.3">
      <c r="A13" s="32">
        <v>40</v>
      </c>
      <c r="B13" s="46" t="s">
        <v>132</v>
      </c>
      <c r="C13" s="78" t="s">
        <v>133</v>
      </c>
      <c r="D13" s="35">
        <f>0.032*E13*G13+1.33</f>
        <v>7.6020000000000003</v>
      </c>
      <c r="E13" s="32">
        <v>14</v>
      </c>
      <c r="F13" s="32" t="s">
        <v>43</v>
      </c>
      <c r="G13" s="32">
        <v>14</v>
      </c>
      <c r="H13" s="15" t="s">
        <v>43</v>
      </c>
      <c r="I13" s="74"/>
      <c r="J13" s="17"/>
      <c r="K13" s="15"/>
      <c r="L13" s="15"/>
      <c r="M13" s="18">
        <v>1</v>
      </c>
      <c r="N13" s="49">
        <f>M13*D13</f>
        <v>7.6020000000000003</v>
      </c>
    </row>
    <row r="14" spans="1:14" s="31" customFormat="1" x14ac:dyDescent="0.3">
      <c r="M14" s="89" t="s">
        <v>23</v>
      </c>
      <c r="N14" s="88">
        <f>SUM(N10:N13)</f>
        <v>24.424274971513587</v>
      </c>
    </row>
    <row r="16" spans="1:14" s="31" customFormat="1" x14ac:dyDescent="0.3">
      <c r="A16" s="84" t="s">
        <v>19</v>
      </c>
      <c r="B16" s="84" t="s">
        <v>49</v>
      </c>
      <c r="C16" s="84" t="s">
        <v>31</v>
      </c>
      <c r="D16" s="84" t="s">
        <v>32</v>
      </c>
      <c r="E16" s="84" t="s">
        <v>50</v>
      </c>
      <c r="F16" s="84" t="s">
        <v>22</v>
      </c>
      <c r="G16" s="84" t="s">
        <v>51</v>
      </c>
      <c r="H16" s="84" t="s">
        <v>52</v>
      </c>
      <c r="I16" s="84" t="s">
        <v>23</v>
      </c>
    </row>
    <row r="17" spans="1:9" x14ac:dyDescent="0.3">
      <c r="A17" s="36">
        <v>10</v>
      </c>
      <c r="B17" s="33" t="s">
        <v>113</v>
      </c>
      <c r="C17" s="36"/>
      <c r="D17" s="35">
        <v>1.3</v>
      </c>
      <c r="E17" s="33" t="s">
        <v>50</v>
      </c>
      <c r="F17" s="36">
        <v>1</v>
      </c>
      <c r="G17" s="36"/>
      <c r="H17" s="36"/>
      <c r="I17" s="49">
        <f>IF(H17="",D17*F17,D17*F17*H17)</f>
        <v>1.3</v>
      </c>
    </row>
    <row r="18" spans="1:9" x14ac:dyDescent="0.3">
      <c r="A18" s="32">
        <v>20</v>
      </c>
      <c r="B18" s="32" t="s">
        <v>114</v>
      </c>
      <c r="C18" s="32"/>
      <c r="D18" s="35">
        <v>0.04</v>
      </c>
      <c r="E18" s="32" t="s">
        <v>115</v>
      </c>
      <c r="F18" s="64">
        <v>12</v>
      </c>
      <c r="G18" s="33" t="s">
        <v>116</v>
      </c>
      <c r="H18" s="36">
        <v>1</v>
      </c>
      <c r="I18" s="49">
        <f>IF(H18="",D18*F18,D18*F18*H18)</f>
        <v>0.48</v>
      </c>
    </row>
    <row r="19" spans="1:9" x14ac:dyDescent="0.3">
      <c r="A19" s="32">
        <v>30</v>
      </c>
      <c r="B19" s="32" t="s">
        <v>117</v>
      </c>
      <c r="C19" s="32"/>
      <c r="D19" s="35">
        <v>0.1</v>
      </c>
      <c r="E19" s="32" t="s">
        <v>55</v>
      </c>
      <c r="F19" s="64">
        <v>50</v>
      </c>
      <c r="G19" s="33" t="s">
        <v>116</v>
      </c>
      <c r="H19" s="36">
        <v>1</v>
      </c>
      <c r="I19" s="49">
        <f>IF(H19="",D19*F19,D19*F19*H19)</f>
        <v>5</v>
      </c>
    </row>
    <row r="20" spans="1:9" x14ac:dyDescent="0.3">
      <c r="A20" s="32">
        <v>40</v>
      </c>
      <c r="B20" s="32" t="s">
        <v>103</v>
      </c>
      <c r="C20" s="39" t="s">
        <v>118</v>
      </c>
      <c r="D20" s="35">
        <v>0.35</v>
      </c>
      <c r="E20" s="32" t="s">
        <v>119</v>
      </c>
      <c r="F20" s="64">
        <v>1</v>
      </c>
      <c r="G20" s="33"/>
      <c r="H20" s="36"/>
      <c r="I20" s="49">
        <f>IF(H20="",D20*F20,D20*F20*H20)</f>
        <v>0.35</v>
      </c>
    </row>
    <row r="21" spans="1:9" x14ac:dyDescent="0.3">
      <c r="A21" s="32">
        <v>50</v>
      </c>
      <c r="B21" s="32" t="s">
        <v>120</v>
      </c>
      <c r="C21" s="39" t="s">
        <v>121</v>
      </c>
      <c r="D21" s="35">
        <v>0.13</v>
      </c>
      <c r="E21" s="32" t="s">
        <v>50</v>
      </c>
      <c r="F21" s="64">
        <v>1</v>
      </c>
      <c r="G21" s="33"/>
      <c r="H21" s="36"/>
      <c r="I21" s="49">
        <f>IF(H21="",D21*F21,D21*F21*H21)</f>
        <v>0.13</v>
      </c>
    </row>
    <row r="22" spans="1:9" s="31" customFormat="1" x14ac:dyDescent="0.3">
      <c r="H22" s="86" t="s">
        <v>23</v>
      </c>
      <c r="I22" s="85">
        <f>SUM(I17:I21)</f>
        <v>7.26</v>
      </c>
    </row>
  </sheetData>
  <hyperlinks>
    <hyperlink ref="F1" location="BOM!A1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3" orientation="landscape" horizontalDpi="0" verticalDpi="0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41"/>
  <sheetViews>
    <sheetView zoomScale="70" zoomScaleNormal="70" workbookViewId="0">
      <selection activeCell="F38" sqref="F38"/>
    </sheetView>
  </sheetViews>
  <sheetFormatPr baseColWidth="10" defaultColWidth="7.6640625" defaultRowHeight="14.4" x14ac:dyDescent="0.3"/>
  <cols>
    <col min="1" max="1" width="10.33203125" style="1" bestFit="1" customWidth="1"/>
    <col min="2" max="2" width="56.44140625" style="1" bestFit="1" customWidth="1"/>
    <col min="3" max="3" width="28" style="1" customWidth="1"/>
    <col min="4" max="4" width="10" style="1" customWidth="1"/>
    <col min="5" max="5" width="5.6640625" style="1" bestFit="1" customWidth="1"/>
    <col min="6" max="6" width="12" style="1" bestFit="1" customWidth="1"/>
    <col min="7" max="7" width="19.44140625" style="1" bestFit="1" customWidth="1"/>
    <col min="8" max="8" width="9.6640625" style="1" bestFit="1" customWidth="1"/>
    <col min="9" max="9" width="16.109375" style="1" bestFit="1" customWidth="1"/>
    <col min="10" max="10" width="9.109375" style="1" bestFit="1" customWidth="1"/>
    <col min="11" max="11" width="7" style="1" bestFit="1" customWidth="1"/>
    <col min="12" max="12" width="7.6640625" style="1" bestFit="1" customWidth="1"/>
    <col min="13" max="13" width="13.6640625" style="1" bestFit="1" customWidth="1"/>
    <col min="14" max="14" width="11" style="1" customWidth="1"/>
    <col min="15" max="15" width="7.6640625" style="1"/>
    <col min="16" max="16" width="7.6640625" style="1" bestFit="1" customWidth="1"/>
    <col min="17" max="18" width="7.6640625" style="1"/>
    <col min="19" max="19" width="8.6640625" style="1" bestFit="1" customWidth="1"/>
    <col min="20" max="20" width="7.6640625" style="1" bestFit="1" customWidth="1"/>
    <col min="21" max="21" width="7.6640625" style="1"/>
    <col min="22" max="22" width="7.6640625" style="1" bestFit="1" customWidth="1"/>
    <col min="23" max="23" width="7.6640625" style="1"/>
    <col min="24" max="25" width="8.44140625" style="1" bestFit="1" customWidth="1"/>
    <col min="26" max="28" width="7.6640625" style="1" bestFit="1" customWidth="1"/>
    <col min="29" max="16384" width="7.6640625" style="1"/>
  </cols>
  <sheetData>
    <row r="1" spans="1:14" x14ac:dyDescent="0.3">
      <c r="A1" s="80" t="s">
        <v>0</v>
      </c>
      <c r="B1" s="1" t="s">
        <v>1</v>
      </c>
      <c r="F1" s="2" t="s">
        <v>2</v>
      </c>
      <c r="J1" s="82" t="s">
        <v>3</v>
      </c>
      <c r="K1" s="3">
        <v>81</v>
      </c>
      <c r="M1" s="80" t="s">
        <v>21</v>
      </c>
      <c r="N1" s="7">
        <f>N15+I30+J36+I40</f>
        <v>18.357814563839998</v>
      </c>
    </row>
    <row r="2" spans="1:14" x14ac:dyDescent="0.3">
      <c r="A2" s="80" t="s">
        <v>5</v>
      </c>
      <c r="B2" s="1" t="s">
        <v>6</v>
      </c>
      <c r="C2" s="75"/>
      <c r="D2" s="90" t="s">
        <v>10</v>
      </c>
      <c r="M2" s="80" t="s">
        <v>7</v>
      </c>
      <c r="N2" s="5">
        <v>1</v>
      </c>
    </row>
    <row r="3" spans="1:14" x14ac:dyDescent="0.3">
      <c r="A3" s="80" t="s">
        <v>8</v>
      </c>
      <c r="B3" s="2" t="s">
        <v>9</v>
      </c>
      <c r="D3" s="80" t="s">
        <v>12</v>
      </c>
      <c r="J3" s="80" t="s">
        <v>10</v>
      </c>
    </row>
    <row r="4" spans="1:14" x14ac:dyDescent="0.3">
      <c r="A4" s="80" t="s">
        <v>20</v>
      </c>
      <c r="B4" s="1" t="s">
        <v>26</v>
      </c>
      <c r="D4" s="80" t="s">
        <v>16</v>
      </c>
      <c r="J4" s="80" t="s">
        <v>12</v>
      </c>
      <c r="M4" s="80" t="s">
        <v>13</v>
      </c>
      <c r="N4" s="7">
        <f>N1*N2</f>
        <v>18.357814563839998</v>
      </c>
    </row>
    <row r="5" spans="1:14" x14ac:dyDescent="0.3">
      <c r="A5" s="80" t="s">
        <v>11</v>
      </c>
      <c r="B5" s="6" t="s">
        <v>130</v>
      </c>
      <c r="J5" s="80" t="s">
        <v>16</v>
      </c>
    </row>
    <row r="6" spans="1:14" x14ac:dyDescent="0.3">
      <c r="A6" s="80" t="s">
        <v>14</v>
      </c>
      <c r="B6" s="1" t="s">
        <v>15</v>
      </c>
    </row>
    <row r="7" spans="1:14" x14ac:dyDescent="0.3">
      <c r="A7" s="80" t="s">
        <v>17</v>
      </c>
    </row>
    <row r="9" spans="1:14" s="31" customFormat="1" x14ac:dyDescent="0.3">
      <c r="A9" s="84" t="s">
        <v>19</v>
      </c>
      <c r="B9" s="84" t="s">
        <v>30</v>
      </c>
      <c r="C9" s="84" t="s">
        <v>31</v>
      </c>
      <c r="D9" s="84" t="s">
        <v>32</v>
      </c>
      <c r="E9" s="84" t="s">
        <v>33</v>
      </c>
      <c r="F9" s="84"/>
      <c r="G9" s="84" t="s">
        <v>35</v>
      </c>
      <c r="H9" s="84" t="s">
        <v>36</v>
      </c>
      <c r="I9" s="84" t="s">
        <v>37</v>
      </c>
      <c r="J9" s="84" t="s">
        <v>38</v>
      </c>
      <c r="K9" s="84" t="s">
        <v>39</v>
      </c>
      <c r="L9" s="84" t="s">
        <v>40</v>
      </c>
      <c r="M9" s="84" t="s">
        <v>22</v>
      </c>
      <c r="N9" s="84" t="s">
        <v>23</v>
      </c>
    </row>
    <row r="10" spans="1:14" ht="28.8" x14ac:dyDescent="0.3">
      <c r="A10" s="24">
        <v>10</v>
      </c>
      <c r="B10" s="59" t="s">
        <v>86</v>
      </c>
      <c r="C10" s="39" t="s">
        <v>101</v>
      </c>
      <c r="D10" s="25">
        <f>4.2</f>
        <v>4.2</v>
      </c>
      <c r="E10" s="52">
        <f>J10*K10*L10</f>
        <v>8.2431782400000042E-2</v>
      </c>
      <c r="F10" s="24" t="s">
        <v>88</v>
      </c>
      <c r="G10" s="24"/>
      <c r="H10" s="26"/>
      <c r="I10" s="53" t="s">
        <v>102</v>
      </c>
      <c r="J10" s="55">
        <f>(3.14*22.5*22.5-3.14*21.5*21.5)/1000000</f>
        <v>1.3816000000000007E-4</v>
      </c>
      <c r="K10" s="58">
        <v>0.22</v>
      </c>
      <c r="L10" s="67">
        <v>2712</v>
      </c>
      <c r="M10" s="68">
        <v>1</v>
      </c>
      <c r="N10" s="69">
        <f>IF(J10="",D10*M10,D10*J10*K10*L10*M10)</f>
        <v>0.34621348608000019</v>
      </c>
    </row>
    <row r="11" spans="1:14" x14ac:dyDescent="0.3">
      <c r="A11" s="24">
        <v>20</v>
      </c>
      <c r="B11" s="59" t="s">
        <v>86</v>
      </c>
      <c r="C11" s="39" t="s">
        <v>137</v>
      </c>
      <c r="D11" s="25">
        <f>4.2</f>
        <v>4.2</v>
      </c>
      <c r="E11" s="52">
        <f>J11*K11*L11</f>
        <v>1.6690732800000014E-2</v>
      </c>
      <c r="F11" s="24" t="s">
        <v>88</v>
      </c>
      <c r="G11" s="24"/>
      <c r="H11" s="26"/>
      <c r="I11" s="53"/>
      <c r="J11" s="55">
        <f>(3.14*25*25-3.14*24*24)/1000000</f>
        <v>1.5386000000000013E-4</v>
      </c>
      <c r="K11" s="58">
        <v>0.04</v>
      </c>
      <c r="L11" s="67">
        <v>2712</v>
      </c>
      <c r="M11" s="68">
        <v>1</v>
      </c>
      <c r="N11" s="69">
        <f>IF(J11="",D11*M11,D11*J11*K11*L11*M11)</f>
        <v>7.0101077760000061E-2</v>
      </c>
    </row>
    <row r="12" spans="1:14" ht="28.8" x14ac:dyDescent="0.3">
      <c r="A12" s="24">
        <v>30</v>
      </c>
      <c r="B12" s="59" t="s">
        <v>86</v>
      </c>
      <c r="C12" s="39" t="s">
        <v>134</v>
      </c>
      <c r="D12" s="25">
        <f>4.2</f>
        <v>4.2</v>
      </c>
      <c r="E12" s="52">
        <v>1E-3</v>
      </c>
      <c r="F12" s="24" t="s">
        <v>88</v>
      </c>
      <c r="G12" s="24"/>
      <c r="H12" s="26"/>
      <c r="I12" s="53" t="s">
        <v>135</v>
      </c>
      <c r="J12" s="55"/>
      <c r="K12" s="58"/>
      <c r="L12" s="67"/>
      <c r="M12" s="68">
        <v>2</v>
      </c>
      <c r="N12" s="69">
        <f>M12*D12*E12</f>
        <v>8.4000000000000012E-3</v>
      </c>
    </row>
    <row r="13" spans="1:14" x14ac:dyDescent="0.3">
      <c r="A13" s="24">
        <v>40</v>
      </c>
      <c r="B13" s="59" t="s">
        <v>44</v>
      </c>
      <c r="C13" s="39" t="s">
        <v>122</v>
      </c>
      <c r="D13" s="25">
        <f>0.47*E13</f>
        <v>5.64</v>
      </c>
      <c r="E13" s="24">
        <v>12</v>
      </c>
      <c r="F13" s="24" t="s">
        <v>43</v>
      </c>
      <c r="G13" s="24">
        <v>0.14000000000000001</v>
      </c>
      <c r="H13" s="57" t="s">
        <v>123</v>
      </c>
      <c r="I13" s="76"/>
      <c r="J13" s="55"/>
      <c r="K13" s="58"/>
      <c r="L13" s="67"/>
      <c r="M13" s="68">
        <v>0.14000000000000001</v>
      </c>
      <c r="N13" s="69">
        <f>IF(J13="",D13*M13,D13*J13*K13*L13*M13)</f>
        <v>0.78960000000000008</v>
      </c>
    </row>
    <row r="14" spans="1:14" x14ac:dyDescent="0.3">
      <c r="A14" s="24">
        <v>40</v>
      </c>
      <c r="B14" s="59" t="s">
        <v>44</v>
      </c>
      <c r="C14" s="39" t="s">
        <v>157</v>
      </c>
      <c r="D14" s="25">
        <f>0.47*E14</f>
        <v>25.849999999999998</v>
      </c>
      <c r="E14" s="24">
        <v>55</v>
      </c>
      <c r="F14" s="24" t="s">
        <v>43</v>
      </c>
      <c r="G14" s="24">
        <v>0.11</v>
      </c>
      <c r="H14" s="57" t="s">
        <v>123</v>
      </c>
      <c r="I14" s="76"/>
      <c r="J14" s="55"/>
      <c r="K14" s="58"/>
      <c r="L14" s="67"/>
      <c r="M14" s="68">
        <v>0.11</v>
      </c>
      <c r="N14" s="69">
        <f>IF(J14="",D14*M14,D14*J14*K14*L14*M14)</f>
        <v>2.8434999999999997</v>
      </c>
    </row>
    <row r="15" spans="1:14" s="31" customFormat="1" x14ac:dyDescent="0.3">
      <c r="M15" s="86" t="s">
        <v>23</v>
      </c>
      <c r="N15" s="85">
        <f>SUM(N10:N14)</f>
        <v>4.0578145638400001</v>
      </c>
    </row>
    <row r="17" spans="1:10" s="31" customFormat="1" x14ac:dyDescent="0.3">
      <c r="A17" s="84" t="s">
        <v>19</v>
      </c>
      <c r="B17" s="84" t="s">
        <v>49</v>
      </c>
      <c r="C17" s="84" t="s">
        <v>31</v>
      </c>
      <c r="D17" s="84" t="s">
        <v>32</v>
      </c>
      <c r="E17" s="84" t="s">
        <v>50</v>
      </c>
      <c r="F17" s="84" t="s">
        <v>22</v>
      </c>
      <c r="G17" s="84" t="s">
        <v>51</v>
      </c>
      <c r="H17" s="84" t="s">
        <v>52</v>
      </c>
      <c r="I17" s="84" t="s">
        <v>23</v>
      </c>
    </row>
    <row r="18" spans="1:10" ht="28.8" x14ac:dyDescent="0.3">
      <c r="A18" s="36">
        <v>10</v>
      </c>
      <c r="B18" s="33" t="s">
        <v>99</v>
      </c>
      <c r="C18" s="62" t="s">
        <v>136</v>
      </c>
      <c r="D18" s="35">
        <v>0.15</v>
      </c>
      <c r="E18" s="33" t="s">
        <v>55</v>
      </c>
      <c r="F18" s="36">
        <v>8</v>
      </c>
      <c r="G18" s="36"/>
      <c r="H18" s="36"/>
      <c r="I18" s="49">
        <f t="shared" ref="I18:I26" si="0">IF(H18="",D18*F18,D18*F18*H18)</f>
        <v>1.2</v>
      </c>
    </row>
    <row r="19" spans="1:10" x14ac:dyDescent="0.3">
      <c r="A19" s="32">
        <v>20</v>
      </c>
      <c r="B19" s="33" t="s">
        <v>93</v>
      </c>
      <c r="C19" s="32" t="s">
        <v>101</v>
      </c>
      <c r="D19" s="35">
        <v>1.3</v>
      </c>
      <c r="E19" s="32" t="s">
        <v>50</v>
      </c>
      <c r="F19" s="32">
        <v>1</v>
      </c>
      <c r="G19" s="33"/>
      <c r="H19" s="36"/>
      <c r="I19" s="49">
        <f t="shared" si="0"/>
        <v>1.3</v>
      </c>
    </row>
    <row r="20" spans="1:10" x14ac:dyDescent="0.3">
      <c r="A20" s="36">
        <v>30</v>
      </c>
      <c r="B20" s="33" t="s">
        <v>103</v>
      </c>
      <c r="C20" s="32" t="s">
        <v>101</v>
      </c>
      <c r="D20" s="35">
        <v>0.35</v>
      </c>
      <c r="E20" s="33" t="s">
        <v>104</v>
      </c>
      <c r="F20" s="36">
        <v>1</v>
      </c>
      <c r="G20" s="36"/>
      <c r="H20" s="36"/>
      <c r="I20" s="49">
        <f t="shared" si="0"/>
        <v>0.35</v>
      </c>
    </row>
    <row r="21" spans="1:10" x14ac:dyDescent="0.3">
      <c r="A21" s="32">
        <v>40</v>
      </c>
      <c r="B21" s="33" t="s">
        <v>93</v>
      </c>
      <c r="C21" s="32" t="s">
        <v>137</v>
      </c>
      <c r="D21" s="35">
        <v>1.3</v>
      </c>
      <c r="E21" s="32" t="s">
        <v>50</v>
      </c>
      <c r="F21" s="32">
        <v>1</v>
      </c>
      <c r="G21" s="33"/>
      <c r="H21" s="36"/>
      <c r="I21" s="49">
        <f t="shared" si="0"/>
        <v>1.3</v>
      </c>
    </row>
    <row r="22" spans="1:10" x14ac:dyDescent="0.3">
      <c r="A22" s="36">
        <v>50</v>
      </c>
      <c r="B22" s="33" t="s">
        <v>103</v>
      </c>
      <c r="C22" s="32" t="s">
        <v>137</v>
      </c>
      <c r="D22" s="35">
        <v>0.35</v>
      </c>
      <c r="E22" s="33" t="s">
        <v>104</v>
      </c>
      <c r="F22" s="36">
        <v>1</v>
      </c>
      <c r="G22" s="36"/>
      <c r="H22" s="36"/>
      <c r="I22" s="49">
        <f t="shared" si="0"/>
        <v>0.35</v>
      </c>
    </row>
    <row r="23" spans="1:10" x14ac:dyDescent="0.3">
      <c r="A23" s="32">
        <v>60</v>
      </c>
      <c r="B23" s="33" t="s">
        <v>105</v>
      </c>
      <c r="C23" s="36" t="s">
        <v>138</v>
      </c>
      <c r="D23" s="35">
        <v>0.1</v>
      </c>
      <c r="E23" s="33" t="s">
        <v>55</v>
      </c>
      <c r="F23" s="36">
        <v>1</v>
      </c>
      <c r="G23" s="36" t="s">
        <v>95</v>
      </c>
      <c r="H23" s="36">
        <v>1</v>
      </c>
      <c r="I23" s="49">
        <f t="shared" si="0"/>
        <v>0.1</v>
      </c>
    </row>
    <row r="24" spans="1:10" x14ac:dyDescent="0.3">
      <c r="A24" s="36">
        <v>70</v>
      </c>
      <c r="B24" s="33" t="s">
        <v>93</v>
      </c>
      <c r="C24" s="32" t="s">
        <v>134</v>
      </c>
      <c r="D24" s="35">
        <f>1.3</f>
        <v>1.3</v>
      </c>
      <c r="E24" s="32" t="s">
        <v>50</v>
      </c>
      <c r="F24" s="32">
        <v>2</v>
      </c>
      <c r="G24" s="33"/>
      <c r="H24" s="36"/>
      <c r="I24" s="49">
        <f t="shared" si="0"/>
        <v>2.6</v>
      </c>
    </row>
    <row r="25" spans="1:10" x14ac:dyDescent="0.3">
      <c r="A25" s="32">
        <v>80</v>
      </c>
      <c r="B25" s="33" t="s">
        <v>103</v>
      </c>
      <c r="C25" s="32" t="s">
        <v>134</v>
      </c>
      <c r="D25" s="35">
        <v>0.35</v>
      </c>
      <c r="E25" s="33" t="s">
        <v>104</v>
      </c>
      <c r="F25" s="36">
        <v>2</v>
      </c>
      <c r="G25" s="36"/>
      <c r="H25" s="36"/>
      <c r="I25" s="49">
        <f t="shared" si="0"/>
        <v>0.7</v>
      </c>
    </row>
    <row r="26" spans="1:10" x14ac:dyDescent="0.3">
      <c r="A26" s="36">
        <v>90</v>
      </c>
      <c r="B26" s="33" t="s">
        <v>53</v>
      </c>
      <c r="C26" s="62" t="s">
        <v>106</v>
      </c>
      <c r="D26" s="35">
        <v>0.15</v>
      </c>
      <c r="E26" s="33" t="s">
        <v>55</v>
      </c>
      <c r="F26" s="36">
        <v>10</v>
      </c>
      <c r="G26" s="36"/>
      <c r="H26" s="36"/>
      <c r="I26" s="49">
        <f t="shared" si="0"/>
        <v>1.5</v>
      </c>
    </row>
    <row r="27" spans="1:10" x14ac:dyDescent="0.3">
      <c r="A27" s="32">
        <v>100</v>
      </c>
      <c r="B27" s="33" t="s">
        <v>107</v>
      </c>
      <c r="C27" s="62" t="s">
        <v>151</v>
      </c>
      <c r="D27" s="35">
        <v>0.06</v>
      </c>
      <c r="E27" s="33" t="s">
        <v>55</v>
      </c>
      <c r="F27" s="36">
        <v>4</v>
      </c>
      <c r="G27" s="36"/>
      <c r="H27" s="36"/>
      <c r="I27" s="49">
        <f t="shared" ref="I27:I29" si="1">IF(H27="",D27*F27,D27*F27*H27)</f>
        <v>0.24</v>
      </c>
    </row>
    <row r="28" spans="1:10" ht="28.8" x14ac:dyDescent="0.3">
      <c r="A28" s="36">
        <v>110</v>
      </c>
      <c r="B28" s="33" t="s">
        <v>108</v>
      </c>
      <c r="C28" s="62" t="s">
        <v>155</v>
      </c>
      <c r="D28" s="35">
        <v>0.19</v>
      </c>
      <c r="E28" s="33" t="s">
        <v>50</v>
      </c>
      <c r="F28" s="36">
        <v>6</v>
      </c>
      <c r="G28" s="36"/>
      <c r="H28" s="36"/>
      <c r="I28" s="49">
        <f t="shared" si="1"/>
        <v>1.1400000000000001</v>
      </c>
    </row>
    <row r="29" spans="1:10" ht="28.8" x14ac:dyDescent="0.3">
      <c r="A29" s="32">
        <v>120</v>
      </c>
      <c r="B29" s="33" t="s">
        <v>65</v>
      </c>
      <c r="C29" s="39" t="s">
        <v>156</v>
      </c>
      <c r="D29" s="35">
        <v>0.5</v>
      </c>
      <c r="E29" s="32" t="s">
        <v>50</v>
      </c>
      <c r="F29" s="32">
        <v>4</v>
      </c>
      <c r="G29" s="33"/>
      <c r="H29" s="36"/>
      <c r="I29" s="49"/>
    </row>
    <row r="30" spans="1:10" s="31" customFormat="1" x14ac:dyDescent="0.3">
      <c r="H30" s="86" t="s">
        <v>23</v>
      </c>
      <c r="I30" s="85">
        <f>SUM(I18:I29)</f>
        <v>10.78</v>
      </c>
    </row>
    <row r="32" spans="1:10" s="31" customFormat="1" x14ac:dyDescent="0.3">
      <c r="A32" s="84" t="s">
        <v>19</v>
      </c>
      <c r="B32" s="84" t="s">
        <v>72</v>
      </c>
      <c r="C32" s="84" t="s">
        <v>31</v>
      </c>
      <c r="D32" s="84" t="s">
        <v>32</v>
      </c>
      <c r="E32" s="84" t="s">
        <v>33</v>
      </c>
      <c r="F32" s="84" t="s">
        <v>34</v>
      </c>
      <c r="G32" s="84" t="s">
        <v>35</v>
      </c>
      <c r="H32" s="84" t="s">
        <v>36</v>
      </c>
      <c r="I32" s="84" t="s">
        <v>22</v>
      </c>
      <c r="J32" s="84" t="s">
        <v>23</v>
      </c>
    </row>
    <row r="33" spans="1:10" x14ac:dyDescent="0.3">
      <c r="A33" s="32">
        <v>10</v>
      </c>
      <c r="B33" s="32" t="s">
        <v>79</v>
      </c>
      <c r="C33" s="32" t="s">
        <v>153</v>
      </c>
      <c r="D33" s="35">
        <f>0.004*E33+0.5</f>
        <v>0.54</v>
      </c>
      <c r="E33" s="32">
        <v>10</v>
      </c>
      <c r="F33" s="47" t="s">
        <v>43</v>
      </c>
      <c r="G33" s="32"/>
      <c r="H33" s="37"/>
      <c r="I33" s="70">
        <v>2</v>
      </c>
      <c r="J33" s="49">
        <f>I33*D33</f>
        <v>1.08</v>
      </c>
    </row>
    <row r="34" spans="1:10" x14ac:dyDescent="0.3">
      <c r="A34" s="32">
        <v>20</v>
      </c>
      <c r="B34" s="32" t="s">
        <v>79</v>
      </c>
      <c r="C34" s="32" t="s">
        <v>152</v>
      </c>
      <c r="D34" s="35">
        <f>0.004*E34+0.5</f>
        <v>0.72</v>
      </c>
      <c r="E34" s="32">
        <v>55</v>
      </c>
      <c r="F34" s="47" t="s">
        <v>43</v>
      </c>
      <c r="G34" s="32"/>
      <c r="H34" s="37"/>
      <c r="I34" s="70">
        <v>1</v>
      </c>
      <c r="J34" s="49">
        <f>I34*D34</f>
        <v>0.72</v>
      </c>
    </row>
    <row r="35" spans="1:10" x14ac:dyDescent="0.3">
      <c r="A35" s="32">
        <v>30</v>
      </c>
      <c r="B35" s="32" t="s">
        <v>79</v>
      </c>
      <c r="C35" s="32" t="s">
        <v>154</v>
      </c>
      <c r="D35" s="35">
        <f>0.004*E35+0.5</f>
        <v>0.72</v>
      </c>
      <c r="E35" s="32">
        <v>55</v>
      </c>
      <c r="F35" s="47" t="s">
        <v>43</v>
      </c>
      <c r="G35" s="32"/>
      <c r="H35" s="37"/>
      <c r="I35" s="70">
        <v>1</v>
      </c>
      <c r="J35" s="49">
        <f>I35*D35</f>
        <v>0.72</v>
      </c>
    </row>
    <row r="36" spans="1:10" s="31" customFormat="1" x14ac:dyDescent="0.3">
      <c r="I36" s="86" t="s">
        <v>23</v>
      </c>
      <c r="J36" s="85">
        <f>SUM(J33:J35)</f>
        <v>2.52</v>
      </c>
    </row>
    <row r="37" spans="1:10" x14ac:dyDescent="0.3">
      <c r="H37" s="50"/>
      <c r="I37" s="65"/>
    </row>
    <row r="38" spans="1:10" s="31" customFormat="1" x14ac:dyDescent="0.3">
      <c r="A38" s="84" t="s">
        <v>19</v>
      </c>
      <c r="B38" s="84" t="s">
        <v>80</v>
      </c>
      <c r="C38" s="84" t="s">
        <v>31</v>
      </c>
      <c r="D38" s="84" t="s">
        <v>32</v>
      </c>
      <c r="E38" s="84" t="s">
        <v>50</v>
      </c>
      <c r="F38" s="84" t="s">
        <v>22</v>
      </c>
      <c r="G38" s="84" t="s">
        <v>81</v>
      </c>
      <c r="H38" s="84" t="s">
        <v>82</v>
      </c>
      <c r="I38" s="84" t="s">
        <v>23</v>
      </c>
    </row>
    <row r="39" spans="1:10" x14ac:dyDescent="0.3">
      <c r="A39" s="32">
        <v>10</v>
      </c>
      <c r="B39" s="32" t="s">
        <v>83</v>
      </c>
      <c r="C39" s="32"/>
      <c r="D39" s="38">
        <v>500</v>
      </c>
      <c r="E39" s="32" t="s">
        <v>84</v>
      </c>
      <c r="F39" s="32">
        <v>6</v>
      </c>
      <c r="G39" s="32">
        <v>3000</v>
      </c>
      <c r="H39" s="32">
        <v>1</v>
      </c>
      <c r="I39" s="49">
        <f>D39*F39/G39*H39</f>
        <v>1</v>
      </c>
    </row>
    <row r="40" spans="1:10" s="31" customFormat="1" x14ac:dyDescent="0.3">
      <c r="H40" s="86" t="s">
        <v>23</v>
      </c>
      <c r="I40" s="91">
        <f>SUM(I39:I39)</f>
        <v>1</v>
      </c>
    </row>
    <row r="41" spans="1:10" x14ac:dyDescent="0.3">
      <c r="H41" s="50"/>
      <c r="I41" s="65"/>
    </row>
  </sheetData>
  <hyperlinks>
    <hyperlink ref="F1" location="BOM!A1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2" orientation="landscape" horizontalDpi="0" verticalDpi="0" r:id="rId1"/>
  <headerFoot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17"/>
  <sheetViews>
    <sheetView zoomScale="90" zoomScaleNormal="90" zoomScalePageLayoutView="49" workbookViewId="0">
      <selection activeCell="F38" sqref="F38"/>
    </sheetView>
  </sheetViews>
  <sheetFormatPr baseColWidth="10" defaultColWidth="7.6640625" defaultRowHeight="14.4" x14ac:dyDescent="0.3"/>
  <cols>
    <col min="1" max="1" width="10.33203125" style="1" bestFit="1" customWidth="1"/>
    <col min="2" max="2" width="34.109375" style="1" bestFit="1" customWidth="1"/>
    <col min="3" max="3" width="9.33203125" style="1" bestFit="1" customWidth="1"/>
    <col min="4" max="4" width="8.77734375" style="1" bestFit="1" customWidth="1"/>
    <col min="5" max="5" width="8" style="1" customWidth="1"/>
    <col min="6" max="6" width="12" style="1" bestFit="1" customWidth="1"/>
    <col min="7" max="7" width="14.44140625" style="1" bestFit="1" customWidth="1"/>
    <col min="8" max="8" width="9.6640625" style="1" bestFit="1" customWidth="1"/>
    <col min="9" max="9" width="16.44140625" style="1" bestFit="1" customWidth="1"/>
    <col min="10" max="10" width="8.77734375" style="1" bestFit="1" customWidth="1"/>
    <col min="11" max="11" width="7" style="1" bestFit="1" customWidth="1"/>
    <col min="12" max="12" width="7.6640625" style="1" bestFit="1" customWidth="1"/>
    <col min="13" max="13" width="13.6640625" style="1" bestFit="1" customWidth="1"/>
    <col min="14" max="14" width="9.109375" style="1" bestFit="1" customWidth="1"/>
    <col min="15" max="15" width="7.6640625" style="1"/>
    <col min="16" max="16" width="7.6640625" style="1" bestFit="1" customWidth="1"/>
    <col min="17" max="18" width="7.6640625" style="1"/>
    <col min="19" max="19" width="8.6640625" style="1" bestFit="1" customWidth="1"/>
    <col min="20" max="20" width="7.6640625" style="1" bestFit="1" customWidth="1"/>
    <col min="21" max="21" width="7.6640625" style="1"/>
    <col min="22" max="22" width="7.6640625" style="1" bestFit="1" customWidth="1"/>
    <col min="23" max="23" width="7.6640625" style="1"/>
    <col min="24" max="25" width="8.44140625" style="1" bestFit="1" customWidth="1"/>
    <col min="26" max="28" width="7.6640625" style="1" bestFit="1" customWidth="1"/>
    <col min="29" max="16384" width="7.6640625" style="1"/>
  </cols>
  <sheetData>
    <row r="1" spans="1:14" x14ac:dyDescent="0.3">
      <c r="A1" s="80" t="s">
        <v>0</v>
      </c>
      <c r="B1" s="1" t="s">
        <v>1</v>
      </c>
      <c r="F1" s="2" t="s">
        <v>2</v>
      </c>
      <c r="J1" s="82" t="s">
        <v>3</v>
      </c>
      <c r="K1" s="3">
        <v>81</v>
      </c>
      <c r="M1" s="80" t="s">
        <v>21</v>
      </c>
      <c r="N1" s="7">
        <f>N11+I16</f>
        <v>1.738382125</v>
      </c>
    </row>
    <row r="2" spans="1:14" x14ac:dyDescent="0.3">
      <c r="A2" s="80" t="s">
        <v>5</v>
      </c>
      <c r="B2" s="1" t="s">
        <v>6</v>
      </c>
      <c r="C2" s="50" t="s">
        <v>124</v>
      </c>
      <c r="D2" s="81" t="s">
        <v>10</v>
      </c>
      <c r="M2" s="80" t="s">
        <v>7</v>
      </c>
      <c r="N2" s="5">
        <v>2</v>
      </c>
    </row>
    <row r="3" spans="1:14" x14ac:dyDescent="0.3">
      <c r="A3" s="80" t="s">
        <v>8</v>
      </c>
      <c r="B3" s="2" t="s">
        <v>9</v>
      </c>
      <c r="D3" s="80" t="s">
        <v>12</v>
      </c>
      <c r="J3" s="80" t="s">
        <v>10</v>
      </c>
    </row>
    <row r="4" spans="1:14" x14ac:dyDescent="0.3">
      <c r="A4" s="80" t="s">
        <v>20</v>
      </c>
      <c r="B4" s="1" t="s">
        <v>27</v>
      </c>
      <c r="D4" s="80" t="s">
        <v>16</v>
      </c>
      <c r="J4" s="80" t="s">
        <v>12</v>
      </c>
      <c r="M4" s="80" t="s">
        <v>13</v>
      </c>
      <c r="N4" s="7">
        <f>N1*N2</f>
        <v>3.47676425</v>
      </c>
    </row>
    <row r="5" spans="1:14" x14ac:dyDescent="0.3">
      <c r="A5" s="80" t="s">
        <v>11</v>
      </c>
      <c r="B5" s="6" t="s">
        <v>139</v>
      </c>
      <c r="J5" s="80" t="s">
        <v>16</v>
      </c>
    </row>
    <row r="6" spans="1:14" x14ac:dyDescent="0.3">
      <c r="A6" s="80" t="s">
        <v>14</v>
      </c>
      <c r="B6" s="1" t="s">
        <v>15</v>
      </c>
    </row>
    <row r="7" spans="1:14" x14ac:dyDescent="0.3">
      <c r="A7" s="80" t="s">
        <v>17</v>
      </c>
    </row>
    <row r="9" spans="1:14" s="31" customFormat="1" x14ac:dyDescent="0.3">
      <c r="A9" s="84" t="s">
        <v>19</v>
      </c>
      <c r="B9" s="84" t="s">
        <v>30</v>
      </c>
      <c r="C9" s="84" t="s">
        <v>31</v>
      </c>
      <c r="D9" s="84" t="s">
        <v>32</v>
      </c>
      <c r="E9" s="84" t="s">
        <v>33</v>
      </c>
      <c r="F9" s="84"/>
      <c r="G9" s="84" t="s">
        <v>35</v>
      </c>
      <c r="H9" s="84" t="s">
        <v>36</v>
      </c>
      <c r="I9" s="84" t="s">
        <v>37</v>
      </c>
      <c r="J9" s="84" t="s">
        <v>38</v>
      </c>
      <c r="K9" s="84" t="s">
        <v>39</v>
      </c>
      <c r="L9" s="84" t="s">
        <v>40</v>
      </c>
      <c r="M9" s="84" t="s">
        <v>22</v>
      </c>
      <c r="N9" s="84" t="s">
        <v>23</v>
      </c>
    </row>
    <row r="10" spans="1:14" ht="28.8" x14ac:dyDescent="0.3">
      <c r="A10" s="24">
        <v>10</v>
      </c>
      <c r="B10" s="59" t="s">
        <v>125</v>
      </c>
      <c r="C10" s="39"/>
      <c r="D10" s="25">
        <v>2.25</v>
      </c>
      <c r="E10" s="52">
        <f>J10*K10*L10</f>
        <v>1.4836500000000001E-2</v>
      </c>
      <c r="F10" s="24" t="s">
        <v>88</v>
      </c>
      <c r="G10" s="24"/>
      <c r="H10" s="26"/>
      <c r="I10" s="53" t="s">
        <v>141</v>
      </c>
      <c r="J10" s="55">
        <f>30*42/1000000</f>
        <v>1.2600000000000001E-3</v>
      </c>
      <c r="K10" s="58">
        <f>1.5/1000</f>
        <v>1.5E-3</v>
      </c>
      <c r="L10" s="67">
        <v>7850</v>
      </c>
      <c r="M10" s="68">
        <v>1</v>
      </c>
      <c r="N10" s="69">
        <f>IF(J10="",D10*M10,D10*J10*K10*L10*M10)</f>
        <v>3.3382125000000006E-2</v>
      </c>
    </row>
    <row r="11" spans="1:14" s="31" customFormat="1" x14ac:dyDescent="0.3">
      <c r="M11" s="86" t="s">
        <v>23</v>
      </c>
      <c r="N11" s="85">
        <f>SUM(N10:N10)</f>
        <v>3.3382125000000006E-2</v>
      </c>
    </row>
    <row r="13" spans="1:14" s="31" customFormat="1" x14ac:dyDescent="0.3">
      <c r="A13" s="84" t="s">
        <v>19</v>
      </c>
      <c r="B13" s="84" t="s">
        <v>49</v>
      </c>
      <c r="C13" s="84" t="s">
        <v>31</v>
      </c>
      <c r="D13" s="84" t="s">
        <v>32</v>
      </c>
      <c r="E13" s="84" t="s">
        <v>50</v>
      </c>
      <c r="F13" s="84" t="s">
        <v>22</v>
      </c>
      <c r="G13" s="84" t="s">
        <v>51</v>
      </c>
      <c r="H13" s="84" t="s">
        <v>52</v>
      </c>
      <c r="I13" s="84" t="s">
        <v>23</v>
      </c>
    </row>
    <row r="14" spans="1:14" x14ac:dyDescent="0.3">
      <c r="A14" s="36">
        <v>10</v>
      </c>
      <c r="B14" s="33" t="s">
        <v>93</v>
      </c>
      <c r="C14" s="36"/>
      <c r="D14" s="35">
        <v>1.3</v>
      </c>
      <c r="E14" s="32" t="s">
        <v>50</v>
      </c>
      <c r="F14" s="36">
        <v>1</v>
      </c>
      <c r="G14" s="36"/>
      <c r="H14" s="36">
        <v>1</v>
      </c>
      <c r="I14" s="69">
        <f>IF(H14="",D14*F14,D14*F14*H14)</f>
        <v>1.3</v>
      </c>
    </row>
    <row r="15" spans="1:14" x14ac:dyDescent="0.3">
      <c r="A15" s="32">
        <v>20</v>
      </c>
      <c r="B15" s="33" t="s">
        <v>96</v>
      </c>
      <c r="C15" s="32"/>
      <c r="D15" s="35">
        <v>0.01</v>
      </c>
      <c r="E15" s="32" t="s">
        <v>55</v>
      </c>
      <c r="F15" s="32">
        <v>13.5</v>
      </c>
      <c r="G15" s="33" t="s">
        <v>126</v>
      </c>
      <c r="H15" s="36">
        <v>3</v>
      </c>
      <c r="I15" s="69">
        <f>IF(H15="",D15*F15,D15*F15*H15)</f>
        <v>0.40500000000000003</v>
      </c>
    </row>
    <row r="16" spans="1:14" s="31" customFormat="1" x14ac:dyDescent="0.3">
      <c r="H16" s="86" t="s">
        <v>23</v>
      </c>
      <c r="I16" s="85">
        <f>SUM(I14:I15)</f>
        <v>1.7050000000000001</v>
      </c>
    </row>
    <row r="17" spans="8:9" x14ac:dyDescent="0.3">
      <c r="H17" s="50"/>
      <c r="I17" s="65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90" zoomScaleNormal="90" zoomScalePageLayoutView="49" workbookViewId="0">
      <selection activeCell="F38" sqref="F38"/>
    </sheetView>
  </sheetViews>
  <sheetFormatPr baseColWidth="10" defaultRowHeight="14.4" x14ac:dyDescent="0.3"/>
  <sheetData>
    <row r="1" spans="1:1" x14ac:dyDescent="0.3">
      <c r="A1" s="66" t="s">
        <v>139</v>
      </c>
    </row>
  </sheetData>
  <hyperlinks>
    <hyperlink ref="A1" location="'EN 05004'!A1" display="EN 05004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17"/>
  <sheetViews>
    <sheetView zoomScale="90" zoomScaleNormal="90" zoomScalePageLayoutView="49" workbookViewId="0">
      <selection activeCell="F38" sqref="F38"/>
    </sheetView>
  </sheetViews>
  <sheetFormatPr baseColWidth="10" defaultColWidth="7.6640625" defaultRowHeight="14.4" x14ac:dyDescent="0.3"/>
  <cols>
    <col min="1" max="1" width="10.33203125" style="1" bestFit="1" customWidth="1"/>
    <col min="2" max="2" width="34.109375" style="1" bestFit="1" customWidth="1"/>
    <col min="3" max="3" width="9.33203125" style="1" bestFit="1" customWidth="1"/>
    <col min="4" max="4" width="8.77734375" style="1" bestFit="1" customWidth="1"/>
    <col min="5" max="5" width="6.88671875" style="1" customWidth="1"/>
    <col min="6" max="6" width="12" style="1" bestFit="1" customWidth="1"/>
    <col min="7" max="7" width="14.44140625" style="1" bestFit="1" customWidth="1"/>
    <col min="8" max="8" width="9.6640625" style="1" bestFit="1" customWidth="1"/>
    <col min="9" max="9" width="16.44140625" style="1" bestFit="1" customWidth="1"/>
    <col min="10" max="10" width="8.77734375" style="1" bestFit="1" customWidth="1"/>
    <col min="11" max="11" width="7" style="1" bestFit="1" customWidth="1"/>
    <col min="12" max="12" width="7.6640625" style="1" bestFit="1" customWidth="1"/>
    <col min="13" max="13" width="13.6640625" style="1" bestFit="1" customWidth="1"/>
    <col min="14" max="14" width="9.109375" style="1" bestFit="1" customWidth="1"/>
    <col min="15" max="15" width="7.6640625" style="1"/>
    <col min="16" max="16" width="7.6640625" style="1" bestFit="1" customWidth="1"/>
    <col min="17" max="18" width="7.6640625" style="1"/>
    <col min="19" max="19" width="8.6640625" style="1" bestFit="1" customWidth="1"/>
    <col min="20" max="20" width="7.6640625" style="1" bestFit="1" customWidth="1"/>
    <col min="21" max="21" width="7.6640625" style="1"/>
    <col min="22" max="22" width="7.6640625" style="1" bestFit="1" customWidth="1"/>
    <col min="23" max="23" width="7.6640625" style="1"/>
    <col min="24" max="25" width="8.44140625" style="1" bestFit="1" customWidth="1"/>
    <col min="26" max="28" width="7.6640625" style="1" bestFit="1" customWidth="1"/>
    <col min="29" max="16384" width="7.6640625" style="1"/>
  </cols>
  <sheetData>
    <row r="1" spans="1:14" x14ac:dyDescent="0.3">
      <c r="A1" s="80" t="s">
        <v>0</v>
      </c>
      <c r="B1" s="1" t="s">
        <v>1</v>
      </c>
      <c r="F1" s="2" t="s">
        <v>2</v>
      </c>
      <c r="J1" s="82" t="s">
        <v>3</v>
      </c>
      <c r="K1" s="3">
        <v>81</v>
      </c>
      <c r="M1" s="80" t="s">
        <v>21</v>
      </c>
      <c r="N1" s="7">
        <f>N11+I16</f>
        <v>1.884868</v>
      </c>
    </row>
    <row r="2" spans="1:14" x14ac:dyDescent="0.3">
      <c r="A2" s="80" t="s">
        <v>5</v>
      </c>
      <c r="B2" s="1" t="s">
        <v>6</v>
      </c>
      <c r="C2" s="75" t="s">
        <v>124</v>
      </c>
      <c r="D2" s="81" t="s">
        <v>10</v>
      </c>
      <c r="M2" s="80" t="s">
        <v>7</v>
      </c>
      <c r="N2" s="5">
        <v>2</v>
      </c>
    </row>
    <row r="3" spans="1:14" x14ac:dyDescent="0.3">
      <c r="A3" s="80" t="s">
        <v>8</v>
      </c>
      <c r="B3" s="2" t="s">
        <v>9</v>
      </c>
      <c r="D3" s="80" t="s">
        <v>12</v>
      </c>
      <c r="J3" s="80" t="s">
        <v>10</v>
      </c>
    </row>
    <row r="4" spans="1:14" x14ac:dyDescent="0.3">
      <c r="A4" s="80" t="s">
        <v>20</v>
      </c>
      <c r="B4" s="1" t="s">
        <v>28</v>
      </c>
      <c r="D4" s="80" t="s">
        <v>16</v>
      </c>
      <c r="J4" s="80" t="s">
        <v>12</v>
      </c>
      <c r="M4" s="80" t="s">
        <v>13</v>
      </c>
      <c r="N4" s="7">
        <f>N1*N2</f>
        <v>3.769736</v>
      </c>
    </row>
    <row r="5" spans="1:14" x14ac:dyDescent="0.3">
      <c r="A5" s="80" t="s">
        <v>11</v>
      </c>
      <c r="B5" s="6" t="s">
        <v>140</v>
      </c>
      <c r="J5" s="80" t="s">
        <v>16</v>
      </c>
    </row>
    <row r="6" spans="1:14" x14ac:dyDescent="0.3">
      <c r="A6" s="80" t="s">
        <v>14</v>
      </c>
      <c r="B6" s="1" t="s">
        <v>15</v>
      </c>
    </row>
    <row r="7" spans="1:14" x14ac:dyDescent="0.3">
      <c r="A7" s="80" t="s">
        <v>17</v>
      </c>
    </row>
    <row r="9" spans="1:14" s="31" customFormat="1" x14ac:dyDescent="0.3">
      <c r="A9" s="84" t="s">
        <v>19</v>
      </c>
      <c r="B9" s="84" t="s">
        <v>30</v>
      </c>
      <c r="C9" s="84" t="s">
        <v>31</v>
      </c>
      <c r="D9" s="84" t="s">
        <v>32</v>
      </c>
      <c r="E9" s="84" t="s">
        <v>33</v>
      </c>
      <c r="F9" s="84"/>
      <c r="G9" s="84" t="s">
        <v>35</v>
      </c>
      <c r="H9" s="84" t="s">
        <v>36</v>
      </c>
      <c r="I9" s="84" t="s">
        <v>37</v>
      </c>
      <c r="J9" s="84" t="s">
        <v>38</v>
      </c>
      <c r="K9" s="84" t="s">
        <v>39</v>
      </c>
      <c r="L9" s="84" t="s">
        <v>40</v>
      </c>
      <c r="M9" s="84" t="s">
        <v>22</v>
      </c>
      <c r="N9" s="84" t="s">
        <v>23</v>
      </c>
    </row>
    <row r="10" spans="1:14" ht="28.8" x14ac:dyDescent="0.3">
      <c r="A10" s="24">
        <v>10</v>
      </c>
      <c r="B10" s="59" t="s">
        <v>125</v>
      </c>
      <c r="C10" s="39"/>
      <c r="D10" s="25">
        <v>2.25</v>
      </c>
      <c r="E10" s="52">
        <f>J10*K10*L10</f>
        <v>2.2608000000000003E-2</v>
      </c>
      <c r="F10" s="24" t="s">
        <v>88</v>
      </c>
      <c r="G10" s="24"/>
      <c r="H10" s="26"/>
      <c r="I10" s="53" t="s">
        <v>142</v>
      </c>
      <c r="J10" s="55">
        <f>48*30/1000000</f>
        <v>1.4400000000000001E-3</v>
      </c>
      <c r="K10" s="58">
        <f>2/1000</f>
        <v>2E-3</v>
      </c>
      <c r="L10" s="67">
        <v>7850</v>
      </c>
      <c r="M10" s="68">
        <v>1</v>
      </c>
      <c r="N10" s="69">
        <f>IF(J10="",D10*M10,D10*J10*K10*L10*M10)</f>
        <v>5.0868000000000003E-2</v>
      </c>
    </row>
    <row r="11" spans="1:14" s="31" customFormat="1" x14ac:dyDescent="0.3">
      <c r="M11" s="86" t="s">
        <v>23</v>
      </c>
      <c r="N11" s="85">
        <f>SUM(N10:N10)</f>
        <v>5.0868000000000003E-2</v>
      </c>
    </row>
    <row r="13" spans="1:14" s="31" customFormat="1" x14ac:dyDescent="0.3">
      <c r="A13" s="84" t="s">
        <v>19</v>
      </c>
      <c r="B13" s="84" t="s">
        <v>49</v>
      </c>
      <c r="C13" s="84" t="s">
        <v>31</v>
      </c>
      <c r="D13" s="84" t="s">
        <v>32</v>
      </c>
      <c r="E13" s="84" t="s">
        <v>50</v>
      </c>
      <c r="F13" s="84" t="s">
        <v>22</v>
      </c>
      <c r="G13" s="84" t="s">
        <v>51</v>
      </c>
      <c r="H13" s="84" t="s">
        <v>52</v>
      </c>
      <c r="I13" s="84" t="s">
        <v>23</v>
      </c>
    </row>
    <row r="14" spans="1:14" x14ac:dyDescent="0.3">
      <c r="A14" s="36">
        <v>10</v>
      </c>
      <c r="B14" s="33" t="s">
        <v>93</v>
      </c>
      <c r="C14" s="36"/>
      <c r="D14" s="35">
        <v>1.3</v>
      </c>
      <c r="E14" s="32" t="s">
        <v>50</v>
      </c>
      <c r="F14" s="36">
        <v>1</v>
      </c>
      <c r="G14" s="36"/>
      <c r="H14" s="36">
        <v>1</v>
      </c>
      <c r="I14" s="69">
        <f>IF(H14="",D14*F14,D14*F14*H14)</f>
        <v>1.3</v>
      </c>
    </row>
    <row r="15" spans="1:14" x14ac:dyDescent="0.3">
      <c r="A15" s="32">
        <v>20</v>
      </c>
      <c r="B15" s="33" t="s">
        <v>96</v>
      </c>
      <c r="C15" s="32"/>
      <c r="D15" s="35">
        <v>0.01</v>
      </c>
      <c r="E15" s="32" t="s">
        <v>55</v>
      </c>
      <c r="F15" s="32">
        <v>17.8</v>
      </c>
      <c r="G15" s="33" t="s">
        <v>126</v>
      </c>
      <c r="H15" s="36">
        <v>3</v>
      </c>
      <c r="I15" s="69">
        <f>IF(H15="",D15*F15,D15*F15*H15)</f>
        <v>0.53400000000000003</v>
      </c>
    </row>
    <row r="16" spans="1:14" s="31" customFormat="1" x14ac:dyDescent="0.3">
      <c r="H16" s="86" t="s">
        <v>23</v>
      </c>
      <c r="I16" s="85">
        <f>SUM(I14:I15)</f>
        <v>1.8340000000000001</v>
      </c>
    </row>
    <row r="17" spans="8:9" x14ac:dyDescent="0.3">
      <c r="H17" s="50"/>
      <c r="I17" s="65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90" zoomScaleNormal="90" zoomScalePageLayoutView="49" workbookViewId="0">
      <selection activeCell="F38" sqref="F38"/>
    </sheetView>
  </sheetViews>
  <sheetFormatPr baseColWidth="10" defaultRowHeight="14.4" x14ac:dyDescent="0.3"/>
  <sheetData>
    <row r="1" spans="1:1" x14ac:dyDescent="0.3">
      <c r="A1" s="66" t="s">
        <v>140</v>
      </c>
    </row>
  </sheetData>
  <hyperlinks>
    <hyperlink ref="A1" location="'EN 05005'!A1" display="EN 03006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EN A0005</vt:lpstr>
      <vt:lpstr>EN 05001</vt:lpstr>
      <vt:lpstr>EN 05001 Drawing</vt:lpstr>
      <vt:lpstr>EN 05002</vt:lpstr>
      <vt:lpstr>EN 05003</vt:lpstr>
      <vt:lpstr>EN 05004</vt:lpstr>
      <vt:lpstr>EN 05004 Drawing</vt:lpstr>
      <vt:lpstr>EN 05005</vt:lpstr>
      <vt:lpstr>EN 05005 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2018-04-30T07:39:06Z</dcterms:created>
  <dcterms:modified xsi:type="dcterms:W3CDTF">2018-04-30T19:18:04Z</dcterms:modified>
</cp:coreProperties>
</file>