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\Desktop\Cost Tabarnak\"/>
    </mc:Choice>
  </mc:AlternateContent>
  <xr:revisionPtr revIDLastSave="0" documentId="10_ncr:8100000_{4E5353D9-5189-454E-AF8F-3BE4ED63D1DF}" xr6:coauthVersionLast="32" xr6:coauthVersionMax="32" xr10:uidLastSave="{00000000-0000-0000-0000-000000000000}"/>
  <bookViews>
    <workbookView xWindow="0" yWindow="0" windowWidth="25600" windowHeight="10690" xr2:uid="{EEE44918-0846-4B0A-B039-412C016FACBD}"/>
  </bookViews>
  <sheets>
    <sheet name="BOM" sheetId="2" r:id="rId1"/>
    <sheet name="EN A0800" sheetId="4" r:id="rId2"/>
    <sheet name="EN_08001" sheetId="6" r:id="rId3"/>
    <sheet name="dEN_08001" sheetId="24" r:id="rId4"/>
    <sheet name="EN_08002" sheetId="7" r:id="rId5"/>
    <sheet name="dEN_08002" sheetId="8" r:id="rId6"/>
    <sheet name="EN_08003" sheetId="9" r:id="rId7"/>
    <sheet name="dEN_08003" sheetId="10" r:id="rId8"/>
    <sheet name="EN_08004" sheetId="11" r:id="rId9"/>
    <sheet name="dEN_08004" sheetId="12" r:id="rId10"/>
    <sheet name="EN_08005" sheetId="13" r:id="rId11"/>
    <sheet name="EN_08006" sheetId="14" r:id="rId12"/>
    <sheet name="EN_08007" sheetId="15" r:id="rId13"/>
    <sheet name="pEN_08007" sheetId="16" r:id="rId14"/>
    <sheet name="EN_08008" sheetId="17" r:id="rId15"/>
    <sheet name="dEN_08008" sheetId="18" r:id="rId16"/>
    <sheet name="EN_08009" sheetId="19" r:id="rId17"/>
    <sheet name="dEN_08009" sheetId="20" r:id="rId18"/>
    <sheet name="EN_08010" sheetId="22" r:id="rId19"/>
  </sheets>
  <externalReferences>
    <externalReference r:id="rId20"/>
    <externalReference r:id="rId21"/>
    <externalReference r:id="rId22"/>
  </externalReferences>
  <definedNames>
    <definedName name="a">#REF!</definedName>
    <definedName name="EL_A0003_f">#REF!</definedName>
    <definedName name="EL_A0003_m">#REF!</definedName>
    <definedName name="EL_A0003_p">#REF!</definedName>
    <definedName name="EL_A0003_t">#REF!</definedName>
    <definedName name="EN_">#REF!</definedName>
    <definedName name="EN_04001_q">'[1]EN Parts'!$N$541</definedName>
    <definedName name="EN_04002_q">'[1]EN Parts'!$N$572</definedName>
    <definedName name="EN_04003_q">'[1]EN Parts'!$N$594</definedName>
    <definedName name="EN_04004_q">'[1]EN Parts'!$N$616</definedName>
    <definedName name="EN_04005_q">'[1]EN Parts'!$N$637</definedName>
    <definedName name="EN_04006_q">'[1]EN Parts'!$N$658</definedName>
    <definedName name="EN_0800_01_f">#REF!</definedName>
    <definedName name="EN_0800_01_m">#REF!</definedName>
    <definedName name="EN_0800_01_p">#REF!</definedName>
    <definedName name="EN_0800_01_q">#REF!</definedName>
    <definedName name="EN_0800_01_t">#REF!</definedName>
    <definedName name="EN_0800_pa">'EN A0800'!$E$19</definedName>
    <definedName name="EN_0800_q">#REF!</definedName>
    <definedName name="EN_A0800">#REF!</definedName>
    <definedName name="EN_A0800_f">'EN A0800'!$J$62</definedName>
    <definedName name="EN_A0800_m">'EN A0800'!$N$26</definedName>
    <definedName name="EN_A0800_p">'EN A0800'!$I$51</definedName>
    <definedName name="EN_A0800_pa">'EN A0800'!$E$19</definedName>
    <definedName name="EN_A0800_t">'EN A0800'!$I$66</definedName>
    <definedName name="Process_P1">#REF!</definedName>
    <definedName name="Processes">#REF!</definedName>
    <definedName name="Uni">[2]BOM!#REF!</definedName>
    <definedName name="_xlnm.Print_Area" localSheetId="1">'EN A0800'!$A$1:$N$66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9" i="2"/>
  <c r="B10" i="2"/>
  <c r="B11" i="2"/>
  <c r="B12" i="2"/>
  <c r="B13" i="2"/>
  <c r="B14" i="2"/>
  <c r="B15" i="2"/>
  <c r="B16" i="2"/>
  <c r="B17" i="2"/>
  <c r="B8" i="2"/>
  <c r="B7" i="2"/>
  <c r="J10" i="19" l="1"/>
  <c r="N10" i="19" s="1"/>
  <c r="F29" i="15"/>
  <c r="F23" i="15" l="1"/>
  <c r="D23" i="4" l="1"/>
  <c r="N23" i="4"/>
  <c r="J11" i="15" l="1"/>
  <c r="E11" i="15" s="1"/>
  <c r="J10" i="15"/>
  <c r="E10" i="15" s="1"/>
  <c r="D12" i="15"/>
  <c r="N12" i="15" s="1"/>
  <c r="F16" i="13"/>
  <c r="F15" i="13"/>
  <c r="F15" i="9"/>
  <c r="N10" i="9"/>
  <c r="F15" i="6"/>
  <c r="K11" i="6"/>
  <c r="F16" i="6"/>
  <c r="J11" i="6" l="1"/>
  <c r="N24" i="4"/>
  <c r="J22" i="22"/>
  <c r="J23" i="22" s="1"/>
  <c r="I18" i="22"/>
  <c r="I17" i="22"/>
  <c r="I16" i="22"/>
  <c r="I15" i="22"/>
  <c r="I19" i="22" s="1"/>
  <c r="J11" i="22"/>
  <c r="E11" i="22" s="1"/>
  <c r="N11" i="22" s="1"/>
  <c r="N10" i="22"/>
  <c r="D10" i="22"/>
  <c r="I17" i="19"/>
  <c r="I16" i="19"/>
  <c r="I15" i="19"/>
  <c r="I14" i="19"/>
  <c r="N11" i="19"/>
  <c r="N1" i="19" s="1"/>
  <c r="I16" i="17"/>
  <c r="I15" i="17"/>
  <c r="I14" i="17"/>
  <c r="J10" i="17"/>
  <c r="N10" i="17" s="1"/>
  <c r="N11" i="17" s="1"/>
  <c r="N1" i="17" s="1"/>
  <c r="I36" i="15"/>
  <c r="I37" i="15" s="1"/>
  <c r="I32" i="15"/>
  <c r="I31" i="15"/>
  <c r="I30" i="15"/>
  <c r="I29" i="15"/>
  <c r="I28" i="15"/>
  <c r="H27" i="15"/>
  <c r="I27" i="15" s="1"/>
  <c r="I23" i="15"/>
  <c r="I22" i="15"/>
  <c r="I21" i="15"/>
  <c r="I20" i="15"/>
  <c r="I19" i="15"/>
  <c r="N15" i="15"/>
  <c r="E15" i="15"/>
  <c r="N14" i="15"/>
  <c r="E14" i="15"/>
  <c r="N13" i="15"/>
  <c r="E13" i="15"/>
  <c r="N10" i="15"/>
  <c r="J19" i="14"/>
  <c r="J20" i="14" s="1"/>
  <c r="I15" i="14"/>
  <c r="I14" i="14"/>
  <c r="I16" i="14" s="1"/>
  <c r="N10" i="14"/>
  <c r="N11" i="14" s="1"/>
  <c r="J23" i="13"/>
  <c r="J22" i="13"/>
  <c r="I18" i="13"/>
  <c r="I17" i="13"/>
  <c r="I16" i="13"/>
  <c r="I15" i="13"/>
  <c r="I19" i="13" s="1"/>
  <c r="J11" i="13"/>
  <c r="E11" i="13" s="1"/>
  <c r="N10" i="13"/>
  <c r="N12" i="13" s="1"/>
  <c r="D10" i="13"/>
  <c r="I15" i="11"/>
  <c r="I14" i="11"/>
  <c r="N10" i="11"/>
  <c r="N11" i="11" s="1"/>
  <c r="E10" i="11"/>
  <c r="I16" i="9"/>
  <c r="I15" i="9"/>
  <c r="I17" i="9" s="1"/>
  <c r="N11" i="9"/>
  <c r="I15" i="7"/>
  <c r="I14" i="7"/>
  <c r="N10" i="7"/>
  <c r="N11" i="7" s="1"/>
  <c r="I16" i="6"/>
  <c r="I15" i="6"/>
  <c r="I14" i="6"/>
  <c r="E11" i="6"/>
  <c r="N11" i="6" s="1"/>
  <c r="N12" i="6" s="1"/>
  <c r="N10" i="6"/>
  <c r="I65" i="4"/>
  <c r="I66" i="4" s="1"/>
  <c r="J61" i="4"/>
  <c r="D60" i="4"/>
  <c r="J60" i="4" s="1"/>
  <c r="D59" i="4"/>
  <c r="J59" i="4" s="1"/>
  <c r="D58" i="4"/>
  <c r="J58" i="4" s="1"/>
  <c r="J57" i="4"/>
  <c r="J56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N25" i="4"/>
  <c r="D22" i="4"/>
  <c r="N22" i="4" s="1"/>
  <c r="L18" i="2"/>
  <c r="N17" i="2"/>
  <c r="H17" i="2"/>
  <c r="H16" i="2"/>
  <c r="N16" i="2" s="1"/>
  <c r="N15" i="2"/>
  <c r="H15" i="2"/>
  <c r="H14" i="2"/>
  <c r="N14" i="2" s="1"/>
  <c r="N13" i="2"/>
  <c r="H13" i="2"/>
  <c r="H12" i="2"/>
  <c r="N12" i="2" s="1"/>
  <c r="N11" i="2"/>
  <c r="H11" i="2"/>
  <c r="N10" i="2"/>
  <c r="H10" i="2"/>
  <c r="H9" i="2"/>
  <c r="N9" i="2" s="1"/>
  <c r="N8" i="2"/>
  <c r="M8" i="2"/>
  <c r="L8" i="2"/>
  <c r="K8" i="2"/>
  <c r="J8" i="2"/>
  <c r="I8" i="2"/>
  <c r="H8" i="2"/>
  <c r="F8" i="2"/>
  <c r="C8" i="2"/>
  <c r="M7" i="2"/>
  <c r="L7" i="2"/>
  <c r="K7" i="2"/>
  <c r="J7" i="2"/>
  <c r="I7" i="2"/>
  <c r="J18" i="2" s="1"/>
  <c r="H7" i="2"/>
  <c r="N7" i="2" s="1"/>
  <c r="N18" i="2" s="1"/>
  <c r="F7" i="2"/>
  <c r="E8" i="2" s="1"/>
  <c r="C7" i="2"/>
  <c r="O1" i="2"/>
  <c r="I33" i="15" l="1"/>
  <c r="N16" i="15"/>
  <c r="N1" i="13"/>
  <c r="C13" i="4" s="1"/>
  <c r="E13" i="4" s="1"/>
  <c r="I16" i="11"/>
  <c r="N1" i="11" s="1"/>
  <c r="N1" i="9"/>
  <c r="C11" i="4" s="1"/>
  <c r="E11" i="4" s="1"/>
  <c r="I16" i="7"/>
  <c r="N1" i="7" s="1"/>
  <c r="I17" i="6"/>
  <c r="N1" i="6"/>
  <c r="J62" i="4"/>
  <c r="I51" i="4"/>
  <c r="N26" i="4"/>
  <c r="N4" i="17"/>
  <c r="C16" i="4"/>
  <c r="E16" i="4" s="1"/>
  <c r="N12" i="22"/>
  <c r="N1" i="22" s="1"/>
  <c r="N4" i="13"/>
  <c r="N1" i="14"/>
  <c r="C17" i="4"/>
  <c r="E17" i="4" s="1"/>
  <c r="N4" i="19"/>
  <c r="K18" i="2"/>
  <c r="M18" i="2"/>
  <c r="E10" i="17"/>
  <c r="N1" i="15" l="1"/>
  <c r="N4" i="15" s="1"/>
  <c r="N4" i="11"/>
  <c r="C12" i="4"/>
  <c r="E12" i="4" s="1"/>
  <c r="N4" i="9"/>
  <c r="N4" i="7"/>
  <c r="C10" i="4"/>
  <c r="E10" i="4" s="1"/>
  <c r="N4" i="6"/>
  <c r="N4" i="22"/>
  <c r="C18" i="4"/>
  <c r="E18" i="4" s="1"/>
  <c r="C14" i="4"/>
  <c r="E14" i="4" s="1"/>
  <c r="N4" i="14"/>
  <c r="C15" i="4" l="1"/>
  <c r="E15" i="4" s="1"/>
  <c r="C9" i="4"/>
  <c r="E9" i="4" l="1"/>
  <c r="E19" i="4" s="1"/>
  <c r="N1" i="4" s="1"/>
  <c r="N4" i="4" s="1"/>
</calcChain>
</file>

<file path=xl/sharedStrings.xml><?xml version="1.0" encoding="utf-8"?>
<sst xmlns="http://schemas.openxmlformats.org/spreadsheetml/2006/main" count="971" uniqueCount="231">
  <si>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</si>
  <si>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</si>
  <si>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</si>
  <si>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</si>
  <si>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</si>
  <si>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</si>
  <si>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</si>
  <si>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</si>
  <si>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</si>
  <si>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</si>
  <si>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</si>
  <si>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</si>
  <si>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</si>
  <si>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</si>
  <si>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</si>
  <si>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</si>
  <si>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</si>
  <si>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</si>
  <si>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</si>
  <si>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</si>
  <si>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</si>
  <si>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</si>
  <si>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</si>
  <si>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</si>
  <si>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</si>
  <si>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</si>
  <si>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</si>
  <si>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</si>
  <si>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Qty</t>
  </si>
  <si>
    <t>Assembly</t>
  </si>
  <si>
    <t>Cooling System</t>
  </si>
  <si>
    <t>FileLink1</t>
  </si>
  <si>
    <t>P/N Base</t>
  </si>
  <si>
    <t>EN A0800</t>
  </si>
  <si>
    <t>FileLink2</t>
  </si>
  <si>
    <t>Extended Cost</t>
  </si>
  <si>
    <t>Suffix</t>
  </si>
  <si>
    <t>FileLink3</t>
  </si>
  <si>
    <t>Details</t>
  </si>
  <si>
    <t>Engine cooling system</t>
  </si>
  <si>
    <t>ItemOrder</t>
  </si>
  <si>
    <t>Part</t>
  </si>
  <si>
    <t>Part Cost</t>
  </si>
  <si>
    <t>Sub Total</t>
  </si>
  <si>
    <t>Radiator</t>
  </si>
  <si>
    <t>Radiator lateral upper tab</t>
  </si>
  <si>
    <t>Radiator lateral lower tab</t>
  </si>
  <si>
    <t>Radiator back tab</t>
  </si>
  <si>
    <t>Fan</t>
  </si>
  <si>
    <t>Expansion Tank</t>
  </si>
  <si>
    <t>Lateral Tube</t>
  </si>
  <si>
    <t>Secondary Coolant Line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</si>
  <si>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</si>
  <si>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</si>
  <si>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</si>
  <si>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</si>
  <si>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</si>
  <si>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</si>
  <si>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</si>
  <si>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</si>
  <si>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</si>
  <si>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</si>
  <si>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</si>
  <si>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Mount, Vibration-Damping Sandwich</t>
  </si>
  <si>
    <t>mm</t>
  </si>
  <si>
    <t>Paint</t>
  </si>
  <si>
    <t>Coolant</t>
  </si>
  <si>
    <t>Process</t>
  </si>
  <si>
    <t>Unit</t>
  </si>
  <si>
    <t>Multiplier</t>
  </si>
  <si>
    <t>Mult. Val.</t>
  </si>
  <si>
    <t>Weld</t>
  </si>
  <si>
    <t>Upper Lateral tab to Radiator Frame</t>
  </si>
  <si>
    <t>unit</t>
  </si>
  <si>
    <t>Lower Lateral tab to Radiator Frame</t>
  </si>
  <si>
    <t>Aerosol apply</t>
  </si>
  <si>
    <t>Assemble, 1kg, Loose</t>
  </si>
  <si>
    <t>Assemble lateral bar with lateral tabs and radiator</t>
  </si>
  <si>
    <t>Fastener</t>
  </si>
  <si>
    <t>Nut, Grade 8.8 (SAE 5)</t>
  </si>
  <si>
    <t>Tooling</t>
  </si>
  <si>
    <t>PVF</t>
  </si>
  <si>
    <t>FractionIncluded</t>
  </si>
  <si>
    <t>point</t>
  </si>
  <si>
    <t>Engine &amp; Drivetrain</t>
  </si>
  <si>
    <t xml:space="preserve">Main Coolant Line </t>
  </si>
  <si>
    <t>Expansion Tank tab</t>
  </si>
  <si>
    <t>m^2</t>
  </si>
  <si>
    <t>Cooling water</t>
  </si>
  <si>
    <t>L</t>
  </si>
  <si>
    <t>cm</t>
  </si>
  <si>
    <t>Back tab to Radiator Frame</t>
  </si>
  <si>
    <t>Assemble Vibration-Damping Sandwich with tabs</t>
  </si>
  <si>
    <t>Nut for vibration damping sandwiches</t>
  </si>
  <si>
    <t>Ratchet &lt;= 25.4 mm</t>
  </si>
  <si>
    <t>Assemble, 3kg, Line-on-line</t>
  </si>
  <si>
    <t>Set Radiator to Vibration-Damping Sandwiches</t>
  </si>
  <si>
    <t>Nuts for vibration damping sandwiches</t>
  </si>
  <si>
    <t>Reaction tool &lt;= 25.4 mm</t>
  </si>
  <si>
    <t>Assemble, 1kg, Line-on-Line</t>
  </si>
  <si>
    <t>Assemble, 1 kg, Loose</t>
  </si>
  <si>
    <t>Nut for lateral bar</t>
  </si>
  <si>
    <t>Set Expansion Tank to tabs</t>
  </si>
  <si>
    <t>Bolt for Expansion Tank</t>
  </si>
  <si>
    <t>Nut for Expansion Tank</t>
  </si>
  <si>
    <t>Assemble, 1 kg, Interference</t>
  </si>
  <si>
    <t>Assemble main Cooling Lines with radiator</t>
  </si>
  <si>
    <t>Assemble secondary Cooling Lines with Expansion Tank and Fluid recuperator</t>
  </si>
  <si>
    <t>Ratchet &lt;= 6.35 mm</t>
  </si>
  <si>
    <t>Bolt Hose Clamp</t>
  </si>
  <si>
    <t>Bolt, Grade 8.8 (SAE 5)</t>
  </si>
  <si>
    <t>M6 Bolt for fittings and radiator</t>
  </si>
  <si>
    <t>M6 nuts for lateral bar, tabs and radiator</t>
  </si>
  <si>
    <t>Hose Clamp, Miniature Bolt</t>
  </si>
  <si>
    <t>Main Cooling Line Hose Clamp</t>
  </si>
  <si>
    <t>Secondary Cooling Line Hose Clamp</t>
  </si>
  <si>
    <t>Main line hose clamp</t>
  </si>
  <si>
    <t>Pin, Plastic Push</t>
  </si>
  <si>
    <t>Set Fan to Radiator</t>
  </si>
  <si>
    <t>Welds - Welding Fixture Tabs</t>
  </si>
  <si>
    <t>Tabs welding</t>
  </si>
  <si>
    <t>Point</t>
  </si>
  <si>
    <t>Bought, cost as made</t>
  </si>
  <si>
    <t>cm^3</t>
  </si>
  <si>
    <t>Machining Setup, Install and remove</t>
  </si>
  <si>
    <t>Laser Cut</t>
  </si>
  <si>
    <t>FracIncld</t>
  </si>
  <si>
    <t xml:space="preserve">Heat Exchanger, Air to Liquid </t>
  </si>
  <si>
    <t>Rectangular area</t>
  </si>
  <si>
    <t>Aluminium, normal (per kg)</t>
  </si>
  <si>
    <t>Radiator filler necks</t>
  </si>
  <si>
    <t>kg</t>
  </si>
  <si>
    <t>Round 25mm diam.</t>
  </si>
  <si>
    <t>Machining Setup, Install and Remove</t>
  </si>
  <si>
    <t>Setup machining and removal</t>
  </si>
  <si>
    <t>Machining</t>
  </si>
  <si>
    <t>Radiator Filler Necks</t>
  </si>
  <si>
    <t>Material - Aluminium</t>
  </si>
  <si>
    <t xml:space="preserve">Drawing : </t>
  </si>
  <si>
    <t>EN 08002</t>
  </si>
  <si>
    <t>Steel, Mild (per kg)</t>
  </si>
  <si>
    <t>Radiator Lateral Upper Tab</t>
  </si>
  <si>
    <t>Setup for laser cut</t>
  </si>
  <si>
    <t>Laser cut</t>
  </si>
  <si>
    <t>Material - Steel</t>
  </si>
  <si>
    <t>EN 08003</t>
  </si>
  <si>
    <t>Radiator Lateral Lower Tab</t>
  </si>
  <si>
    <t>Sheet Metal Bends</t>
  </si>
  <si>
    <t>Bend Tab</t>
  </si>
  <si>
    <t>Radiator Back tab</t>
  </si>
  <si>
    <t>EN 08004</t>
  </si>
  <si>
    <t>Radiator Back Tab</t>
  </si>
  <si>
    <t>EN 08005</t>
  </si>
  <si>
    <t>Hose, Silicone</t>
  </si>
  <si>
    <t>Sleeve</t>
  </si>
  <si>
    <t>Tube 25.4 x 0.5mm</t>
  </si>
  <si>
    <t>Steel, Stainless</t>
  </si>
  <si>
    <t>Main lines</t>
  </si>
  <si>
    <t>Tube 25 x 0.5mm</t>
  </si>
  <si>
    <t>Cut (scissors, knife)</t>
  </si>
  <si>
    <t>Silicone hose cutting</t>
  </si>
  <si>
    <t>Saw or tubing cuts</t>
  </si>
  <si>
    <t>Steel hose cutting</t>
  </si>
  <si>
    <t>Hose and sleeve assembly</t>
  </si>
  <si>
    <t>labor</t>
  </si>
  <si>
    <t>EN 08006</t>
  </si>
  <si>
    <t>Heat Exchanger Fan</t>
  </si>
  <si>
    <t xml:space="preserve">Assemble, 1kg, Line-On-Line </t>
  </si>
  <si>
    <t>Labor</t>
  </si>
  <si>
    <t>Push pin</t>
  </si>
  <si>
    <t>EN 08007</t>
  </si>
  <si>
    <t>Filler neck</t>
  </si>
  <si>
    <t>Round 24mm diameter</t>
  </si>
  <si>
    <t>Hose output</t>
  </si>
  <si>
    <t>Expansion tank cap</t>
  </si>
  <si>
    <t>Round 30mm diameter</t>
  </si>
  <si>
    <t>Expansion tank tab</t>
  </si>
  <si>
    <t>Tab profile</t>
  </si>
  <si>
    <t>Sheet metal bends</t>
  </si>
  <si>
    <t>Setup for machining and removal</t>
  </si>
  <si>
    <t>Material : Aluminium</t>
  </si>
  <si>
    <t>Drilled holes</t>
  </si>
  <si>
    <t>hole for hose output in filler neck</t>
  </si>
  <si>
    <t>hole</t>
  </si>
  <si>
    <t>for laser cut</t>
  </si>
  <si>
    <t>Material : Aluminum</t>
  </si>
  <si>
    <t>Laser cut of tabs</t>
  </si>
  <si>
    <t>2 tabs cut from a single machine setup</t>
  </si>
  <si>
    <t>Tabs profile</t>
  </si>
  <si>
    <t>Material : Aluminum - Repeat 2</t>
  </si>
  <si>
    <t>Expansion tank filler neck and cap assembly</t>
  </si>
  <si>
    <t>Expansion tank welding fixture</t>
  </si>
  <si>
    <t>EN 08008</t>
  </si>
  <si>
    <t>Expansion Tank Tab</t>
  </si>
  <si>
    <t>EN 08009</t>
  </si>
  <si>
    <t>Aluminum, Normal (per kg)</t>
  </si>
  <si>
    <t>Lateral bar</t>
  </si>
  <si>
    <t>m</t>
  </si>
  <si>
    <t>Circular area</t>
  </si>
  <si>
    <t>Sheet Metal Saw Cut</t>
  </si>
  <si>
    <t>Cut of the lateral bar</t>
  </si>
  <si>
    <t>Drilled holes &lt; 25.4 mm dia.</t>
  </si>
  <si>
    <t>Holes for the lateral bar</t>
  </si>
  <si>
    <t>Bar twist</t>
  </si>
  <si>
    <t>Bend</t>
  </si>
  <si>
    <t>EN 08011</t>
  </si>
  <si>
    <t>Tube 12.4 x 0.5mm</t>
  </si>
  <si>
    <t>Secondary lines</t>
  </si>
  <si>
    <t>Tube 12 x 0.5mm</t>
  </si>
  <si>
    <t>Expansion Tank tabs</t>
  </si>
  <si>
    <t>Tabs and lateral tube painting</t>
  </si>
  <si>
    <t>Drawing :</t>
  </si>
  <si>
    <t>EN 08001</t>
  </si>
  <si>
    <t>Main tube</t>
  </si>
  <si>
    <t>Fitting, Weld-in, Male, Aluminum</t>
  </si>
  <si>
    <t>dash4 connection, bottom</t>
  </si>
  <si>
    <t>Round 40mm diameter</t>
  </si>
  <si>
    <t>Male flare to pipe, aluminium anodized</t>
  </si>
  <si>
    <t>Bottom</t>
  </si>
  <si>
    <t>Round, 40mm diameter</t>
  </si>
  <si>
    <t>Tabs, bottom cutting</t>
  </si>
  <si>
    <t>Tube cut</t>
  </si>
  <si>
    <t>Cut the main part of the expansion tank</t>
  </si>
  <si>
    <t>Repeated for each end of tube</t>
  </si>
  <si>
    <t>Weld - Round Tubing</t>
  </si>
  <si>
    <t>Tube end preperation for welding</t>
  </si>
  <si>
    <t>Preparation to weld cap and bottom to tube</t>
  </si>
  <si>
    <t>Welding of cap and bottom to tube</t>
  </si>
  <si>
    <t>end</t>
  </si>
  <si>
    <t>Tabs to expansion tank welding</t>
  </si>
  <si>
    <t>Tab and lateral tube painting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</si>
</sst>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\ _€_-;\-* #,##0.00\ _€_-;_-* &quot;-&quot;??\ _€_-;_-@_-"/>
    <numFmt numFmtId="164" formatCode="_(* #,##0.00_);_(* \(#,##0.00\);_(* &quot;-&quot;??_);_(@_)"/>
    <numFmt numFmtId="165" formatCode="_-[$$-409]* #,##0.00_ ;_-[$$-409]* \-#,##0.00\ ;_-[$$-409]* &quot;-&quot;??_ ;_-@_ "/>
    <numFmt numFmtId="166" formatCode="\$#,##0.00_);&quot;($&quot;#,##0.00\)"/>
    <numFmt numFmtId="167" formatCode="_(\$* #,##0.00_);_(\$* \(#,##0.00\);_(\$* \-??_);_(@_)"/>
    <numFmt numFmtId="168" formatCode="_(&quot;$&quot;* #,##0.00_);_(&quot;$&quot;* \(#,##0.00\);_(&quot;$&quot;* &quot;-&quot;??_);_(@_)"/>
    <numFmt numFmtId="169" formatCode="_(* #,##0_);_(* \(#,##0\);_(* &quot;-&quot;??_);_(@_)"/>
    <numFmt numFmtId="170" formatCode="_(&quot;$&quot;* #,##0.00_);_(&quot;$&quot;* \(#,##0.000\);_(&quot;$&quot;* &quot;-&quot;??_);_(@_)"/>
    <numFmt numFmtId="171" formatCode="0.000"/>
    <numFmt numFmtId="172" formatCode="&quot;$&quot;#,##0.00"/>
    <numFmt numFmtId="173" formatCode="#,##0.000_ ;\-#,##0.000\ "/>
    <numFmt numFmtId="174" formatCode="#,##0.000"/>
    <numFmt numFmtId="175" formatCode="0.0"/>
    <numFmt numFmtId="176" formatCode="_(&quot;$&quot;* #,##0.0000_);_(&quot;$&quot;* \(#,##0.0000\);_(&quot;$&quot;* &quot;-&quot;??_);_(@_)"/>
    <numFmt numFmtId="177" formatCode="_(* #,##0.000_);_(* \(#,##0.000\);_(* &quot;-&quot;??_);_(@_)"/>
    <numFmt numFmtId="178" formatCode="[$-409]d\-mmm\-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7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b/>
      <sz val="9"/>
      <name val="Arial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6"/>
      <color rgb="FFFF0000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MS Sans Serif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6933C"/>
        <bgColor indexed="64"/>
      </patternFill>
    </fill>
  </fills>
  <borders count="18">
    <border>
      <left/>
      <right/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3">
    <xf numFmtId="0" fontId="0" fillId="0" borderId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6" fillId="0" borderId="0"/>
    <xf numFmtId="164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/>
    <xf numFmtId="166" fontId="16" fillId="0" borderId="11">
      <alignment vertical="center" wrapText="1"/>
    </xf>
    <xf numFmtId="0" fontId="1" fillId="0" borderId="0"/>
    <xf numFmtId="0" fontId="4" fillId="0" borderId="0" applyNumberFormat="0" applyFill="0" applyBorder="0" applyAlignment="0" applyProtection="0"/>
    <xf numFmtId="168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6" fillId="0" borderId="0"/>
    <xf numFmtId="168" fontId="19" fillId="0" borderId="0" applyFont="0" applyFill="0" applyBorder="0" applyAlignment="0" applyProtection="0"/>
    <xf numFmtId="0" fontId="22" fillId="0" borderId="0"/>
    <xf numFmtId="172" fontId="16" fillId="0" borderId="11">
      <alignment vertical="center" wrapText="1"/>
    </xf>
    <xf numFmtId="43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6" fillId="0" borderId="0"/>
    <xf numFmtId="43" fontId="16" fillId="0" borderId="0" applyFont="0" applyFill="0" applyBorder="0" applyAlignment="0" applyProtection="0"/>
    <xf numFmtId="168" fontId="2" fillId="2" borderId="15">
      <alignment vertical="center" wrapText="1"/>
    </xf>
    <xf numFmtId="168" fontId="25" fillId="3" borderId="15">
      <alignment vertical="center" wrapText="1"/>
    </xf>
  </cellStyleXfs>
  <cellXfs count="235">
    <xf numFmtId="0" fontId="0" fillId="0" borderId="0" xfId="0"/>
    <xf numFmtId="0" fontId="5" fillId="4" borderId="1" xfId="3" applyFont="1" applyFill="1" applyBorder="1"/>
    <xf numFmtId="0" fontId="1" fillId="5" borderId="2" xfId="3" applyFont="1" applyFill="1" applyBorder="1"/>
    <xf numFmtId="0" fontId="7" fillId="0" borderId="0" xfId="4" applyFont="1"/>
    <xf numFmtId="0" fontId="8" fillId="0" borderId="0" xfId="4" applyFont="1"/>
    <xf numFmtId="0" fontId="9" fillId="0" borderId="0" xfId="4" applyFont="1"/>
    <xf numFmtId="164" fontId="7" fillId="0" borderId="0" xfId="5" applyFont="1"/>
    <xf numFmtId="0" fontId="5" fillId="6" borderId="0" xfId="3" applyFont="1" applyFill="1" applyBorder="1" applyAlignment="1"/>
    <xf numFmtId="0" fontId="10" fillId="6" borderId="0" xfId="3" applyFont="1" applyFill="1" applyBorder="1" applyAlignment="1"/>
    <xf numFmtId="2" fontId="1" fillId="7" borderId="3" xfId="3" quotePrefix="1" applyNumberFormat="1" applyFill="1" applyBorder="1" applyAlignment="1">
      <alignment horizontal="right"/>
    </xf>
    <xf numFmtId="0" fontId="6" fillId="0" borderId="0" xfId="4" applyFont="1"/>
    <xf numFmtId="0" fontId="5" fillId="4" borderId="4" xfId="3" applyFont="1" applyFill="1" applyBorder="1"/>
    <xf numFmtId="0" fontId="1" fillId="5" borderId="5" xfId="3" applyFont="1" applyFill="1" applyBorder="1"/>
    <xf numFmtId="0" fontId="1" fillId="0" borderId="0" xfId="3" applyBorder="1"/>
    <xf numFmtId="0" fontId="1" fillId="0" borderId="0" xfId="3"/>
    <xf numFmtId="0" fontId="1" fillId="0" borderId="0" xfId="3" applyFont="1"/>
    <xf numFmtId="0" fontId="5" fillId="4" borderId="6" xfId="3" applyFont="1" applyFill="1" applyBorder="1"/>
    <xf numFmtId="0" fontId="1" fillId="5" borderId="5" xfId="3" quotePrefix="1" applyFill="1" applyBorder="1" applyAlignment="1">
      <alignment horizontal="left"/>
    </xf>
    <xf numFmtId="0" fontId="5" fillId="4" borderId="7" xfId="3" applyFont="1" applyFill="1" applyBorder="1"/>
    <xf numFmtId="0" fontId="1" fillId="5" borderId="5" xfId="3" quotePrefix="1" applyFont="1" applyFill="1" applyBorder="1" applyAlignment="1">
      <alignment horizontal="left"/>
    </xf>
    <xf numFmtId="0" fontId="10" fillId="0" borderId="0" xfId="3" applyFont="1" applyFill="1" applyBorder="1"/>
    <xf numFmtId="0" fontId="1" fillId="0" borderId="0" xfId="3" applyFont="1" applyFill="1" applyBorder="1"/>
    <xf numFmtId="0" fontId="1" fillId="0" borderId="0" xfId="3" applyFill="1" applyBorder="1"/>
    <xf numFmtId="0" fontId="1" fillId="0" borderId="0" xfId="3" applyFill="1"/>
    <xf numFmtId="0" fontId="1" fillId="0" borderId="0" xfId="3" applyFont="1" applyFill="1"/>
    <xf numFmtId="0" fontId="11" fillId="0" borderId="0" xfId="4" applyFont="1" applyAlignment="1">
      <alignment horizontal="center"/>
    </xf>
    <xf numFmtId="0" fontId="11" fillId="0" borderId="8" xfId="4" applyFont="1" applyBorder="1" applyAlignment="1">
      <alignment horizontal="center" wrapText="1"/>
    </xf>
    <xf numFmtId="164" fontId="11" fillId="0" borderId="8" xfId="5" applyFont="1" applyBorder="1" applyAlignment="1">
      <alignment horizontal="center" wrapText="1"/>
    </xf>
    <xf numFmtId="2" fontId="11" fillId="0" borderId="8" xfId="4" applyNumberFormat="1" applyFont="1" applyBorder="1" applyAlignment="1">
      <alignment horizontal="center" wrapText="1"/>
    </xf>
    <xf numFmtId="0" fontId="12" fillId="0" borderId="0" xfId="4" applyFont="1"/>
    <xf numFmtId="0" fontId="13" fillId="0" borderId="10" xfId="4" applyFont="1" applyFill="1" applyBorder="1" applyProtection="1">
      <protection locked="0"/>
    </xf>
    <xf numFmtId="0" fontId="13" fillId="0" borderId="10" xfId="4" applyFont="1" applyFill="1" applyBorder="1" applyAlignment="1">
      <alignment horizontal="left"/>
    </xf>
    <xf numFmtId="18" fontId="13" fillId="0" borderId="10" xfId="4" applyNumberFormat="1" applyFont="1" applyFill="1" applyBorder="1" applyAlignment="1" applyProtection="1">
      <protection locked="0"/>
    </xf>
    <xf numFmtId="164" fontId="13" fillId="0" borderId="10" xfId="5" applyFont="1" applyFill="1" applyBorder="1" applyProtection="1">
      <protection locked="0"/>
    </xf>
    <xf numFmtId="0" fontId="13" fillId="0" borderId="10" xfId="4" applyFont="1" applyFill="1" applyBorder="1" applyAlignment="1" applyProtection="1">
      <alignment horizontal="center"/>
      <protection locked="0"/>
    </xf>
    <xf numFmtId="165" fontId="13" fillId="0" borderId="10" xfId="4" applyNumberFormat="1" applyFont="1" applyFill="1" applyBorder="1" applyAlignment="1">
      <alignment horizontal="right"/>
    </xf>
    <xf numFmtId="0" fontId="13" fillId="0" borderId="10" xfId="4" applyFont="1" applyFill="1" applyBorder="1" applyAlignment="1">
      <alignment horizontal="center"/>
    </xf>
    <xf numFmtId="0" fontId="6" fillId="0" borderId="0" xfId="4" applyFont="1" applyFill="1"/>
    <xf numFmtId="0" fontId="6" fillId="0" borderId="0" xfId="4" applyFont="1" applyProtection="1">
      <protection locked="0"/>
    </xf>
    <xf numFmtId="164" fontId="6" fillId="0" borderId="0" xfId="5" applyFont="1"/>
    <xf numFmtId="164" fontId="6" fillId="0" borderId="0" xfId="4" applyNumberFormat="1" applyFont="1"/>
    <xf numFmtId="0" fontId="7" fillId="0" borderId="0" xfId="4" applyFont="1" applyProtection="1">
      <protection locked="0"/>
    </xf>
    <xf numFmtId="0" fontId="15" fillId="0" borderId="0" xfId="4" applyFont="1"/>
    <xf numFmtId="0" fontId="18" fillId="0" borderId="0" xfId="9" applyFont="1" applyFill="1" applyBorder="1"/>
    <xf numFmtId="0" fontId="4" fillId="0" borderId="0" xfId="10" applyFill="1" applyBorder="1"/>
    <xf numFmtId="0" fontId="18" fillId="0" borderId="0" xfId="9" quotePrefix="1" applyFont="1" applyFill="1" applyBorder="1" applyAlignment="1">
      <alignment horizontal="right"/>
    </xf>
    <xf numFmtId="168" fontId="18" fillId="0" borderId="0" xfId="11" applyNumberFormat="1" applyFont="1" applyFill="1" applyBorder="1"/>
    <xf numFmtId="37" fontId="18" fillId="0" borderId="0" xfId="12" applyNumberFormat="1" applyFont="1" applyFill="1" applyBorder="1"/>
    <xf numFmtId="0" fontId="18" fillId="0" borderId="0" xfId="9" applyFont="1" applyFill="1" applyBorder="1" applyAlignment="1">
      <alignment horizontal="left"/>
    </xf>
    <xf numFmtId="0" fontId="18" fillId="0" borderId="9" xfId="9" applyFont="1" applyFill="1" applyBorder="1"/>
    <xf numFmtId="0" fontId="4" fillId="0" borderId="9" xfId="10" applyFill="1" applyBorder="1"/>
    <xf numFmtId="168" fontId="18" fillId="0" borderId="9" xfId="11" applyFont="1" applyFill="1" applyBorder="1"/>
    <xf numFmtId="169" fontId="18" fillId="0" borderId="9" xfId="12" applyNumberFormat="1" applyFont="1" applyFill="1" applyBorder="1"/>
    <xf numFmtId="170" fontId="18" fillId="0" borderId="9" xfId="11" applyNumberFormat="1" applyFont="1" applyFill="1" applyBorder="1"/>
    <xf numFmtId="0" fontId="20" fillId="0" borderId="0" xfId="9" applyFont="1" applyFill="1" applyBorder="1"/>
    <xf numFmtId="0" fontId="21" fillId="0" borderId="0" xfId="9" applyFont="1" applyFill="1" applyBorder="1"/>
    <xf numFmtId="0" fontId="18" fillId="0" borderId="9" xfId="9" applyFont="1" applyFill="1" applyBorder="1" applyAlignment="1" applyProtection="1">
      <alignment vertical="center" wrapText="1"/>
    </xf>
    <xf numFmtId="164" fontId="18" fillId="0" borderId="9" xfId="12" applyFont="1" applyFill="1" applyBorder="1"/>
    <xf numFmtId="11" fontId="18" fillId="0" borderId="9" xfId="9" applyNumberFormat="1" applyFont="1" applyFill="1" applyBorder="1"/>
    <xf numFmtId="1" fontId="18" fillId="0" borderId="9" xfId="12" applyNumberFormat="1" applyFont="1" applyFill="1" applyBorder="1"/>
    <xf numFmtId="168" fontId="18" fillId="0" borderId="9" xfId="11" applyNumberFormat="1" applyFont="1" applyFill="1" applyBorder="1"/>
    <xf numFmtId="171" fontId="18" fillId="0" borderId="9" xfId="9" applyNumberFormat="1" applyFont="1" applyFill="1" applyBorder="1"/>
    <xf numFmtId="171" fontId="18" fillId="0" borderId="9" xfId="12" applyNumberFormat="1" applyFont="1" applyFill="1" applyBorder="1"/>
    <xf numFmtId="0" fontId="18" fillId="0" borderId="9" xfId="13" applyFont="1" applyFill="1" applyBorder="1"/>
    <xf numFmtId="2" fontId="18" fillId="0" borderId="9" xfId="11" applyNumberFormat="1" applyFont="1" applyFill="1" applyBorder="1"/>
    <xf numFmtId="11" fontId="18" fillId="0" borderId="9" xfId="12" applyNumberFormat="1" applyFont="1" applyFill="1" applyBorder="1"/>
    <xf numFmtId="0" fontId="17" fillId="0" borderId="0" xfId="9" applyFont="1" applyFill="1" applyBorder="1"/>
    <xf numFmtId="0" fontId="18" fillId="0" borderId="9" xfId="9" applyNumberFormat="1" applyFont="1" applyFill="1" applyBorder="1"/>
    <xf numFmtId="0" fontId="18" fillId="0" borderId="9" xfId="13" applyNumberFormat="1" applyFont="1" applyFill="1" applyBorder="1" applyAlignment="1">
      <alignment wrapText="1"/>
    </xf>
    <xf numFmtId="168" fontId="18" fillId="0" borderId="9" xfId="14" applyFont="1" applyFill="1" applyBorder="1"/>
    <xf numFmtId="0" fontId="18" fillId="0" borderId="9" xfId="13" applyNumberFormat="1" applyFont="1" applyFill="1" applyBorder="1"/>
    <xf numFmtId="0" fontId="19" fillId="0" borderId="9" xfId="15" applyFont="1" applyFill="1" applyBorder="1" applyAlignment="1">
      <alignment wrapText="1"/>
    </xf>
    <xf numFmtId="165" fontId="18" fillId="0" borderId="9" xfId="13" applyNumberFormat="1" applyFont="1" applyFill="1" applyBorder="1"/>
    <xf numFmtId="39" fontId="18" fillId="0" borderId="9" xfId="11" applyNumberFormat="1" applyFont="1" applyFill="1" applyBorder="1"/>
    <xf numFmtId="37" fontId="18" fillId="0" borderId="9" xfId="11" applyNumberFormat="1" applyFont="1" applyFill="1" applyBorder="1"/>
    <xf numFmtId="0" fontId="18" fillId="0" borderId="9" xfId="13" applyFont="1" applyFill="1" applyBorder="1" applyAlignment="1">
      <alignment wrapText="1"/>
    </xf>
    <xf numFmtId="165" fontId="18" fillId="0" borderId="9" xfId="9" applyNumberFormat="1" applyFont="1" applyFill="1" applyBorder="1"/>
    <xf numFmtId="172" fontId="16" fillId="0" borderId="9" xfId="16" applyBorder="1">
      <alignment vertical="center" wrapText="1"/>
    </xf>
    <xf numFmtId="39" fontId="18" fillId="0" borderId="9" xfId="14" applyNumberFormat="1" applyFont="1" applyFill="1" applyBorder="1"/>
    <xf numFmtId="37" fontId="18" fillId="0" borderId="9" xfId="14" applyNumberFormat="1" applyFont="1" applyFill="1" applyBorder="1"/>
    <xf numFmtId="0" fontId="16" fillId="0" borderId="0" xfId="13" applyBorder="1"/>
    <xf numFmtId="0" fontId="23" fillId="0" borderId="0" xfId="13" applyFont="1" applyBorder="1"/>
    <xf numFmtId="0" fontId="16" fillId="0" borderId="0" xfId="13"/>
    <xf numFmtId="0" fontId="23" fillId="0" borderId="0" xfId="9" applyFont="1" applyFill="1" applyBorder="1"/>
    <xf numFmtId="0" fontId="18" fillId="0" borderId="0" xfId="9" applyFont="1" applyFill="1" applyBorder="1" applyAlignment="1">
      <alignment horizontal="right"/>
    </xf>
    <xf numFmtId="168" fontId="18" fillId="0" borderId="0" xfId="9" applyNumberFormat="1" applyFont="1" applyFill="1" applyBorder="1"/>
    <xf numFmtId="168" fontId="18" fillId="0" borderId="0" xfId="14" applyNumberFormat="1" applyFont="1" applyFill="1" applyBorder="1"/>
    <xf numFmtId="2" fontId="18" fillId="0" borderId="9" xfId="14" applyNumberFormat="1" applyFont="1" applyFill="1" applyBorder="1"/>
    <xf numFmtId="0" fontId="18" fillId="0" borderId="9" xfId="12" applyNumberFormat="1" applyFont="1" applyFill="1" applyBorder="1"/>
    <xf numFmtId="168" fontId="18" fillId="0" borderId="9" xfId="14" applyNumberFormat="1" applyFont="1" applyFill="1" applyBorder="1"/>
    <xf numFmtId="0" fontId="18" fillId="0" borderId="9" xfId="9" applyNumberFormat="1" applyFont="1" applyFill="1" applyBorder="1" applyAlignment="1">
      <alignment horizontal="left"/>
    </xf>
    <xf numFmtId="0" fontId="24" fillId="0" borderId="0" xfId="9" applyFont="1" applyAlignment="1">
      <alignment horizontal="right"/>
    </xf>
    <xf numFmtId="173" fontId="18" fillId="0" borderId="9" xfId="9" applyNumberFormat="1" applyFont="1" applyFill="1" applyBorder="1"/>
    <xf numFmtId="174" fontId="18" fillId="0" borderId="9" xfId="12" applyNumberFormat="1" applyFont="1" applyFill="1" applyBorder="1"/>
    <xf numFmtId="0" fontId="18" fillId="0" borderId="0" xfId="9" applyNumberFormat="1" applyFont="1" applyFill="1" applyBorder="1"/>
    <xf numFmtId="0" fontId="4" fillId="0" borderId="0" xfId="10"/>
    <xf numFmtId="0" fontId="1" fillId="0" borderId="0" xfId="9"/>
    <xf numFmtId="0" fontId="18" fillId="0" borderId="9" xfId="13" applyFont="1" applyBorder="1" applyAlignment="1"/>
    <xf numFmtId="0" fontId="18" fillId="0" borderId="14" xfId="13" applyFont="1" applyFill="1" applyBorder="1"/>
    <xf numFmtId="11" fontId="18" fillId="0" borderId="9" xfId="13" applyNumberFormat="1" applyFont="1" applyFill="1" applyBorder="1"/>
    <xf numFmtId="0" fontId="18" fillId="0" borderId="9" xfId="17" applyNumberFormat="1" applyFont="1" applyFill="1" applyBorder="1"/>
    <xf numFmtId="0" fontId="16" fillId="0" borderId="0" xfId="13" applyBorder="1" applyAlignment="1"/>
    <xf numFmtId="171" fontId="18" fillId="0" borderId="9" xfId="13" applyNumberFormat="1" applyFont="1" applyFill="1" applyBorder="1"/>
    <xf numFmtId="167" fontId="18" fillId="0" borderId="9" xfId="8" applyNumberFormat="1" applyFont="1" applyBorder="1" applyAlignment="1" applyProtection="1"/>
    <xf numFmtId="0" fontId="16" fillId="0" borderId="0" xfId="13" applyBorder="1" applyAlignment="1">
      <alignment wrapText="1"/>
    </xf>
    <xf numFmtId="0" fontId="16" fillId="0" borderId="0" xfId="13" applyFont="1" applyBorder="1"/>
    <xf numFmtId="0" fontId="18" fillId="0" borderId="0" xfId="9" applyFont="1" applyFill="1" applyBorder="1" applyAlignment="1"/>
    <xf numFmtId="0" fontId="4" fillId="0" borderId="0" xfId="10" applyFill="1" applyBorder="1" applyAlignment="1"/>
    <xf numFmtId="0" fontId="18" fillId="0" borderId="9" xfId="13" applyFont="1" applyFill="1" applyBorder="1" applyAlignment="1">
      <alignment vertical="center"/>
    </xf>
    <xf numFmtId="168" fontId="18" fillId="0" borderId="9" xfId="14" applyFont="1" applyFill="1" applyBorder="1" applyAlignment="1">
      <alignment vertical="center"/>
    </xf>
    <xf numFmtId="171" fontId="18" fillId="0" borderId="9" xfId="13" applyNumberFormat="1" applyFont="1" applyFill="1" applyBorder="1" applyAlignment="1">
      <alignment horizontal="left" vertical="center"/>
    </xf>
    <xf numFmtId="164" fontId="18" fillId="0" borderId="9" xfId="12" applyFont="1" applyFill="1" applyBorder="1" applyAlignment="1">
      <alignment vertical="center"/>
    </xf>
    <xf numFmtId="11" fontId="18" fillId="0" borderId="9" xfId="13" applyNumberFormat="1" applyFont="1" applyFill="1" applyBorder="1" applyAlignment="1">
      <alignment vertical="center"/>
    </xf>
    <xf numFmtId="11" fontId="18" fillId="0" borderId="9" xfId="12" applyNumberFormat="1" applyFont="1" applyFill="1" applyBorder="1" applyAlignment="1">
      <alignment horizontal="left" vertical="center"/>
    </xf>
    <xf numFmtId="171" fontId="18" fillId="0" borderId="9" xfId="12" applyNumberFormat="1" applyFont="1" applyFill="1" applyBorder="1" applyAlignment="1">
      <alignment horizontal="left" vertical="center"/>
    </xf>
    <xf numFmtId="0" fontId="18" fillId="0" borderId="9" xfId="12" applyNumberFormat="1" applyFont="1" applyFill="1" applyBorder="1" applyAlignment="1">
      <alignment horizontal="left" vertical="center"/>
    </xf>
    <xf numFmtId="0" fontId="18" fillId="0" borderId="9" xfId="17" applyNumberFormat="1" applyFont="1" applyFill="1" applyBorder="1" applyAlignment="1">
      <alignment vertical="center"/>
    </xf>
    <xf numFmtId="167" fontId="18" fillId="0" borderId="9" xfId="8" applyNumberFormat="1" applyFont="1" applyBorder="1" applyAlignment="1" applyProtection="1">
      <alignment vertical="center"/>
    </xf>
    <xf numFmtId="0" fontId="17" fillId="0" borderId="0" xfId="9" applyFont="1" applyFill="1" applyBorder="1" applyAlignment="1"/>
    <xf numFmtId="0" fontId="18" fillId="0" borderId="9" xfId="13" applyFont="1" applyFill="1" applyBorder="1" applyAlignment="1"/>
    <xf numFmtId="0" fontId="18" fillId="0" borderId="9" xfId="13" applyNumberFormat="1" applyFont="1" applyFill="1" applyBorder="1" applyAlignment="1"/>
    <xf numFmtId="168" fontId="18" fillId="0" borderId="9" xfId="14" applyFont="1" applyFill="1" applyBorder="1" applyAlignment="1"/>
    <xf numFmtId="2" fontId="18" fillId="0" borderId="9" xfId="13" applyNumberFormat="1" applyFont="1" applyFill="1" applyBorder="1" applyAlignment="1"/>
    <xf numFmtId="0" fontId="16" fillId="0" borderId="0" xfId="13" applyFont="1" applyBorder="1" applyAlignment="1"/>
    <xf numFmtId="0" fontId="18" fillId="0" borderId="0" xfId="13" applyFont="1" applyFill="1" applyBorder="1" applyAlignment="1"/>
    <xf numFmtId="0" fontId="18" fillId="0" borderId="0" xfId="13" applyNumberFormat="1" applyFont="1" applyFill="1" applyBorder="1" applyAlignment="1"/>
    <xf numFmtId="168" fontId="18" fillId="0" borderId="0" xfId="14" applyFont="1" applyFill="1" applyBorder="1" applyAlignment="1"/>
    <xf numFmtId="168" fontId="18" fillId="0" borderId="0" xfId="9" applyNumberFormat="1" applyFont="1" applyFill="1" applyBorder="1" applyAlignment="1"/>
    <xf numFmtId="0" fontId="18" fillId="0" borderId="9" xfId="9" applyFont="1" applyFill="1" applyBorder="1" applyAlignment="1"/>
    <xf numFmtId="0" fontId="18" fillId="0" borderId="9" xfId="9" applyFont="1" applyFill="1" applyBorder="1" applyAlignment="1" applyProtection="1">
      <alignment horizontal="left" wrapText="1"/>
    </xf>
    <xf numFmtId="164" fontId="18" fillId="0" borderId="9" xfId="12" applyFont="1" applyFill="1" applyBorder="1" applyAlignment="1"/>
    <xf numFmtId="11" fontId="18" fillId="0" borderId="9" xfId="9" applyNumberFormat="1" applyFont="1" applyFill="1" applyBorder="1" applyAlignment="1"/>
    <xf numFmtId="11" fontId="18" fillId="0" borderId="9" xfId="12" applyNumberFormat="1" applyFont="1" applyFill="1" applyBorder="1" applyAlignment="1"/>
    <xf numFmtId="0" fontId="18" fillId="0" borderId="9" xfId="12" applyNumberFormat="1" applyFont="1" applyFill="1" applyBorder="1" applyAlignment="1"/>
    <xf numFmtId="168" fontId="18" fillId="0" borderId="9" xfId="14" applyNumberFormat="1" applyFont="1" applyFill="1" applyBorder="1" applyAlignment="1"/>
    <xf numFmtId="0" fontId="23" fillId="0" borderId="0" xfId="9" applyFont="1" applyFill="1" applyBorder="1" applyAlignment="1"/>
    <xf numFmtId="0" fontId="19" fillId="0" borderId="15" xfId="15" applyFont="1" applyFill="1" applyBorder="1" applyAlignment="1">
      <alignment wrapText="1"/>
    </xf>
    <xf numFmtId="0" fontId="18" fillId="0" borderId="9" xfId="9" applyNumberFormat="1" applyFont="1" applyFill="1" applyBorder="1" applyAlignment="1"/>
    <xf numFmtId="0" fontId="18" fillId="0" borderId="9" xfId="9" applyNumberFormat="1" applyFont="1" applyFill="1" applyBorder="1" applyAlignment="1">
      <alignment wrapText="1"/>
    </xf>
    <xf numFmtId="175" fontId="18" fillId="0" borderId="9" xfId="13" applyNumberFormat="1" applyFont="1" applyFill="1" applyBorder="1"/>
    <xf numFmtId="171" fontId="18" fillId="8" borderId="9" xfId="13" applyNumberFormat="1" applyFont="1" applyFill="1" applyBorder="1"/>
    <xf numFmtId="11" fontId="18" fillId="8" borderId="9" xfId="12" applyNumberFormat="1" applyFont="1" applyFill="1" applyBorder="1"/>
    <xf numFmtId="0" fontId="21" fillId="0" borderId="0" xfId="13" applyFont="1"/>
    <xf numFmtId="0" fontId="4" fillId="0" borderId="9" xfId="2" applyFill="1" applyBorder="1"/>
    <xf numFmtId="176" fontId="24" fillId="0" borderId="0" xfId="1" applyNumberFormat="1" applyFont="1" applyFill="1" applyBorder="1" applyAlignment="1" applyProtection="1">
      <alignment vertical="center" wrapText="1"/>
    </xf>
    <xf numFmtId="1" fontId="18" fillId="0" borderId="9" xfId="9" applyNumberFormat="1" applyFont="1" applyFill="1" applyBorder="1"/>
    <xf numFmtId="175" fontId="18" fillId="0" borderId="9" xfId="9" applyNumberFormat="1" applyFont="1" applyFill="1" applyBorder="1"/>
    <xf numFmtId="0" fontId="16" fillId="0" borderId="0" xfId="13" applyFill="1" applyBorder="1" applyAlignment="1"/>
    <xf numFmtId="0" fontId="16" fillId="0" borderId="0" xfId="13" applyFill="1" applyBorder="1"/>
    <xf numFmtId="0" fontId="16" fillId="0" borderId="0" xfId="13" applyFill="1"/>
    <xf numFmtId="167" fontId="18" fillId="0" borderId="9" xfId="8" applyNumberFormat="1" applyFont="1" applyFill="1" applyBorder="1" applyAlignment="1" applyProtection="1">
      <alignment vertical="center"/>
    </xf>
    <xf numFmtId="0" fontId="18" fillId="0" borderId="0" xfId="0" applyFont="1" applyFill="1" applyBorder="1"/>
    <xf numFmtId="168" fontId="18" fillId="0" borderId="9" xfId="14" applyFont="1" applyFill="1" applyBorder="1" applyAlignment="1"/>
    <xf numFmtId="0" fontId="18" fillId="0" borderId="9" xfId="7" applyFont="1" applyFill="1" applyBorder="1" applyAlignment="1"/>
    <xf numFmtId="168" fontId="18" fillId="0" borderId="9" xfId="11" applyFont="1" applyFill="1" applyBorder="1" applyAlignment="1"/>
    <xf numFmtId="43" fontId="18" fillId="0" borderId="9" xfId="18" applyFont="1" applyFill="1" applyBorder="1" applyAlignment="1"/>
    <xf numFmtId="167" fontId="18" fillId="0" borderId="9" xfId="8" applyNumberFormat="1" applyFont="1" applyBorder="1" applyAlignment="1" applyProtection="1"/>
    <xf numFmtId="11" fontId="18" fillId="0" borderId="9" xfId="7" applyNumberFormat="1" applyFont="1" applyFill="1" applyBorder="1" applyAlignment="1">
      <alignment wrapText="1"/>
    </xf>
    <xf numFmtId="11" fontId="18" fillId="0" borderId="9" xfId="18" applyNumberFormat="1" applyFont="1" applyFill="1" applyBorder="1" applyAlignment="1"/>
    <xf numFmtId="177" fontId="18" fillId="0" borderId="9" xfId="18" applyNumberFormat="1" applyFont="1" applyFill="1" applyBorder="1" applyAlignment="1"/>
    <xf numFmtId="0" fontId="18" fillId="0" borderId="9" xfId="7" applyFont="1" applyFill="1" applyBorder="1" applyAlignment="1" applyProtection="1">
      <alignment wrapText="1"/>
    </xf>
    <xf numFmtId="3" fontId="16" fillId="0" borderId="9" xfId="7" applyNumberFormat="1" applyBorder="1" applyAlignment="1"/>
    <xf numFmtId="1" fontId="18" fillId="0" borderId="9" xfId="18" applyNumberFormat="1" applyFont="1" applyFill="1" applyBorder="1" applyAlignment="1"/>
    <xf numFmtId="0" fontId="18" fillId="0" borderId="0" xfId="0" applyFont="1" applyFill="1" applyBorder="1" applyAlignment="1" applyProtection="1">
      <alignment vertical="center" wrapText="1"/>
    </xf>
    <xf numFmtId="0" fontId="18" fillId="0" borderId="0" xfId="0" applyFont="1" applyBorder="1"/>
    <xf numFmtId="168" fontId="24" fillId="0" borderId="0" xfId="21" applyFont="1" applyFill="1" applyBorder="1">
      <alignment vertical="center" wrapText="1"/>
    </xf>
    <xf numFmtId="168" fontId="24" fillId="0" borderId="0" xfId="22" applyFont="1" applyFill="1" applyBorder="1">
      <alignment vertical="center" wrapText="1"/>
    </xf>
    <xf numFmtId="178" fontId="18" fillId="0" borderId="0" xfId="0" applyNumberFormat="1" applyFont="1" applyFill="1" applyBorder="1"/>
    <xf numFmtId="1" fontId="18" fillId="0" borderId="9" xfId="13" applyNumberFormat="1" applyFont="1" applyFill="1" applyBorder="1" applyAlignment="1">
      <alignment horizontal="right" vertical="center"/>
    </xf>
    <xf numFmtId="1" fontId="18" fillId="0" borderId="9" xfId="13" applyNumberFormat="1" applyFont="1" applyFill="1" applyBorder="1" applyAlignment="1"/>
    <xf numFmtId="0" fontId="19" fillId="0" borderId="17" xfId="15" applyFont="1" applyFill="1" applyBorder="1" applyAlignment="1">
      <alignment wrapText="1"/>
    </xf>
    <xf numFmtId="0" fontId="19" fillId="0" borderId="16" xfId="15" applyFont="1" applyFill="1" applyBorder="1" applyAlignment="1">
      <alignment wrapText="1"/>
    </xf>
    <xf numFmtId="0" fontId="17" fillId="9" borderId="12" xfId="9" applyFont="1" applyFill="1" applyBorder="1"/>
    <xf numFmtId="0" fontId="16" fillId="0" borderId="0" xfId="0" applyFont="1" applyFill="1" applyBorder="1"/>
    <xf numFmtId="0" fontId="17" fillId="9" borderId="16" xfId="9" applyFont="1" applyFill="1" applyBorder="1"/>
    <xf numFmtId="0" fontId="17" fillId="9" borderId="12" xfId="9" applyFont="1" applyFill="1" applyBorder="1" applyAlignment="1">
      <alignment horizontal="left"/>
    </xf>
    <xf numFmtId="0" fontId="4" fillId="9" borderId="12" xfId="2" applyFill="1" applyBorder="1"/>
    <xf numFmtId="0" fontId="17" fillId="9" borderId="9" xfId="9" applyFont="1" applyFill="1" applyBorder="1"/>
    <xf numFmtId="0" fontId="17" fillId="9" borderId="9" xfId="9" applyFont="1" applyFill="1" applyBorder="1" applyAlignment="1">
      <alignment horizontal="right"/>
    </xf>
    <xf numFmtId="170" fontId="17" fillId="9" borderId="9" xfId="9" applyNumberFormat="1" applyFont="1" applyFill="1" applyBorder="1"/>
    <xf numFmtId="168" fontId="17" fillId="9" borderId="9" xfId="9" applyNumberFormat="1" applyFont="1" applyFill="1" applyBorder="1"/>
    <xf numFmtId="0" fontId="17" fillId="9" borderId="13" xfId="9" applyFont="1" applyFill="1" applyBorder="1" applyAlignment="1">
      <alignment horizontal="right"/>
    </xf>
    <xf numFmtId="170" fontId="17" fillId="9" borderId="13" xfId="9" applyNumberFormat="1" applyFont="1" applyFill="1" applyBorder="1"/>
    <xf numFmtId="168" fontId="17" fillId="9" borderId="13" xfId="9" applyNumberFormat="1" applyFont="1" applyFill="1" applyBorder="1"/>
    <xf numFmtId="0" fontId="17" fillId="10" borderId="12" xfId="9" applyFont="1" applyFill="1" applyBorder="1"/>
    <xf numFmtId="0" fontId="17" fillId="10" borderId="9" xfId="9" applyFont="1" applyFill="1" applyBorder="1"/>
    <xf numFmtId="0" fontId="17" fillId="10" borderId="9" xfId="9" applyFont="1" applyFill="1" applyBorder="1" applyAlignment="1">
      <alignment horizontal="right"/>
    </xf>
    <xf numFmtId="170" fontId="17" fillId="10" borderId="9" xfId="9" applyNumberFormat="1" applyFont="1" applyFill="1" applyBorder="1"/>
    <xf numFmtId="168" fontId="17" fillId="10" borderId="9" xfId="9" applyNumberFormat="1" applyFont="1" applyFill="1" applyBorder="1"/>
    <xf numFmtId="0" fontId="17" fillId="9" borderId="14" xfId="9" applyFont="1" applyFill="1" applyBorder="1"/>
    <xf numFmtId="0" fontId="17" fillId="9" borderId="9" xfId="9" applyFont="1" applyFill="1" applyBorder="1" applyAlignment="1"/>
    <xf numFmtId="170" fontId="17" fillId="9" borderId="9" xfId="9" applyNumberFormat="1" applyFont="1" applyFill="1" applyBorder="1" applyAlignment="1"/>
    <xf numFmtId="0" fontId="4" fillId="9" borderId="16" xfId="2" applyFill="1" applyBorder="1"/>
    <xf numFmtId="168" fontId="18" fillId="0" borderId="16" xfId="14" applyNumberFormat="1" applyFont="1" applyFill="1" applyBorder="1"/>
    <xf numFmtId="37" fontId="18" fillId="0" borderId="16" xfId="12" applyNumberFormat="1" applyFont="1" applyFill="1" applyBorder="1"/>
    <xf numFmtId="0" fontId="17" fillId="9" borderId="16" xfId="9" applyFont="1" applyFill="1" applyBorder="1" applyAlignment="1">
      <alignment horizontal="left"/>
    </xf>
    <xf numFmtId="0" fontId="18" fillId="0" borderId="16" xfId="9" quotePrefix="1" applyFont="1" applyFill="1" applyBorder="1" applyAlignment="1">
      <alignment horizontal="right"/>
    </xf>
    <xf numFmtId="0" fontId="18" fillId="0" borderId="16" xfId="9" applyFont="1" applyFill="1" applyBorder="1"/>
    <xf numFmtId="0" fontId="18" fillId="0" borderId="13" xfId="9" applyFont="1" applyFill="1" applyBorder="1"/>
    <xf numFmtId="168" fontId="18" fillId="0" borderId="13" xfId="14" applyFont="1" applyFill="1" applyBorder="1"/>
    <xf numFmtId="173" fontId="18" fillId="0" borderId="13" xfId="9" applyNumberFormat="1" applyFont="1" applyFill="1" applyBorder="1"/>
    <xf numFmtId="164" fontId="18" fillId="0" borderId="13" xfId="12" applyFont="1" applyFill="1" applyBorder="1"/>
    <xf numFmtId="2" fontId="18" fillId="0" borderId="13" xfId="14" applyNumberFormat="1" applyFont="1" applyFill="1" applyBorder="1"/>
    <xf numFmtId="11" fontId="18" fillId="0" borderId="13" xfId="12" applyNumberFormat="1" applyFont="1" applyFill="1" applyBorder="1"/>
    <xf numFmtId="174" fontId="18" fillId="0" borderId="13" xfId="12" applyNumberFormat="1" applyFont="1" applyFill="1" applyBorder="1"/>
    <xf numFmtId="0" fontId="18" fillId="0" borderId="13" xfId="12" applyNumberFormat="1" applyFont="1" applyFill="1" applyBorder="1"/>
    <xf numFmtId="168" fontId="18" fillId="0" borderId="13" xfId="14" applyNumberFormat="1" applyFont="1" applyFill="1" applyBorder="1"/>
    <xf numFmtId="0" fontId="18" fillId="0" borderId="13" xfId="9" applyNumberFormat="1" applyFont="1" applyFill="1" applyBorder="1" applyAlignment="1">
      <alignment horizontal="left"/>
    </xf>
    <xf numFmtId="0" fontId="17" fillId="9" borderId="16" xfId="9" applyFont="1" applyFill="1" applyBorder="1" applyAlignment="1">
      <alignment horizontal="right"/>
    </xf>
    <xf numFmtId="170" fontId="17" fillId="9" borderId="16" xfId="9" applyNumberFormat="1" applyFont="1" applyFill="1" applyBorder="1"/>
    <xf numFmtId="168" fontId="17" fillId="9" borderId="16" xfId="9" applyNumberFormat="1" applyFont="1" applyFill="1" applyBorder="1"/>
    <xf numFmtId="0" fontId="17" fillId="9" borderId="16" xfId="9" applyFont="1" applyFill="1" applyBorder="1" applyAlignment="1"/>
    <xf numFmtId="0" fontId="4" fillId="9" borderId="16" xfId="2" applyFill="1" applyBorder="1" applyAlignment="1"/>
    <xf numFmtId="37" fontId="18" fillId="8" borderId="16" xfId="12" applyNumberFormat="1" applyFont="1" applyFill="1" applyBorder="1"/>
    <xf numFmtId="0" fontId="13" fillId="10" borderId="9" xfId="4" applyFont="1" applyFill="1" applyBorder="1" applyProtection="1">
      <protection locked="0"/>
    </xf>
    <xf numFmtId="0" fontId="13" fillId="10" borderId="9" xfId="4" applyFont="1" applyFill="1" applyBorder="1" applyAlignment="1">
      <alignment horizontal="left"/>
    </xf>
    <xf numFmtId="18" fontId="13" fillId="10" borderId="9" xfId="4" applyNumberFormat="1" applyFont="1" applyFill="1" applyBorder="1" applyAlignment="1" applyProtection="1">
      <protection locked="0"/>
    </xf>
    <xf numFmtId="0" fontId="14" fillId="10" borderId="9" xfId="6" applyFill="1" applyBorder="1" applyAlignment="1">
      <alignment horizontal="left"/>
    </xf>
    <xf numFmtId="165" fontId="13" fillId="10" borderId="9" xfId="5" applyNumberFormat="1" applyFont="1" applyFill="1" applyBorder="1" applyProtection="1">
      <protection locked="0"/>
    </xf>
    <xf numFmtId="37" fontId="13" fillId="10" borderId="9" xfId="4" applyNumberFormat="1" applyFont="1" applyFill="1" applyBorder="1" applyAlignment="1" applyProtection="1">
      <alignment horizontal="center"/>
      <protection locked="0"/>
    </xf>
    <xf numFmtId="165" fontId="13" fillId="10" borderId="9" xfId="4" applyNumberFormat="1" applyFont="1" applyFill="1" applyBorder="1" applyAlignment="1" applyProtection="1">
      <alignment horizontal="center"/>
      <protection locked="0"/>
    </xf>
    <xf numFmtId="165" fontId="13" fillId="10" borderId="9" xfId="4" applyNumberFormat="1" applyFont="1" applyFill="1" applyBorder="1" applyAlignment="1">
      <alignment horizontal="right"/>
    </xf>
    <xf numFmtId="0" fontId="13" fillId="10" borderId="9" xfId="4" applyFont="1" applyFill="1" applyBorder="1" applyAlignment="1">
      <alignment horizontal="center"/>
    </xf>
    <xf numFmtId="0" fontId="13" fillId="11" borderId="9" xfId="4" applyFont="1" applyFill="1" applyBorder="1" applyProtection="1">
      <protection locked="0"/>
    </xf>
    <xf numFmtId="0" fontId="13" fillId="11" borderId="9" xfId="4" applyFont="1" applyFill="1" applyBorder="1" applyAlignment="1">
      <alignment horizontal="left"/>
    </xf>
    <xf numFmtId="18" fontId="13" fillId="11" borderId="9" xfId="4" applyNumberFormat="1" applyFont="1" applyFill="1" applyBorder="1" applyAlignment="1" applyProtection="1">
      <protection locked="0"/>
    </xf>
    <xf numFmtId="0" fontId="14" fillId="11" borderId="9" xfId="6" applyFill="1" applyBorder="1" applyAlignment="1">
      <alignment horizontal="left"/>
    </xf>
    <xf numFmtId="165" fontId="13" fillId="11" borderId="9" xfId="5" applyNumberFormat="1" applyFont="1" applyFill="1" applyBorder="1" applyProtection="1">
      <protection locked="0"/>
    </xf>
    <xf numFmtId="37" fontId="13" fillId="11" borderId="9" xfId="4" applyNumberFormat="1" applyFont="1" applyFill="1" applyBorder="1" applyAlignment="1" applyProtection="1">
      <alignment horizontal="center"/>
      <protection locked="0"/>
    </xf>
    <xf numFmtId="165" fontId="13" fillId="11" borderId="9" xfId="4" applyNumberFormat="1" applyFont="1" applyFill="1" applyBorder="1" applyAlignment="1" applyProtection="1">
      <alignment horizontal="center"/>
      <protection locked="0"/>
    </xf>
    <xf numFmtId="165" fontId="13" fillId="11" borderId="9" xfId="4" applyNumberFormat="1" applyFont="1" applyFill="1" applyBorder="1" applyAlignment="1">
      <alignment horizontal="right"/>
    </xf>
    <xf numFmtId="0" fontId="13" fillId="11" borderId="9" xfId="4" applyFont="1" applyFill="1" applyBorder="1" applyAlignment="1">
      <alignment horizontal="center"/>
    </xf>
    <xf numFmtId="18" fontId="13" fillId="10" borderId="9" xfId="4" applyNumberFormat="1" applyFont="1" applyFill="1" applyBorder="1" applyAlignment="1" applyProtection="1">
      <alignment horizontal="right"/>
      <protection locked="0"/>
    </xf>
    <xf numFmtId="0" fontId="13" fillId="10" borderId="9" xfId="4" applyFont="1" applyFill="1" applyBorder="1" applyAlignment="1" applyProtection="1">
      <alignment horizontal="center"/>
      <protection locked="0"/>
    </xf>
    <xf numFmtId="11" fontId="13" fillId="10" borderId="9" xfId="4" applyNumberFormat="1" applyFont="1" applyFill="1" applyBorder="1" applyAlignment="1" applyProtection="1">
      <protection locked="0"/>
    </xf>
  </cellXfs>
  <cellStyles count="23">
    <cellStyle name="Comma 2" xfId="5" xr:uid="{C0A2F004-798C-4700-B420-E79F7D704E89}"/>
    <cellStyle name="Cost_Green" xfId="21" xr:uid="{859FD99E-583F-4C48-BA9E-216724C0CFA0}"/>
    <cellStyle name="Cost_Yellow" xfId="22" xr:uid="{FFEBA6FC-EA38-4EFB-A468-D4F7A34101B2}"/>
    <cellStyle name="Lien hypertexte" xfId="2" builtinId="8"/>
    <cellStyle name="Lien hypertexte 2" xfId="6" xr:uid="{CE6E6A40-8A4A-488A-BA44-39AA1E4BE36E}"/>
    <cellStyle name="Lien hypertexte 2 2" xfId="10" xr:uid="{0B346BAB-B1A0-49BD-84A8-F3D33CF5C60D}"/>
    <cellStyle name="Milliers 2" xfId="12" xr:uid="{6AAD237E-FFEE-4A8A-ABED-5D2CFCBDF56C}"/>
    <cellStyle name="Milliers 2 2" xfId="18" xr:uid="{00000000-0005-0000-0000-000001000000}"/>
    <cellStyle name="Milliers 3" xfId="17" xr:uid="{3B0FD086-F638-47E7-B5A0-1725DFE482A6}"/>
    <cellStyle name="Milliers 3 2" xfId="20" xr:uid="{00000000-0005-0000-0000-000002000000}"/>
    <cellStyle name="Monétaire 10" xfId="14" xr:uid="{A39BCD4D-3548-44D3-9670-15357B0E6D07}"/>
    <cellStyle name="Monétaire 2" xfId="11" xr:uid="{0B3E2411-4C2B-43A6-9BAD-F2E9A396C8A8}"/>
    <cellStyle name="Neutre" xfId="1" builtinId="28"/>
    <cellStyle name="Normal" xfId="0" builtinId="0"/>
    <cellStyle name="Normal 2" xfId="4" xr:uid="{D21FC614-9C8E-4BC7-9C84-9380C43B0314}"/>
    <cellStyle name="Normal 3" xfId="3" xr:uid="{6224A529-5445-4C4D-A56E-D88BDA44ACE8}"/>
    <cellStyle name="Normal 4" xfId="7" xr:uid="{A268DFE3-1DFB-413D-9A86-AA6E2F43080D}"/>
    <cellStyle name="Normal 4 2" xfId="9" xr:uid="{BDC40145-BBA7-4182-B820-94E9BE7E47E2}"/>
    <cellStyle name="Normal 4 2 2" xfId="13" xr:uid="{CA751148-A192-43D9-B40A-9ED41BCDB0D7}"/>
    <cellStyle name="Normal 6" xfId="19" xr:uid="{00000000-0005-0000-0000-000008000000}"/>
    <cellStyle name="Normal_Sheet1" xfId="15" xr:uid="{75A7DB3A-17D2-47B0-8A16-08F5DC93B6B7}"/>
    <cellStyle name="Style 1" xfId="16" xr:uid="{F6802F06-2755-499C-B6E6-830C53707F80}"/>
    <cellStyle name="TableStyleLight1" xfId="8" xr:uid="{19D68B70-9097-4BBA-98FB-6CE96FAAF57C}"/>
  </cellStyles>
  <dxfs count="0"/>
  <tableStyles count="0" defaultTableStyle="TableStyleMedium2" defaultPivotStyle="PivotStyleLight16"/>
  <colors>
    <mruColors>
      <color rgb="FFC4D79B"/>
      <color rgb="FF13C9C9"/>
      <color rgb="FF76933C"/>
      <color rgb="FF767B7B"/>
      <color rgb="FFC4CD9B"/>
      <color rgb="FFD8E4B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14</xdr:col>
      <xdr:colOff>46589</xdr:colOff>
      <xdr:row>41</xdr:row>
      <xdr:rowOff>9851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D61EB20-4A8B-4E96-8D73-5365E6313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714589" cy="75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744012</xdr:colOff>
      <xdr:row>41</xdr:row>
      <xdr:rowOff>121429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E99A72E6-6DB1-47C8-8A9F-B34F817D7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83706" cy="75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680912</xdr:colOff>
      <xdr:row>39</xdr:row>
      <xdr:rowOff>130500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4152607-72C5-4CFA-9C6A-E72D8865B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86912" cy="756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757706</xdr:colOff>
      <xdr:row>41</xdr:row>
      <xdr:rowOff>121429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BE8C609-96C9-4E96-A961-DA8D375E6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97400" cy="756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152668</xdr:colOff>
      <xdr:row>11</xdr:row>
      <xdr:rowOff>140326</xdr:rowOff>
    </xdr:from>
    <xdr:ext cx="3346888" cy="2268803"/>
    <xdr:pic>
      <xdr:nvPicPr>
        <xdr:cNvPr id="2" name="Image 1">
          <a:extLst>
            <a:ext uri="{FF2B5EF4-FFF2-40B4-BE49-F238E27FC236}">
              <a16:creationId xmlns:a16="http://schemas.microsoft.com/office/drawing/2014/main" id="{011CE208-5BFA-448F-86B6-84246BB2F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55557" y="2158215"/>
          <a:ext cx="3346888" cy="226880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752306</xdr:colOff>
      <xdr:row>33</xdr:row>
      <xdr:rowOff>27107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3ECE906-630E-42AC-8D7C-F82AC672F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92000" cy="601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10972</xdr:colOff>
      <xdr:row>41</xdr:row>
      <xdr:rowOff>121429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6B37775-96A9-41A0-A195-97AFE9F38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15258" cy="756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90278</xdr:colOff>
      <xdr:row>41</xdr:row>
      <xdr:rowOff>121429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C8D0A4E-C8B4-42BA-89C5-D09F0865B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94564" cy="756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&#239;c/Dropbox/EPSA/Cost/Cost_annees_precedentes/Cost-Ato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Olympix_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CCCB-4263-49D0-A49F-A06D18437542}">
  <sheetPr>
    <tabColor rgb="FFD8E4BC"/>
    <pageSetUpPr fitToPage="1"/>
  </sheetPr>
  <dimension ref="A1:O164"/>
  <sheetViews>
    <sheetView tabSelected="1" zoomScale="90" zoomScaleNormal="9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C28" sqref="C28"/>
    </sheetView>
  </sheetViews>
  <sheetFormatPr baseColWidth="10" defaultColWidth="9.1796875" defaultRowHeight="13" x14ac:dyDescent="0.3"/>
  <cols>
    <col min="1" max="1" width="17.453125" style="3" bestFit="1" customWidth="1"/>
    <col min="2" max="2" width="28.7265625" style="10" bestFit="1" customWidth="1"/>
    <col min="3" max="3" width="13.54296875" style="3" customWidth="1"/>
    <col min="4" max="4" width="10" style="3" bestFit="1" customWidth="1"/>
    <col min="5" max="5" width="23" style="3" customWidth="1"/>
    <col min="6" max="6" width="39.1796875" style="5" customWidth="1"/>
    <col min="7" max="7" width="14" style="3" customWidth="1"/>
    <col min="8" max="8" width="11" style="3" bestFit="1" customWidth="1"/>
    <col min="9" max="13" width="10.453125" style="6" customWidth="1"/>
    <col min="14" max="14" width="9.7265625" style="3" bestFit="1" customWidth="1"/>
    <col min="15" max="15" width="11.1796875" style="10" customWidth="1"/>
    <col min="16" max="16384" width="9.1796875" style="10"/>
  </cols>
  <sheetData>
    <row r="1" spans="1:15" ht="15" thickBot="1" x14ac:dyDescent="0.4">
      <c r="A1" s="1" t="s">
        <v>0</v>
      </c>
      <c r="B1" s="2" t="s">
        <v>1</v>
      </c>
      <c r="D1" s="4"/>
      <c r="M1" s="7" t="s">
        <v>2</v>
      </c>
      <c r="N1" s="8"/>
      <c r="O1" s="9" t="e">
        <f>#REF!</f>
        <v>#REF!</v>
      </c>
    </row>
    <row r="2" spans="1:15" s="14" customFormat="1" ht="15" thickBot="1" x14ac:dyDescent="0.4">
      <c r="A2" s="11" t="s">
        <v>3</v>
      </c>
      <c r="B2" s="12" t="s">
        <v>4</v>
      </c>
      <c r="C2" s="13"/>
      <c r="F2" s="15"/>
    </row>
    <row r="3" spans="1:15" s="14" customFormat="1" ht="15.5" thickTop="1" thickBot="1" x14ac:dyDescent="0.4">
      <c r="A3" s="16" t="s">
        <v>5</v>
      </c>
      <c r="B3" s="17">
        <v>2018</v>
      </c>
      <c r="C3" s="13"/>
      <c r="F3" s="15"/>
    </row>
    <row r="4" spans="1:15" s="14" customFormat="1" ht="15.5" thickTop="1" thickBot="1" x14ac:dyDescent="0.4">
      <c r="A4" s="18" t="s">
        <v>6</v>
      </c>
      <c r="B4" s="19">
        <v>81</v>
      </c>
      <c r="C4" s="13"/>
      <c r="D4" s="4" t="s">
        <v>7</v>
      </c>
      <c r="F4" s="15"/>
    </row>
    <row r="5" spans="1:15" s="23" customFormat="1" ht="15" thickTop="1" x14ac:dyDescent="0.35">
      <c r="A5" s="20"/>
      <c r="B5" s="21"/>
      <c r="C5" s="22"/>
      <c r="F5" s="24"/>
    </row>
    <row r="6" spans="1:15" s="29" customFormat="1" ht="49.5" customHeight="1" x14ac:dyDescent="0.3">
      <c r="A6" s="25" t="s">
        <v>8</v>
      </c>
      <c r="B6" s="26" t="s">
        <v>9</v>
      </c>
      <c r="C6" s="26" t="s">
        <v>10</v>
      </c>
      <c r="D6" s="26" t="s">
        <v>11</v>
      </c>
      <c r="E6" s="26" t="s">
        <v>12</v>
      </c>
      <c r="F6" s="26" t="s">
        <v>13</v>
      </c>
      <c r="G6" s="26" t="s">
        <v>14</v>
      </c>
      <c r="H6" s="27" t="s">
        <v>15</v>
      </c>
      <c r="I6" s="26" t="s">
        <v>16</v>
      </c>
      <c r="J6" s="26" t="s">
        <v>17</v>
      </c>
      <c r="K6" s="26" t="s">
        <v>18</v>
      </c>
      <c r="L6" s="26" t="s">
        <v>19</v>
      </c>
      <c r="M6" s="26" t="s">
        <v>20</v>
      </c>
      <c r="N6" s="28" t="s">
        <v>21</v>
      </c>
      <c r="O6" s="26" t="s">
        <v>22</v>
      </c>
    </row>
    <row r="7" spans="1:15" ht="14.5" x14ac:dyDescent="0.35">
      <c r="A7" s="223"/>
      <c r="B7" s="224" t="str">
        <f>'EN A0800'!B2</f>
        <v>Engine &amp; Drivetrain</v>
      </c>
      <c r="C7" s="225" t="e">
        <f>EN_A0001</f>
        <v>#NAME?</v>
      </c>
      <c r="D7" s="225" t="s">
        <v>23</v>
      </c>
      <c r="E7" s="225"/>
      <c r="F7" s="226" t="str">
        <f>'[3]BR Assembly'!B4</f>
        <v>Nom de l'assemblage 1</v>
      </c>
      <c r="G7" s="225"/>
      <c r="H7" s="227" t="e">
        <f>SUM(J7:M7)</f>
        <v>#NAME?</v>
      </c>
      <c r="I7" s="228" t="e">
        <f>EN_A0001_q</f>
        <v>#NAME?</v>
      </c>
      <c r="J7" s="229" t="e">
        <f>EN_A0001_m</f>
        <v>#NAME?</v>
      </c>
      <c r="K7" s="229" t="e">
        <f>EN_A0001_p</f>
        <v>#NAME?</v>
      </c>
      <c r="L7" s="229" t="e">
        <f>EN_A0001_f</f>
        <v>#NAME?</v>
      </c>
      <c r="M7" s="229" t="e">
        <f>EN_A0001_t</f>
        <v>#NAME?</v>
      </c>
      <c r="N7" s="230" t="e">
        <f t="shared" ref="N7:N17" si="0">H7*I7</f>
        <v>#NAME?</v>
      </c>
      <c r="O7" s="231"/>
    </row>
    <row r="8" spans="1:15" ht="14.5" x14ac:dyDescent="0.35">
      <c r="A8" s="214"/>
      <c r="B8" s="215" t="str">
        <f>'EN A0800'!$B$2</f>
        <v>Engine &amp; Drivetrain</v>
      </c>
      <c r="C8" s="232" t="e">
        <f>EN_01001</f>
        <v>#NAME?</v>
      </c>
      <c r="D8" s="216" t="s">
        <v>23</v>
      </c>
      <c r="E8" s="216" t="str">
        <f>F7</f>
        <v>Nom de l'assemblage 1</v>
      </c>
      <c r="F8" s="217" t="e">
        <f>#REF!</f>
        <v>#REF!</v>
      </c>
      <c r="G8" s="216"/>
      <c r="H8" s="218" t="e">
        <f t="shared" ref="H8:H17" si="1">SUM(J8:M8)</f>
        <v>#NAME?</v>
      </c>
      <c r="I8" s="219" t="e">
        <f>EN_A0001_q*EN_01001_q</f>
        <v>#NAME?</v>
      </c>
      <c r="J8" s="220" t="e">
        <f>EN_01001_m</f>
        <v>#NAME?</v>
      </c>
      <c r="K8" s="220" t="e">
        <f>EN_01001_p</f>
        <v>#NAME?</v>
      </c>
      <c r="L8" s="220" t="e">
        <f>EN_01001_f</f>
        <v>#NAME?</v>
      </c>
      <c r="M8" s="220" t="e">
        <f>EN_01001_t</f>
        <v>#NAME?</v>
      </c>
      <c r="N8" s="221" t="e">
        <f t="shared" si="0"/>
        <v>#NAME?</v>
      </c>
      <c r="O8" s="222"/>
    </row>
    <row r="9" spans="1:15" ht="14" x14ac:dyDescent="0.3">
      <c r="A9" s="214"/>
      <c r="B9" s="215" t="str">
        <f>'EN A0800'!$B$2</f>
        <v>Engine &amp; Drivetrain</v>
      </c>
      <c r="C9" s="216"/>
      <c r="D9" s="216" t="s">
        <v>23</v>
      </c>
      <c r="E9" s="216"/>
      <c r="F9" s="215"/>
      <c r="G9" s="216"/>
      <c r="H9" s="218">
        <f t="shared" si="1"/>
        <v>0</v>
      </c>
      <c r="I9" s="233"/>
      <c r="J9" s="220"/>
      <c r="K9" s="220"/>
      <c r="L9" s="220"/>
      <c r="M9" s="220"/>
      <c r="N9" s="221">
        <f t="shared" si="0"/>
        <v>0</v>
      </c>
      <c r="O9" s="222"/>
    </row>
    <row r="10" spans="1:15" ht="14" x14ac:dyDescent="0.3">
      <c r="A10" s="214"/>
      <c r="B10" s="215" t="str">
        <f>'EN A0800'!$B$2</f>
        <v>Engine &amp; Drivetrain</v>
      </c>
      <c r="C10" s="216"/>
      <c r="D10" s="216" t="s">
        <v>23</v>
      </c>
      <c r="E10" s="216"/>
      <c r="F10" s="215"/>
      <c r="G10" s="216"/>
      <c r="H10" s="218">
        <f t="shared" si="1"/>
        <v>0</v>
      </c>
      <c r="I10" s="233"/>
      <c r="J10" s="220"/>
      <c r="K10" s="220"/>
      <c r="L10" s="220"/>
      <c r="M10" s="220"/>
      <c r="N10" s="221">
        <f t="shared" si="0"/>
        <v>0</v>
      </c>
      <c r="O10" s="222"/>
    </row>
    <row r="11" spans="1:15" ht="14" x14ac:dyDescent="0.3">
      <c r="A11" s="214"/>
      <c r="B11" s="215" t="str">
        <f>'EN A0800'!$B$2</f>
        <v>Engine &amp; Drivetrain</v>
      </c>
      <c r="C11" s="216"/>
      <c r="D11" s="216" t="s">
        <v>23</v>
      </c>
      <c r="E11" s="216"/>
      <c r="F11" s="215"/>
      <c r="G11" s="216"/>
      <c r="H11" s="218">
        <f t="shared" si="1"/>
        <v>0</v>
      </c>
      <c r="I11" s="233"/>
      <c r="J11" s="220"/>
      <c r="K11" s="220"/>
      <c r="L11" s="220"/>
      <c r="M11" s="220"/>
      <c r="N11" s="221">
        <f t="shared" si="0"/>
        <v>0</v>
      </c>
      <c r="O11" s="222"/>
    </row>
    <row r="12" spans="1:15" ht="14" x14ac:dyDescent="0.3">
      <c r="A12" s="214"/>
      <c r="B12" s="215" t="str">
        <f>'EN A0800'!$B$2</f>
        <v>Engine &amp; Drivetrain</v>
      </c>
      <c r="C12" s="216"/>
      <c r="D12" s="216" t="s">
        <v>23</v>
      </c>
      <c r="E12" s="216"/>
      <c r="F12" s="215"/>
      <c r="G12" s="216"/>
      <c r="H12" s="218">
        <f t="shared" si="1"/>
        <v>0</v>
      </c>
      <c r="I12" s="233"/>
      <c r="J12" s="220"/>
      <c r="K12" s="220"/>
      <c r="L12" s="220"/>
      <c r="M12" s="220"/>
      <c r="N12" s="221">
        <f t="shared" si="0"/>
        <v>0</v>
      </c>
      <c r="O12" s="222"/>
    </row>
    <row r="13" spans="1:15" ht="14" x14ac:dyDescent="0.3">
      <c r="A13" s="214"/>
      <c r="B13" s="215" t="str">
        <f>'EN A0800'!$B$2</f>
        <v>Engine &amp; Drivetrain</v>
      </c>
      <c r="C13" s="216"/>
      <c r="D13" s="216" t="s">
        <v>23</v>
      </c>
      <c r="E13" s="216"/>
      <c r="F13" s="215"/>
      <c r="G13" s="216"/>
      <c r="H13" s="218">
        <f t="shared" si="1"/>
        <v>0</v>
      </c>
      <c r="I13" s="233"/>
      <c r="J13" s="220"/>
      <c r="K13" s="220"/>
      <c r="L13" s="220"/>
      <c r="M13" s="220"/>
      <c r="N13" s="221">
        <f t="shared" si="0"/>
        <v>0</v>
      </c>
      <c r="O13" s="222"/>
    </row>
    <row r="14" spans="1:15" ht="14" x14ac:dyDescent="0.3">
      <c r="A14" s="214"/>
      <c r="B14" s="215" t="str">
        <f>'EN A0800'!$B$2</f>
        <v>Engine &amp; Drivetrain</v>
      </c>
      <c r="C14" s="216"/>
      <c r="D14" s="216" t="s">
        <v>23</v>
      </c>
      <c r="E14" s="216"/>
      <c r="F14" s="215"/>
      <c r="G14" s="216"/>
      <c r="H14" s="218">
        <f t="shared" si="1"/>
        <v>0</v>
      </c>
      <c r="I14" s="233"/>
      <c r="J14" s="220"/>
      <c r="K14" s="220"/>
      <c r="L14" s="220"/>
      <c r="M14" s="220"/>
      <c r="N14" s="221">
        <f t="shared" si="0"/>
        <v>0</v>
      </c>
      <c r="O14" s="222"/>
    </row>
    <row r="15" spans="1:15" ht="14" x14ac:dyDescent="0.3">
      <c r="A15" s="214"/>
      <c r="B15" s="215" t="str">
        <f>'EN A0800'!$B$2</f>
        <v>Engine &amp; Drivetrain</v>
      </c>
      <c r="C15" s="216"/>
      <c r="D15" s="216" t="s">
        <v>23</v>
      </c>
      <c r="E15" s="216"/>
      <c r="F15" s="215"/>
      <c r="G15" s="234"/>
      <c r="H15" s="218">
        <f t="shared" si="1"/>
        <v>0</v>
      </c>
      <c r="I15" s="233"/>
      <c r="J15" s="220"/>
      <c r="K15" s="220"/>
      <c r="L15" s="220"/>
      <c r="M15" s="220"/>
      <c r="N15" s="221">
        <f t="shared" si="0"/>
        <v>0</v>
      </c>
      <c r="O15" s="222"/>
    </row>
    <row r="16" spans="1:15" ht="14" x14ac:dyDescent="0.3">
      <c r="A16" s="214"/>
      <c r="B16" s="215" t="str">
        <f>'EN A0800'!$B$2</f>
        <v>Engine &amp; Drivetrain</v>
      </c>
      <c r="C16" s="216"/>
      <c r="D16" s="216" t="s">
        <v>23</v>
      </c>
      <c r="E16" s="216"/>
      <c r="F16" s="215"/>
      <c r="G16" s="216"/>
      <c r="H16" s="218">
        <f t="shared" si="1"/>
        <v>0</v>
      </c>
      <c r="I16" s="233"/>
      <c r="J16" s="220"/>
      <c r="K16" s="220"/>
      <c r="L16" s="220"/>
      <c r="M16" s="220"/>
      <c r="N16" s="221">
        <f t="shared" si="0"/>
        <v>0</v>
      </c>
      <c r="O16" s="222"/>
    </row>
    <row r="17" spans="1:15" ht="14.5" thickBot="1" x14ac:dyDescent="0.35">
      <c r="A17" s="214"/>
      <c r="B17" s="215" t="str">
        <f>'EN A0800'!$B$2</f>
        <v>Engine &amp; Drivetrain</v>
      </c>
      <c r="C17" s="216"/>
      <c r="D17" s="216" t="s">
        <v>23</v>
      </c>
      <c r="E17" s="216"/>
      <c r="F17" s="215"/>
      <c r="G17" s="216"/>
      <c r="H17" s="218">
        <f t="shared" si="1"/>
        <v>0</v>
      </c>
      <c r="I17" s="233"/>
      <c r="J17" s="220"/>
      <c r="K17" s="220"/>
      <c r="L17" s="220"/>
      <c r="M17" s="220"/>
      <c r="N17" s="221">
        <f t="shared" si="0"/>
        <v>0</v>
      </c>
      <c r="O17" s="222"/>
    </row>
    <row r="18" spans="1:15" s="37" customFormat="1" ht="15" thickTop="1" thickBot="1" x14ac:dyDescent="0.35">
      <c r="A18" s="30"/>
      <c r="B18" s="31" t="str">
        <f>'EN A0800'!B2</f>
        <v>Engine &amp; Drivetrain</v>
      </c>
      <c r="C18" s="32"/>
      <c r="D18" s="32"/>
      <c r="E18" s="32"/>
      <c r="F18" s="31" t="s">
        <v>24</v>
      </c>
      <c r="G18" s="32"/>
      <c r="H18" s="33"/>
      <c r="I18" s="34"/>
      <c r="J18" s="35" t="e">
        <f>SUMPRODUCT($I7:$I17,J7:J17)</f>
        <v>#NAME?</v>
      </c>
      <c r="K18" s="35" t="e">
        <f>SUMPRODUCT($I7:$I17,K7:K17)</f>
        <v>#NAME?</v>
      </c>
      <c r="L18" s="35" t="e">
        <f>SUMPRODUCT($I7:$I17,L7:L17)</f>
        <v>#NAME?</v>
      </c>
      <c r="M18" s="35" t="e">
        <f>SUMPRODUCT($I7:$I17,M7:M17)</f>
        <v>#NAME?</v>
      </c>
      <c r="N18" s="35" t="e">
        <f>SUM(N7:N17)</f>
        <v>#NAME?</v>
      </c>
      <c r="O18" s="36"/>
    </row>
    <row r="19" spans="1:15" thickTop="1" x14ac:dyDescent="0.25">
      <c r="A19" s="38"/>
      <c r="B19" s="5"/>
      <c r="C19" s="10"/>
      <c r="D19" s="10"/>
      <c r="E19" s="10"/>
      <c r="F19" s="10"/>
      <c r="G19" s="10"/>
      <c r="H19" s="39"/>
      <c r="I19" s="10"/>
      <c r="J19" s="10"/>
      <c r="K19" s="10"/>
      <c r="L19" s="10"/>
      <c r="M19" s="10"/>
      <c r="N19" s="10"/>
    </row>
    <row r="20" spans="1:15" ht="12.5" x14ac:dyDescent="0.25">
      <c r="A20" s="38"/>
      <c r="B20" s="5"/>
      <c r="C20" s="10"/>
      <c r="D20" s="10"/>
      <c r="E20" s="10"/>
      <c r="F20" s="10"/>
      <c r="G20" s="10"/>
      <c r="H20" s="39"/>
      <c r="I20" s="10"/>
      <c r="J20" s="10"/>
      <c r="K20" s="10"/>
      <c r="L20" s="10"/>
      <c r="M20" s="10"/>
      <c r="N20" s="10"/>
    </row>
    <row r="21" spans="1:15" x14ac:dyDescent="0.3">
      <c r="A21" s="38"/>
      <c r="B21" s="38"/>
      <c r="D21" s="10"/>
      <c r="E21" s="10"/>
      <c r="G21" s="10"/>
      <c r="H21" s="10"/>
      <c r="I21" s="39"/>
      <c r="J21" s="39"/>
      <c r="K21" s="39"/>
      <c r="L21" s="39"/>
      <c r="M21" s="39"/>
      <c r="N21" s="10"/>
    </row>
    <row r="22" spans="1:15" x14ac:dyDescent="0.3">
      <c r="A22" s="38"/>
      <c r="B22" s="38"/>
      <c r="D22" s="10"/>
      <c r="E22" s="10"/>
      <c r="G22" s="10"/>
      <c r="H22" s="10"/>
      <c r="I22" s="39"/>
      <c r="J22" s="39"/>
      <c r="K22" s="39"/>
      <c r="L22" s="39"/>
      <c r="M22" s="39"/>
      <c r="N22" s="40"/>
    </row>
    <row r="23" spans="1:15" x14ac:dyDescent="0.3">
      <c r="A23" s="38"/>
      <c r="B23" s="38"/>
      <c r="D23" s="10"/>
      <c r="E23" s="10"/>
      <c r="G23" s="10"/>
      <c r="H23" s="10"/>
      <c r="I23" s="39"/>
      <c r="J23" s="39"/>
      <c r="K23" s="39"/>
      <c r="L23" s="39"/>
      <c r="M23" s="39"/>
      <c r="N23" s="10"/>
    </row>
    <row r="24" spans="1:15" x14ac:dyDescent="0.3">
      <c r="A24" s="38"/>
      <c r="B24" s="38"/>
      <c r="D24" s="10"/>
      <c r="E24" s="10"/>
      <c r="G24" s="10"/>
      <c r="H24" s="10"/>
      <c r="I24" s="39"/>
      <c r="J24" s="39"/>
      <c r="K24" s="39"/>
      <c r="L24" s="39"/>
      <c r="M24" s="39"/>
      <c r="N24" s="40"/>
    </row>
    <row r="25" spans="1:15" x14ac:dyDescent="0.3">
      <c r="A25" s="38"/>
      <c r="B25" s="38"/>
      <c r="D25" s="10"/>
      <c r="E25" s="10"/>
      <c r="G25" s="10"/>
      <c r="H25" s="10"/>
      <c r="I25" s="39"/>
      <c r="J25" s="39"/>
      <c r="K25" s="39"/>
      <c r="L25" s="39"/>
      <c r="M25" s="39"/>
      <c r="N25" s="10"/>
    </row>
    <row r="26" spans="1:15" x14ac:dyDescent="0.3">
      <c r="A26" s="38"/>
      <c r="B26" s="38"/>
      <c r="D26" s="10"/>
      <c r="E26" s="10"/>
      <c r="G26" s="10"/>
      <c r="H26" s="10"/>
      <c r="I26" s="39"/>
      <c r="J26" s="39"/>
      <c r="K26" s="39"/>
      <c r="L26" s="39"/>
      <c r="M26" s="39"/>
      <c r="N26" s="10"/>
    </row>
    <row r="27" spans="1:15" x14ac:dyDescent="0.3">
      <c r="A27" s="38"/>
      <c r="B27" s="38"/>
      <c r="D27" s="10"/>
      <c r="E27" s="10"/>
      <c r="G27" s="10"/>
      <c r="H27" s="10"/>
      <c r="I27" s="39"/>
      <c r="J27" s="39"/>
      <c r="K27" s="39"/>
      <c r="L27" s="39"/>
      <c r="M27" s="39"/>
      <c r="N27" s="10"/>
    </row>
    <row r="28" spans="1:15" x14ac:dyDescent="0.3">
      <c r="A28" s="38"/>
      <c r="B28" s="38"/>
      <c r="D28" s="10"/>
      <c r="E28" s="10"/>
      <c r="G28" s="10"/>
      <c r="H28" s="10"/>
      <c r="I28" s="39"/>
      <c r="J28" s="39"/>
      <c r="K28" s="39"/>
      <c r="L28" s="39"/>
      <c r="M28" s="39"/>
      <c r="N28" s="10"/>
    </row>
    <row r="29" spans="1:15" x14ac:dyDescent="0.3">
      <c r="A29" s="38"/>
      <c r="B29" s="38"/>
      <c r="D29" s="10"/>
      <c r="E29" s="10"/>
      <c r="G29" s="10"/>
      <c r="H29" s="10"/>
      <c r="I29" s="39"/>
      <c r="J29" s="39"/>
      <c r="K29" s="39"/>
      <c r="L29" s="39"/>
      <c r="M29" s="39"/>
      <c r="N29" s="10"/>
    </row>
    <row r="30" spans="1:15" x14ac:dyDescent="0.3">
      <c r="A30" s="38"/>
      <c r="B30" s="38"/>
      <c r="D30" s="10"/>
      <c r="E30" s="10"/>
      <c r="G30" s="10"/>
      <c r="H30" s="10"/>
      <c r="I30" s="39"/>
      <c r="J30" s="39"/>
      <c r="K30" s="39"/>
      <c r="L30" s="39"/>
      <c r="M30" s="39"/>
      <c r="N30" s="10"/>
    </row>
    <row r="31" spans="1:15" x14ac:dyDescent="0.3">
      <c r="A31" s="38"/>
      <c r="B31" s="38"/>
      <c r="D31" s="10"/>
      <c r="E31" s="10"/>
      <c r="G31" s="10"/>
      <c r="H31" s="10"/>
      <c r="I31" s="39"/>
      <c r="J31" s="39"/>
      <c r="K31" s="39"/>
      <c r="L31" s="39"/>
      <c r="M31" s="39"/>
      <c r="N31" s="10"/>
    </row>
    <row r="32" spans="1:15" x14ac:dyDescent="0.3">
      <c r="A32" s="38"/>
      <c r="B32" s="38"/>
      <c r="D32" s="10"/>
      <c r="E32" s="10"/>
      <c r="G32" s="10"/>
      <c r="H32" s="10"/>
      <c r="I32" s="39"/>
      <c r="J32" s="39"/>
      <c r="K32" s="39"/>
      <c r="L32" s="39"/>
      <c r="M32" s="39"/>
      <c r="N32" s="10"/>
    </row>
    <row r="33" spans="1:14" x14ac:dyDescent="0.3">
      <c r="A33" s="38"/>
      <c r="B33" s="38"/>
      <c r="D33" s="10"/>
      <c r="E33" s="10"/>
      <c r="G33" s="10"/>
      <c r="H33" s="10"/>
      <c r="I33" s="39"/>
      <c r="J33" s="39"/>
      <c r="K33" s="39"/>
      <c r="L33" s="39"/>
      <c r="M33" s="39"/>
      <c r="N33" s="10"/>
    </row>
    <row r="34" spans="1:14" x14ac:dyDescent="0.3">
      <c r="A34" s="38"/>
      <c r="B34" s="38"/>
      <c r="D34" s="10"/>
      <c r="E34" s="10"/>
      <c r="G34" s="10"/>
      <c r="H34" s="10"/>
      <c r="I34" s="39"/>
      <c r="J34" s="39"/>
      <c r="K34" s="39"/>
      <c r="L34" s="39"/>
      <c r="M34" s="39"/>
      <c r="N34" s="10"/>
    </row>
    <row r="35" spans="1:14" x14ac:dyDescent="0.3">
      <c r="A35" s="38"/>
      <c r="B35" s="38"/>
      <c r="D35" s="10"/>
      <c r="E35" s="10"/>
      <c r="G35" s="10"/>
      <c r="H35" s="10"/>
      <c r="I35" s="39"/>
      <c r="J35" s="39"/>
      <c r="K35" s="39"/>
      <c r="L35" s="39"/>
      <c r="M35" s="39"/>
      <c r="N35" s="10"/>
    </row>
    <row r="36" spans="1:14" x14ac:dyDescent="0.3">
      <c r="A36" s="38"/>
      <c r="B36" s="38"/>
      <c r="D36" s="10"/>
      <c r="E36" s="10"/>
      <c r="G36" s="10"/>
      <c r="H36" s="10"/>
      <c r="I36" s="39"/>
      <c r="J36" s="39"/>
      <c r="K36" s="39"/>
      <c r="L36" s="39"/>
      <c r="M36" s="39"/>
      <c r="N36" s="10"/>
    </row>
    <row r="37" spans="1:14" x14ac:dyDescent="0.3">
      <c r="A37" s="38"/>
      <c r="B37" s="38"/>
      <c r="D37" s="10"/>
      <c r="E37" s="10"/>
      <c r="G37" s="10"/>
      <c r="H37" s="10"/>
      <c r="I37" s="39"/>
      <c r="J37" s="39"/>
      <c r="K37" s="39"/>
      <c r="L37" s="39"/>
      <c r="M37" s="39"/>
      <c r="N37" s="10"/>
    </row>
    <row r="38" spans="1:14" x14ac:dyDescent="0.3">
      <c r="A38" s="38"/>
      <c r="B38" s="38"/>
      <c r="D38" s="10"/>
      <c r="E38" s="10"/>
      <c r="G38" s="10"/>
      <c r="H38" s="10"/>
      <c r="I38" s="39"/>
      <c r="J38" s="39"/>
      <c r="K38" s="39"/>
      <c r="L38" s="39"/>
      <c r="M38" s="39"/>
      <c r="N38" s="10"/>
    </row>
    <row r="39" spans="1:14" x14ac:dyDescent="0.3">
      <c r="A39" s="38"/>
      <c r="B39" s="38"/>
      <c r="D39" s="10"/>
      <c r="E39" s="10"/>
      <c r="G39" s="10"/>
      <c r="H39" s="10"/>
      <c r="I39" s="39"/>
      <c r="J39" s="39"/>
      <c r="K39" s="39"/>
      <c r="L39" s="39"/>
      <c r="M39" s="39"/>
      <c r="N39" s="10"/>
    </row>
    <row r="40" spans="1:14" x14ac:dyDescent="0.3">
      <c r="A40" s="38"/>
      <c r="B40" s="38"/>
      <c r="D40" s="10"/>
      <c r="E40" s="10"/>
      <c r="G40" s="10"/>
      <c r="H40" s="10"/>
      <c r="I40" s="39"/>
      <c r="J40" s="39"/>
      <c r="K40" s="39"/>
      <c r="L40" s="39"/>
      <c r="M40" s="39"/>
      <c r="N40" s="10"/>
    </row>
    <row r="41" spans="1:14" x14ac:dyDescent="0.3">
      <c r="A41" s="38"/>
      <c r="B41" s="38"/>
      <c r="D41" s="10"/>
      <c r="E41" s="10"/>
      <c r="G41" s="10"/>
      <c r="H41" s="10"/>
      <c r="I41" s="39"/>
      <c r="J41" s="39"/>
      <c r="K41" s="39"/>
      <c r="L41" s="39"/>
      <c r="M41" s="39"/>
      <c r="N41" s="10"/>
    </row>
    <row r="42" spans="1:14" x14ac:dyDescent="0.3">
      <c r="A42" s="38"/>
      <c r="B42" s="38"/>
      <c r="D42" s="10"/>
      <c r="E42" s="10"/>
      <c r="G42" s="10"/>
      <c r="H42" s="10"/>
      <c r="I42" s="39"/>
      <c r="J42" s="39"/>
      <c r="K42" s="39"/>
      <c r="L42" s="39"/>
      <c r="M42" s="39"/>
      <c r="N42" s="10"/>
    </row>
    <row r="43" spans="1:14" x14ac:dyDescent="0.3">
      <c r="A43" s="38"/>
      <c r="B43" s="38"/>
      <c r="D43" s="10"/>
      <c r="E43" s="10"/>
      <c r="G43" s="10"/>
      <c r="H43" s="10"/>
      <c r="I43" s="39"/>
      <c r="J43" s="39"/>
      <c r="K43" s="39"/>
      <c r="L43" s="39"/>
      <c r="M43" s="39"/>
      <c r="N43" s="10"/>
    </row>
    <row r="44" spans="1:14" x14ac:dyDescent="0.3">
      <c r="A44" s="38"/>
      <c r="B44" s="38"/>
      <c r="D44" s="10"/>
      <c r="E44" s="10"/>
      <c r="G44" s="10"/>
      <c r="H44" s="10"/>
      <c r="I44" s="39"/>
      <c r="J44" s="39"/>
      <c r="K44" s="39"/>
      <c r="L44" s="39"/>
      <c r="M44" s="39"/>
      <c r="N44" s="10"/>
    </row>
    <row r="45" spans="1:14" x14ac:dyDescent="0.3">
      <c r="A45" s="38"/>
      <c r="B45" s="38"/>
      <c r="D45" s="10"/>
      <c r="E45" s="10"/>
      <c r="G45" s="10"/>
      <c r="H45" s="10"/>
      <c r="I45" s="39"/>
      <c r="J45" s="39"/>
      <c r="K45" s="39"/>
      <c r="L45" s="39"/>
      <c r="M45" s="39"/>
      <c r="N45" s="10"/>
    </row>
    <row r="46" spans="1:14" x14ac:dyDescent="0.3">
      <c r="A46" s="38"/>
      <c r="B46" s="38"/>
      <c r="D46" s="10"/>
      <c r="E46" s="10"/>
      <c r="G46" s="10"/>
      <c r="H46" s="10"/>
      <c r="I46" s="39"/>
      <c r="J46" s="39"/>
      <c r="K46" s="39"/>
      <c r="L46" s="39"/>
      <c r="M46" s="39"/>
      <c r="N46" s="10"/>
    </row>
    <row r="47" spans="1:14" x14ac:dyDescent="0.3">
      <c r="A47" s="38"/>
      <c r="B47" s="38"/>
      <c r="D47" s="10"/>
      <c r="E47" s="10"/>
      <c r="G47" s="10"/>
      <c r="H47" s="10"/>
      <c r="I47" s="39"/>
      <c r="J47" s="39"/>
      <c r="K47" s="39"/>
      <c r="L47" s="39"/>
      <c r="M47" s="39"/>
      <c r="N47" s="10"/>
    </row>
    <row r="48" spans="1:14" x14ac:dyDescent="0.3">
      <c r="A48" s="38"/>
      <c r="B48" s="38"/>
      <c r="D48" s="10"/>
      <c r="E48" s="10"/>
      <c r="G48" s="10"/>
      <c r="H48" s="10"/>
      <c r="I48" s="39"/>
      <c r="J48" s="39"/>
      <c r="K48" s="39"/>
      <c r="L48" s="39"/>
      <c r="M48" s="39"/>
      <c r="N48" s="10"/>
    </row>
    <row r="49" spans="1:14" s="3" customFormat="1" x14ac:dyDescent="0.3">
      <c r="A49" s="41"/>
      <c r="B49" s="38"/>
      <c r="F49" s="5"/>
      <c r="I49" s="6"/>
      <c r="J49" s="6"/>
      <c r="K49" s="6"/>
      <c r="L49" s="6"/>
      <c r="M49" s="6"/>
    </row>
    <row r="50" spans="1:14" s="3" customFormat="1" x14ac:dyDescent="0.3">
      <c r="A50" s="41"/>
      <c r="B50" s="38"/>
      <c r="F50" s="5"/>
      <c r="I50" s="6"/>
      <c r="J50" s="6"/>
      <c r="K50" s="6"/>
      <c r="L50" s="6"/>
      <c r="M50" s="6"/>
    </row>
    <row r="51" spans="1:14" s="3" customFormat="1" x14ac:dyDescent="0.3">
      <c r="A51" s="41"/>
      <c r="B51" s="38"/>
      <c r="F51" s="5"/>
      <c r="I51" s="6"/>
      <c r="J51" s="6"/>
      <c r="K51" s="6"/>
      <c r="L51" s="6"/>
      <c r="M51" s="6"/>
    </row>
    <row r="52" spans="1:14" s="3" customFormat="1" x14ac:dyDescent="0.3">
      <c r="A52" s="41"/>
      <c r="B52" s="38"/>
      <c r="F52" s="5"/>
      <c r="I52" s="6"/>
      <c r="J52" s="6"/>
      <c r="K52" s="6"/>
      <c r="L52" s="6"/>
      <c r="M52" s="6"/>
    </row>
    <row r="53" spans="1:14" s="3" customFormat="1" x14ac:dyDescent="0.3">
      <c r="A53" s="41"/>
      <c r="B53" s="38"/>
      <c r="F53" s="5"/>
      <c r="I53" s="6"/>
      <c r="J53" s="6"/>
      <c r="K53" s="6"/>
      <c r="L53" s="6"/>
      <c r="M53" s="6"/>
    </row>
    <row r="54" spans="1:14" s="3" customFormat="1" x14ac:dyDescent="0.3">
      <c r="A54" s="41"/>
      <c r="B54" s="38"/>
      <c r="F54" s="5"/>
      <c r="I54" s="6"/>
      <c r="J54" s="6"/>
      <c r="K54" s="6"/>
      <c r="L54" s="6"/>
      <c r="M54" s="6"/>
    </row>
    <row r="55" spans="1:14" s="3" customFormat="1" x14ac:dyDescent="0.3">
      <c r="A55" s="41"/>
      <c r="B55" s="38"/>
      <c r="F55" s="5"/>
      <c r="I55" s="6"/>
      <c r="J55" s="6"/>
      <c r="K55" s="6"/>
      <c r="L55" s="6"/>
      <c r="M55" s="6"/>
    </row>
    <row r="56" spans="1:14" s="3" customFormat="1" x14ac:dyDescent="0.3">
      <c r="A56" s="41"/>
      <c r="B56" s="38"/>
      <c r="F56" s="5"/>
      <c r="I56" s="6"/>
      <c r="J56" s="6"/>
      <c r="K56" s="6"/>
      <c r="L56" s="6"/>
      <c r="M56" s="6"/>
    </row>
    <row r="57" spans="1:14" s="3" customFormat="1" x14ac:dyDescent="0.3">
      <c r="A57" s="41"/>
      <c r="B57" s="38"/>
      <c r="F57" s="5"/>
      <c r="I57" s="6"/>
      <c r="J57" s="6"/>
      <c r="K57" s="6"/>
      <c r="L57" s="6"/>
      <c r="M57" s="6"/>
    </row>
    <row r="58" spans="1:14" s="3" customFormat="1" x14ac:dyDescent="0.3">
      <c r="A58" s="41"/>
      <c r="B58" s="38"/>
      <c r="F58" s="5"/>
      <c r="I58" s="6"/>
      <c r="J58" s="6"/>
      <c r="K58" s="6"/>
      <c r="L58" s="6"/>
      <c r="M58" s="6"/>
    </row>
    <row r="59" spans="1:14" s="42" customFormat="1" x14ac:dyDescent="0.3">
      <c r="A59" s="41"/>
      <c r="B59" s="38"/>
      <c r="C59" s="3"/>
      <c r="D59" s="3"/>
      <c r="E59" s="3"/>
      <c r="F59" s="5"/>
      <c r="G59" s="3"/>
      <c r="H59" s="3"/>
      <c r="I59" s="6"/>
      <c r="J59" s="6"/>
      <c r="K59" s="6"/>
      <c r="L59" s="6"/>
      <c r="M59" s="6"/>
      <c r="N59" s="3"/>
    </row>
    <row r="60" spans="1:14" s="42" customFormat="1" x14ac:dyDescent="0.3">
      <c r="A60" s="41"/>
      <c r="B60" s="38"/>
      <c r="C60" s="3"/>
      <c r="D60" s="3"/>
      <c r="E60" s="3"/>
      <c r="F60" s="5"/>
      <c r="G60" s="3"/>
      <c r="H60" s="3"/>
      <c r="I60" s="6"/>
      <c r="J60" s="6"/>
      <c r="K60" s="6"/>
      <c r="L60" s="6"/>
      <c r="M60" s="6"/>
      <c r="N60" s="3"/>
    </row>
    <row r="61" spans="1:14" s="42" customFormat="1" x14ac:dyDescent="0.3">
      <c r="A61" s="41"/>
      <c r="B61" s="38"/>
      <c r="C61" s="3"/>
      <c r="D61" s="3"/>
      <c r="E61" s="3"/>
      <c r="F61" s="5"/>
      <c r="G61" s="3"/>
      <c r="H61" s="3"/>
      <c r="I61" s="6"/>
      <c r="J61" s="6"/>
      <c r="K61" s="6"/>
      <c r="L61" s="6"/>
      <c r="M61" s="6"/>
      <c r="N61" s="3"/>
    </row>
    <row r="62" spans="1:14" s="42" customFormat="1" x14ac:dyDescent="0.3">
      <c r="A62" s="41"/>
      <c r="B62" s="38"/>
      <c r="C62" s="3"/>
      <c r="D62" s="3"/>
      <c r="E62" s="3"/>
      <c r="F62" s="5"/>
      <c r="G62" s="3"/>
      <c r="H62" s="3"/>
      <c r="I62" s="6"/>
      <c r="J62" s="6"/>
      <c r="K62" s="6"/>
      <c r="L62" s="6"/>
      <c r="M62" s="6"/>
      <c r="N62" s="3"/>
    </row>
    <row r="63" spans="1:14" s="42" customFormat="1" x14ac:dyDescent="0.3">
      <c r="A63" s="41"/>
      <c r="B63" s="38"/>
      <c r="C63" s="3"/>
      <c r="D63" s="3"/>
      <c r="E63" s="3"/>
      <c r="F63" s="5"/>
      <c r="G63" s="3"/>
      <c r="H63" s="3"/>
      <c r="I63" s="6"/>
      <c r="J63" s="6"/>
      <c r="K63" s="6"/>
      <c r="L63" s="6"/>
      <c r="M63" s="6"/>
      <c r="N63" s="3"/>
    </row>
    <row r="64" spans="1:14" s="42" customFormat="1" x14ac:dyDescent="0.3">
      <c r="A64" s="41"/>
      <c r="B64" s="38"/>
      <c r="C64" s="3"/>
      <c r="D64" s="3"/>
      <c r="E64" s="3"/>
      <c r="F64" s="5"/>
      <c r="G64" s="3"/>
      <c r="H64" s="3"/>
      <c r="I64" s="6"/>
      <c r="J64" s="6"/>
      <c r="K64" s="6"/>
      <c r="L64" s="6"/>
      <c r="M64" s="6"/>
      <c r="N64" s="3"/>
    </row>
    <row r="65" spans="1:14" s="42" customFormat="1" x14ac:dyDescent="0.3">
      <c r="A65" s="41"/>
      <c r="B65" s="38"/>
      <c r="C65" s="3"/>
      <c r="D65" s="3"/>
      <c r="E65" s="3"/>
      <c r="F65" s="5"/>
      <c r="G65" s="3"/>
      <c r="H65" s="3"/>
      <c r="I65" s="6"/>
      <c r="J65" s="6"/>
      <c r="K65" s="6"/>
      <c r="L65" s="6"/>
      <c r="M65" s="6"/>
      <c r="N65" s="3"/>
    </row>
    <row r="66" spans="1:14" s="42" customFormat="1" x14ac:dyDescent="0.3">
      <c r="A66" s="41"/>
      <c r="B66" s="38"/>
      <c r="C66" s="3"/>
      <c r="D66" s="3"/>
      <c r="E66" s="3"/>
      <c r="F66" s="5"/>
      <c r="G66" s="3"/>
      <c r="H66" s="3"/>
      <c r="I66" s="6"/>
      <c r="J66" s="6"/>
      <c r="K66" s="6"/>
      <c r="L66" s="6"/>
      <c r="M66" s="6"/>
      <c r="N66" s="3"/>
    </row>
    <row r="67" spans="1:14" s="42" customFormat="1" x14ac:dyDescent="0.3">
      <c r="A67" s="41"/>
      <c r="B67" s="38"/>
      <c r="C67" s="3"/>
      <c r="D67" s="3"/>
      <c r="E67" s="3"/>
      <c r="F67" s="5"/>
      <c r="G67" s="3"/>
      <c r="H67" s="3"/>
      <c r="I67" s="6"/>
      <c r="J67" s="6"/>
      <c r="K67" s="6"/>
      <c r="L67" s="6"/>
      <c r="M67" s="6"/>
      <c r="N67" s="3"/>
    </row>
    <row r="68" spans="1:14" s="42" customFormat="1" x14ac:dyDescent="0.3">
      <c r="A68" s="41"/>
      <c r="B68" s="38"/>
      <c r="C68" s="3"/>
      <c r="D68" s="3"/>
      <c r="E68" s="3"/>
      <c r="F68" s="5"/>
      <c r="G68" s="3"/>
      <c r="H68" s="3"/>
      <c r="I68" s="6"/>
      <c r="J68" s="6"/>
      <c r="K68" s="6"/>
      <c r="L68" s="6"/>
      <c r="M68" s="6"/>
      <c r="N68" s="3"/>
    </row>
    <row r="69" spans="1:14" s="42" customFormat="1" x14ac:dyDescent="0.3">
      <c r="A69" s="41"/>
      <c r="B69" s="38"/>
      <c r="C69" s="3"/>
      <c r="D69" s="3"/>
      <c r="E69" s="3"/>
      <c r="F69" s="5"/>
      <c r="G69" s="3"/>
      <c r="H69" s="3"/>
      <c r="I69" s="6"/>
      <c r="J69" s="6"/>
      <c r="K69" s="6"/>
      <c r="L69" s="6"/>
      <c r="M69" s="6"/>
      <c r="N69" s="3"/>
    </row>
    <row r="70" spans="1:14" s="42" customFormat="1" x14ac:dyDescent="0.3">
      <c r="A70" s="41"/>
      <c r="B70" s="38"/>
      <c r="C70" s="3"/>
      <c r="D70" s="3"/>
      <c r="E70" s="3"/>
      <c r="F70" s="5"/>
      <c r="G70" s="3"/>
      <c r="H70" s="3"/>
      <c r="I70" s="6"/>
      <c r="J70" s="6"/>
      <c r="K70" s="6"/>
      <c r="L70" s="6"/>
      <c r="M70" s="6"/>
      <c r="N70" s="3"/>
    </row>
    <row r="71" spans="1:14" s="42" customFormat="1" x14ac:dyDescent="0.3">
      <c r="A71" s="41"/>
      <c r="B71" s="38"/>
      <c r="C71" s="3"/>
      <c r="D71" s="3"/>
      <c r="E71" s="3"/>
      <c r="F71" s="5"/>
      <c r="G71" s="3"/>
      <c r="H71" s="3"/>
      <c r="I71" s="6"/>
      <c r="J71" s="6"/>
      <c r="K71" s="6"/>
      <c r="L71" s="6"/>
      <c r="M71" s="6"/>
      <c r="N71" s="3"/>
    </row>
    <row r="72" spans="1:14" s="42" customFormat="1" x14ac:dyDescent="0.3">
      <c r="A72" s="41"/>
      <c r="B72" s="38"/>
      <c r="C72" s="3"/>
      <c r="D72" s="3"/>
      <c r="E72" s="3"/>
      <c r="F72" s="5"/>
      <c r="G72" s="3"/>
      <c r="H72" s="3"/>
      <c r="I72" s="6"/>
      <c r="J72" s="6"/>
      <c r="K72" s="6"/>
      <c r="L72" s="6"/>
      <c r="M72" s="6"/>
      <c r="N72" s="3"/>
    </row>
    <row r="73" spans="1:14" s="42" customFormat="1" x14ac:dyDescent="0.3">
      <c r="A73" s="41"/>
      <c r="B73" s="38"/>
      <c r="C73" s="3"/>
      <c r="D73" s="3"/>
      <c r="E73" s="3"/>
      <c r="F73" s="5"/>
      <c r="G73" s="3"/>
      <c r="H73" s="3"/>
      <c r="I73" s="6"/>
      <c r="J73" s="6"/>
      <c r="K73" s="6"/>
      <c r="L73" s="6"/>
      <c r="M73" s="6"/>
      <c r="N73" s="3"/>
    </row>
    <row r="74" spans="1:14" s="42" customFormat="1" x14ac:dyDescent="0.3">
      <c r="A74" s="41"/>
      <c r="B74" s="38"/>
      <c r="C74" s="3"/>
      <c r="D74" s="3"/>
      <c r="E74" s="3"/>
      <c r="F74" s="5"/>
      <c r="G74" s="3"/>
      <c r="H74" s="3"/>
      <c r="I74" s="6"/>
      <c r="J74" s="6"/>
      <c r="K74" s="6"/>
      <c r="L74" s="6"/>
      <c r="M74" s="6"/>
      <c r="N74" s="3"/>
    </row>
    <row r="75" spans="1:14" s="42" customFormat="1" x14ac:dyDescent="0.3">
      <c r="A75" s="41"/>
      <c r="B75" s="38"/>
      <c r="C75" s="3"/>
      <c r="D75" s="3"/>
      <c r="E75" s="3"/>
      <c r="F75" s="5"/>
      <c r="G75" s="3"/>
      <c r="H75" s="3"/>
      <c r="I75" s="6"/>
      <c r="J75" s="6"/>
      <c r="K75" s="6"/>
      <c r="L75" s="6"/>
      <c r="M75" s="6"/>
      <c r="N75" s="3"/>
    </row>
    <row r="76" spans="1:14" s="42" customFormat="1" x14ac:dyDescent="0.3">
      <c r="A76" s="41"/>
      <c r="B76" s="38"/>
      <c r="C76" s="3"/>
      <c r="D76" s="3"/>
      <c r="E76" s="3"/>
      <c r="F76" s="5"/>
      <c r="G76" s="3"/>
      <c r="H76" s="3"/>
      <c r="I76" s="6"/>
      <c r="J76" s="6"/>
      <c r="K76" s="6"/>
      <c r="L76" s="6"/>
      <c r="M76" s="6"/>
      <c r="N76" s="3"/>
    </row>
    <row r="77" spans="1:14" s="42" customFormat="1" x14ac:dyDescent="0.3">
      <c r="A77" s="41"/>
      <c r="B77" s="38"/>
      <c r="C77" s="3"/>
      <c r="D77" s="3"/>
      <c r="E77" s="3"/>
      <c r="F77" s="5"/>
      <c r="G77" s="3"/>
      <c r="H77" s="3"/>
      <c r="I77" s="6"/>
      <c r="J77" s="6"/>
      <c r="K77" s="6"/>
      <c r="L77" s="6"/>
      <c r="M77" s="6"/>
      <c r="N77" s="3"/>
    </row>
    <row r="78" spans="1:14" s="42" customFormat="1" x14ac:dyDescent="0.3">
      <c r="A78" s="41"/>
      <c r="B78" s="38"/>
      <c r="C78" s="3"/>
      <c r="D78" s="3"/>
      <c r="E78" s="3"/>
      <c r="F78" s="5"/>
      <c r="G78" s="3"/>
      <c r="H78" s="3"/>
      <c r="I78" s="6"/>
      <c r="J78" s="6"/>
      <c r="K78" s="6"/>
      <c r="L78" s="6"/>
      <c r="M78" s="6"/>
      <c r="N78" s="3"/>
    </row>
    <row r="79" spans="1:14" s="42" customFormat="1" x14ac:dyDescent="0.3">
      <c r="A79" s="41"/>
      <c r="B79" s="38"/>
      <c r="C79" s="3"/>
      <c r="D79" s="3"/>
      <c r="E79" s="3"/>
      <c r="F79" s="5"/>
      <c r="G79" s="3"/>
      <c r="H79" s="3"/>
      <c r="I79" s="6"/>
      <c r="J79" s="6"/>
      <c r="K79" s="6"/>
      <c r="L79" s="6"/>
      <c r="M79" s="6"/>
      <c r="N79" s="3"/>
    </row>
    <row r="80" spans="1:14" s="42" customFormat="1" x14ac:dyDescent="0.3">
      <c r="A80" s="41"/>
      <c r="B80" s="38"/>
      <c r="C80" s="3"/>
      <c r="D80" s="3"/>
      <c r="E80" s="3"/>
      <c r="F80" s="5"/>
      <c r="G80" s="3"/>
      <c r="H80" s="3"/>
      <c r="I80" s="6"/>
      <c r="J80" s="6"/>
      <c r="K80" s="6"/>
      <c r="L80" s="6"/>
      <c r="M80" s="6"/>
      <c r="N80" s="3"/>
    </row>
    <row r="81" spans="1:14" s="42" customFormat="1" x14ac:dyDescent="0.3">
      <c r="A81" s="41"/>
      <c r="B81" s="38"/>
      <c r="C81" s="3"/>
      <c r="D81" s="3"/>
      <c r="E81" s="3"/>
      <c r="F81" s="5"/>
      <c r="G81" s="3"/>
      <c r="H81" s="3"/>
      <c r="I81" s="6"/>
      <c r="J81" s="6"/>
      <c r="K81" s="6"/>
      <c r="L81" s="6"/>
      <c r="M81" s="6"/>
      <c r="N81" s="3"/>
    </row>
    <row r="82" spans="1:14" s="42" customFormat="1" x14ac:dyDescent="0.3">
      <c r="A82" s="41"/>
      <c r="B82" s="38"/>
      <c r="C82" s="3"/>
      <c r="D82" s="3"/>
      <c r="E82" s="3"/>
      <c r="F82" s="5"/>
      <c r="G82" s="3"/>
      <c r="H82" s="3"/>
      <c r="I82" s="6"/>
      <c r="J82" s="6"/>
      <c r="K82" s="6"/>
      <c r="L82" s="6"/>
      <c r="M82" s="6"/>
      <c r="N82" s="3"/>
    </row>
    <row r="83" spans="1:14" s="42" customFormat="1" x14ac:dyDescent="0.3">
      <c r="A83" s="41"/>
      <c r="B83" s="38"/>
      <c r="C83" s="3"/>
      <c r="D83" s="3"/>
      <c r="E83" s="3"/>
      <c r="F83" s="5"/>
      <c r="G83" s="3"/>
      <c r="H83" s="3"/>
      <c r="I83" s="6"/>
      <c r="J83" s="6"/>
      <c r="K83" s="6"/>
      <c r="L83" s="6"/>
      <c r="M83" s="6"/>
      <c r="N83" s="3"/>
    </row>
    <row r="84" spans="1:14" s="42" customFormat="1" x14ac:dyDescent="0.3">
      <c r="A84" s="41"/>
      <c r="B84" s="38"/>
      <c r="C84" s="3"/>
      <c r="D84" s="3"/>
      <c r="E84" s="3"/>
      <c r="F84" s="5"/>
      <c r="G84" s="3"/>
      <c r="H84" s="3"/>
      <c r="I84" s="6"/>
      <c r="J84" s="6"/>
      <c r="K84" s="6"/>
      <c r="L84" s="6"/>
      <c r="M84" s="6"/>
      <c r="N84" s="3"/>
    </row>
    <row r="85" spans="1:14" s="42" customFormat="1" x14ac:dyDescent="0.3">
      <c r="A85" s="41"/>
      <c r="B85" s="38"/>
      <c r="C85" s="3"/>
      <c r="D85" s="3"/>
      <c r="E85" s="3"/>
      <c r="F85" s="5"/>
      <c r="G85" s="3"/>
      <c r="H85" s="3"/>
      <c r="I85" s="6"/>
      <c r="J85" s="6"/>
      <c r="K85" s="6"/>
      <c r="L85" s="6"/>
      <c r="M85" s="6"/>
      <c r="N85" s="3"/>
    </row>
    <row r="86" spans="1:14" s="42" customFormat="1" x14ac:dyDescent="0.3">
      <c r="A86" s="41"/>
      <c r="B86" s="38"/>
      <c r="C86" s="3"/>
      <c r="D86" s="3"/>
      <c r="E86" s="3"/>
      <c r="F86" s="5"/>
      <c r="G86" s="3"/>
      <c r="H86" s="3"/>
      <c r="I86" s="6"/>
      <c r="J86" s="6"/>
      <c r="K86" s="6"/>
      <c r="L86" s="6"/>
      <c r="M86" s="6"/>
      <c r="N86" s="3"/>
    </row>
    <row r="87" spans="1:14" s="42" customFormat="1" x14ac:dyDescent="0.3">
      <c r="A87" s="41"/>
      <c r="B87" s="38"/>
      <c r="C87" s="3"/>
      <c r="D87" s="3"/>
      <c r="E87" s="3"/>
      <c r="F87" s="5"/>
      <c r="G87" s="3"/>
      <c r="H87" s="3"/>
      <c r="I87" s="6"/>
      <c r="J87" s="6"/>
      <c r="K87" s="6"/>
      <c r="L87" s="6"/>
      <c r="M87" s="6"/>
      <c r="N87" s="3"/>
    </row>
    <row r="88" spans="1:14" s="42" customFormat="1" x14ac:dyDescent="0.3">
      <c r="A88" s="41"/>
      <c r="B88" s="38"/>
      <c r="C88" s="3"/>
      <c r="D88" s="3"/>
      <c r="E88" s="3"/>
      <c r="F88" s="5"/>
      <c r="G88" s="3"/>
      <c r="H88" s="3"/>
      <c r="I88" s="6"/>
      <c r="J88" s="6"/>
      <c r="K88" s="6"/>
      <c r="L88" s="6"/>
      <c r="M88" s="6"/>
      <c r="N88" s="3"/>
    </row>
    <row r="89" spans="1:14" s="42" customFormat="1" x14ac:dyDescent="0.3">
      <c r="A89" s="41"/>
      <c r="B89" s="38"/>
      <c r="C89" s="3"/>
      <c r="D89" s="3"/>
      <c r="E89" s="3"/>
      <c r="F89" s="5"/>
      <c r="G89" s="3"/>
      <c r="H89" s="3"/>
      <c r="I89" s="6"/>
      <c r="J89" s="6"/>
      <c r="K89" s="6"/>
      <c r="L89" s="6"/>
      <c r="M89" s="6"/>
      <c r="N89" s="3"/>
    </row>
    <row r="90" spans="1:14" s="42" customFormat="1" x14ac:dyDescent="0.3">
      <c r="A90" s="41"/>
      <c r="B90" s="38"/>
      <c r="C90" s="3"/>
      <c r="D90" s="3"/>
      <c r="E90" s="3"/>
      <c r="F90" s="5"/>
      <c r="G90" s="3"/>
      <c r="H90" s="3"/>
      <c r="I90" s="6"/>
      <c r="J90" s="6"/>
      <c r="K90" s="6"/>
      <c r="L90" s="6"/>
      <c r="M90" s="6"/>
      <c r="N90" s="3"/>
    </row>
    <row r="91" spans="1:14" s="42" customFormat="1" x14ac:dyDescent="0.3">
      <c r="A91" s="41"/>
      <c r="B91" s="38"/>
      <c r="C91" s="3"/>
      <c r="D91" s="3"/>
      <c r="E91" s="3"/>
      <c r="F91" s="5"/>
      <c r="G91" s="3"/>
      <c r="H91" s="3"/>
      <c r="I91" s="6"/>
      <c r="J91" s="6"/>
      <c r="K91" s="6"/>
      <c r="L91" s="6"/>
      <c r="M91" s="6"/>
      <c r="N91" s="3"/>
    </row>
    <row r="92" spans="1:14" s="42" customFormat="1" x14ac:dyDescent="0.3">
      <c r="A92" s="41"/>
      <c r="B92" s="38"/>
      <c r="C92" s="3"/>
      <c r="D92" s="3"/>
      <c r="E92" s="3"/>
      <c r="F92" s="5"/>
      <c r="G92" s="3"/>
      <c r="H92" s="3"/>
      <c r="I92" s="6"/>
      <c r="J92" s="6"/>
      <c r="K92" s="6"/>
      <c r="L92" s="6"/>
      <c r="M92" s="6"/>
      <c r="N92" s="3"/>
    </row>
    <row r="93" spans="1:14" s="42" customFormat="1" x14ac:dyDescent="0.3">
      <c r="A93" s="41"/>
      <c r="B93" s="38"/>
      <c r="C93" s="3"/>
      <c r="D93" s="3"/>
      <c r="E93" s="3"/>
      <c r="F93" s="5"/>
      <c r="G93" s="3"/>
      <c r="H93" s="3"/>
      <c r="I93" s="6"/>
      <c r="J93" s="6"/>
      <c r="K93" s="6"/>
      <c r="L93" s="6"/>
      <c r="M93" s="6"/>
      <c r="N93" s="3"/>
    </row>
    <row r="94" spans="1:14" s="42" customFormat="1" x14ac:dyDescent="0.3">
      <c r="A94" s="41"/>
      <c r="B94" s="38"/>
      <c r="C94" s="3"/>
      <c r="D94" s="3"/>
      <c r="E94" s="3"/>
      <c r="F94" s="5"/>
      <c r="G94" s="3"/>
      <c r="H94" s="3"/>
      <c r="I94" s="6"/>
      <c r="J94" s="6"/>
      <c r="K94" s="6"/>
      <c r="L94" s="6"/>
      <c r="M94" s="6"/>
      <c r="N94" s="3"/>
    </row>
    <row r="95" spans="1:14" s="42" customFormat="1" x14ac:dyDescent="0.3">
      <c r="A95" s="41"/>
      <c r="B95" s="38"/>
      <c r="C95" s="3"/>
      <c r="D95" s="3"/>
      <c r="E95" s="3"/>
      <c r="F95" s="5"/>
      <c r="G95" s="3"/>
      <c r="H95" s="3"/>
      <c r="I95" s="6"/>
      <c r="J95" s="6"/>
      <c r="K95" s="6"/>
      <c r="L95" s="6"/>
      <c r="M95" s="6"/>
      <c r="N95" s="3"/>
    </row>
    <row r="96" spans="1:14" s="42" customFormat="1" x14ac:dyDescent="0.3">
      <c r="A96" s="41"/>
      <c r="B96" s="38"/>
      <c r="C96" s="3"/>
      <c r="D96" s="3"/>
      <c r="E96" s="3"/>
      <c r="F96" s="5"/>
      <c r="G96" s="3"/>
      <c r="H96" s="3"/>
      <c r="I96" s="6"/>
      <c r="J96" s="6"/>
      <c r="K96" s="6"/>
      <c r="L96" s="6"/>
      <c r="M96" s="6"/>
      <c r="N96" s="3"/>
    </row>
    <row r="97" spans="1:14" s="42" customFormat="1" x14ac:dyDescent="0.3">
      <c r="A97" s="41"/>
      <c r="B97" s="38"/>
      <c r="C97" s="3"/>
      <c r="D97" s="3"/>
      <c r="E97" s="3"/>
      <c r="F97" s="5"/>
      <c r="G97" s="3"/>
      <c r="H97" s="3"/>
      <c r="I97" s="6"/>
      <c r="J97" s="6"/>
      <c r="K97" s="6"/>
      <c r="L97" s="6"/>
      <c r="M97" s="6"/>
      <c r="N97" s="3"/>
    </row>
    <row r="98" spans="1:14" s="42" customFormat="1" x14ac:dyDescent="0.3">
      <c r="A98" s="41"/>
      <c r="B98" s="38"/>
      <c r="C98" s="3"/>
      <c r="D98" s="3"/>
      <c r="E98" s="3"/>
      <c r="F98" s="5"/>
      <c r="G98" s="3"/>
      <c r="H98" s="3"/>
      <c r="I98" s="6"/>
      <c r="J98" s="6"/>
      <c r="K98" s="6"/>
      <c r="L98" s="6"/>
      <c r="M98" s="6"/>
      <c r="N98" s="3"/>
    </row>
    <row r="99" spans="1:14" s="42" customFormat="1" x14ac:dyDescent="0.3">
      <c r="A99" s="41"/>
      <c r="B99" s="38"/>
      <c r="C99" s="3"/>
      <c r="D99" s="3"/>
      <c r="E99" s="3"/>
      <c r="F99" s="5"/>
      <c r="G99" s="3"/>
      <c r="H99" s="3"/>
      <c r="I99" s="6"/>
      <c r="J99" s="6"/>
      <c r="K99" s="6"/>
      <c r="L99" s="6"/>
      <c r="M99" s="6"/>
      <c r="N99" s="3"/>
    </row>
    <row r="100" spans="1:14" s="42" customFormat="1" x14ac:dyDescent="0.3">
      <c r="A100" s="41"/>
      <c r="B100" s="38"/>
      <c r="C100" s="3"/>
      <c r="D100" s="3"/>
      <c r="E100" s="3"/>
      <c r="F100" s="5"/>
      <c r="G100" s="3"/>
      <c r="H100" s="3"/>
      <c r="I100" s="6"/>
      <c r="J100" s="6"/>
      <c r="K100" s="6"/>
      <c r="L100" s="6"/>
      <c r="M100" s="6"/>
      <c r="N100" s="3"/>
    </row>
    <row r="101" spans="1:14" s="42" customFormat="1" x14ac:dyDescent="0.3">
      <c r="A101" s="41"/>
      <c r="B101" s="38"/>
      <c r="C101" s="3"/>
      <c r="D101" s="3"/>
      <c r="E101" s="3"/>
      <c r="F101" s="5"/>
      <c r="G101" s="3"/>
      <c r="H101" s="3"/>
      <c r="I101" s="6"/>
      <c r="J101" s="6"/>
      <c r="K101" s="6"/>
      <c r="L101" s="6"/>
      <c r="M101" s="6"/>
      <c r="N101" s="3"/>
    </row>
    <row r="102" spans="1:14" s="42" customFormat="1" x14ac:dyDescent="0.3">
      <c r="A102" s="41"/>
      <c r="B102" s="38"/>
      <c r="C102" s="3"/>
      <c r="D102" s="3"/>
      <c r="E102" s="3"/>
      <c r="F102" s="5"/>
      <c r="G102" s="3"/>
      <c r="H102" s="3"/>
      <c r="I102" s="6"/>
      <c r="J102" s="6"/>
      <c r="K102" s="6"/>
      <c r="L102" s="6"/>
      <c r="M102" s="6"/>
      <c r="N102" s="3"/>
    </row>
    <row r="103" spans="1:14" s="42" customFormat="1" x14ac:dyDescent="0.3">
      <c r="A103" s="41"/>
      <c r="B103" s="38"/>
      <c r="C103" s="3"/>
      <c r="D103" s="3"/>
      <c r="E103" s="3"/>
      <c r="F103" s="5"/>
      <c r="G103" s="3"/>
      <c r="H103" s="3"/>
      <c r="I103" s="6"/>
      <c r="J103" s="6"/>
      <c r="K103" s="6"/>
      <c r="L103" s="6"/>
      <c r="M103" s="6"/>
      <c r="N103" s="3"/>
    </row>
    <row r="104" spans="1:14" s="42" customFormat="1" x14ac:dyDescent="0.3">
      <c r="A104" s="41"/>
      <c r="B104" s="38"/>
      <c r="C104" s="3"/>
      <c r="D104" s="3"/>
      <c r="E104" s="3"/>
      <c r="F104" s="5"/>
      <c r="G104" s="3"/>
      <c r="H104" s="3"/>
      <c r="I104" s="6"/>
      <c r="J104" s="6"/>
      <c r="K104" s="6"/>
      <c r="L104" s="6"/>
      <c r="M104" s="6"/>
      <c r="N104" s="3"/>
    </row>
    <row r="105" spans="1:14" s="42" customFormat="1" x14ac:dyDescent="0.3">
      <c r="A105" s="41"/>
      <c r="B105" s="38"/>
      <c r="C105" s="3"/>
      <c r="D105" s="3"/>
      <c r="E105" s="3"/>
      <c r="F105" s="5"/>
      <c r="G105" s="3"/>
      <c r="H105" s="3"/>
      <c r="I105" s="6"/>
      <c r="J105" s="6"/>
      <c r="K105" s="6"/>
      <c r="L105" s="6"/>
      <c r="M105" s="6"/>
      <c r="N105" s="3"/>
    </row>
    <row r="106" spans="1:14" s="42" customFormat="1" x14ac:dyDescent="0.3">
      <c r="A106" s="41"/>
      <c r="B106" s="38"/>
      <c r="C106" s="3"/>
      <c r="D106" s="3"/>
      <c r="E106" s="3"/>
      <c r="F106" s="5"/>
      <c r="G106" s="3"/>
      <c r="H106" s="3"/>
      <c r="I106" s="6"/>
      <c r="J106" s="6"/>
      <c r="K106" s="6"/>
      <c r="L106" s="6"/>
      <c r="M106" s="6"/>
      <c r="N106" s="3"/>
    </row>
    <row r="107" spans="1:14" s="42" customFormat="1" x14ac:dyDescent="0.3">
      <c r="A107" s="41"/>
      <c r="B107" s="38"/>
      <c r="C107" s="3"/>
      <c r="D107" s="3"/>
      <c r="E107" s="3"/>
      <c r="F107" s="5"/>
      <c r="G107" s="3"/>
      <c r="H107" s="3"/>
      <c r="I107" s="6"/>
      <c r="J107" s="6"/>
      <c r="K107" s="6"/>
      <c r="L107" s="6"/>
      <c r="M107" s="6"/>
      <c r="N107" s="3"/>
    </row>
    <row r="108" spans="1:14" s="42" customFormat="1" x14ac:dyDescent="0.3">
      <c r="A108" s="41"/>
      <c r="B108" s="38"/>
      <c r="C108" s="3"/>
      <c r="D108" s="3"/>
      <c r="E108" s="3"/>
      <c r="F108" s="5"/>
      <c r="G108" s="3"/>
      <c r="H108" s="3"/>
      <c r="I108" s="6"/>
      <c r="J108" s="6"/>
      <c r="K108" s="6"/>
      <c r="L108" s="6"/>
      <c r="M108" s="6"/>
      <c r="N108" s="3"/>
    </row>
    <row r="109" spans="1:14" s="42" customFormat="1" x14ac:dyDescent="0.3">
      <c r="A109" s="41"/>
      <c r="B109" s="38"/>
      <c r="C109" s="3"/>
      <c r="D109" s="3"/>
      <c r="E109" s="3"/>
      <c r="F109" s="5"/>
      <c r="G109" s="3"/>
      <c r="H109" s="3"/>
      <c r="I109" s="6"/>
      <c r="J109" s="6"/>
      <c r="K109" s="6"/>
      <c r="L109" s="6"/>
      <c r="M109" s="6"/>
      <c r="N109" s="3"/>
    </row>
    <row r="110" spans="1:14" s="42" customFormat="1" x14ac:dyDescent="0.3">
      <c r="A110" s="41"/>
      <c r="B110" s="38"/>
      <c r="C110" s="3"/>
      <c r="D110" s="3"/>
      <c r="E110" s="3"/>
      <c r="F110" s="5"/>
      <c r="G110" s="3"/>
      <c r="H110" s="3"/>
      <c r="I110" s="6"/>
      <c r="J110" s="6"/>
      <c r="K110" s="6"/>
      <c r="L110" s="6"/>
      <c r="M110" s="6"/>
      <c r="N110" s="3"/>
    </row>
    <row r="111" spans="1:14" s="42" customFormat="1" x14ac:dyDescent="0.3">
      <c r="A111" s="41"/>
      <c r="B111" s="38"/>
      <c r="C111" s="3"/>
      <c r="D111" s="3"/>
      <c r="E111" s="3"/>
      <c r="F111" s="5"/>
      <c r="G111" s="3"/>
      <c r="H111" s="3"/>
      <c r="I111" s="6"/>
      <c r="J111" s="6"/>
      <c r="K111" s="6"/>
      <c r="L111" s="6"/>
      <c r="M111" s="6"/>
      <c r="N111" s="3"/>
    </row>
    <row r="112" spans="1:14" s="42" customFormat="1" x14ac:dyDescent="0.3">
      <c r="A112" s="41"/>
      <c r="B112" s="38"/>
      <c r="C112" s="3"/>
      <c r="D112" s="3"/>
      <c r="E112" s="3"/>
      <c r="F112" s="5"/>
      <c r="G112" s="3"/>
      <c r="H112" s="3"/>
      <c r="I112" s="6"/>
      <c r="J112" s="6"/>
      <c r="K112" s="6"/>
      <c r="L112" s="6"/>
      <c r="M112" s="6"/>
      <c r="N112" s="3"/>
    </row>
    <row r="113" spans="1:14" s="42" customFormat="1" x14ac:dyDescent="0.3">
      <c r="A113" s="41"/>
      <c r="B113" s="38"/>
      <c r="C113" s="3"/>
      <c r="D113" s="3"/>
      <c r="E113" s="3"/>
      <c r="F113" s="5"/>
      <c r="G113" s="3"/>
      <c r="H113" s="3"/>
      <c r="I113" s="6"/>
      <c r="J113" s="6"/>
      <c r="K113" s="6"/>
      <c r="L113" s="6"/>
      <c r="M113" s="6"/>
      <c r="N113" s="3"/>
    </row>
    <row r="114" spans="1:14" s="42" customFormat="1" x14ac:dyDescent="0.3">
      <c r="A114" s="41"/>
      <c r="B114" s="38"/>
      <c r="C114" s="3"/>
      <c r="D114" s="3"/>
      <c r="E114" s="3"/>
      <c r="F114" s="5"/>
      <c r="G114" s="3"/>
      <c r="H114" s="3"/>
      <c r="I114" s="6"/>
      <c r="J114" s="6"/>
      <c r="K114" s="6"/>
      <c r="L114" s="6"/>
      <c r="M114" s="6"/>
      <c r="N114" s="3"/>
    </row>
    <row r="115" spans="1:14" s="42" customFormat="1" x14ac:dyDescent="0.3">
      <c r="A115" s="41"/>
      <c r="B115" s="38"/>
      <c r="C115" s="3"/>
      <c r="D115" s="3"/>
      <c r="E115" s="3"/>
      <c r="F115" s="5"/>
      <c r="G115" s="3"/>
      <c r="H115" s="3"/>
      <c r="I115" s="6"/>
      <c r="J115" s="6"/>
      <c r="K115" s="6"/>
      <c r="L115" s="6"/>
      <c r="M115" s="6"/>
      <c r="N115" s="3"/>
    </row>
    <row r="116" spans="1:14" s="42" customFormat="1" x14ac:dyDescent="0.3">
      <c r="A116" s="41"/>
      <c r="B116" s="38"/>
      <c r="C116" s="3"/>
      <c r="D116" s="3"/>
      <c r="E116" s="3"/>
      <c r="F116" s="5"/>
      <c r="G116" s="3"/>
      <c r="H116" s="3"/>
      <c r="I116" s="6"/>
      <c r="J116" s="6"/>
      <c r="K116" s="6"/>
      <c r="L116" s="6"/>
      <c r="M116" s="6"/>
      <c r="N116" s="3"/>
    </row>
    <row r="117" spans="1:14" s="42" customFormat="1" x14ac:dyDescent="0.3">
      <c r="A117" s="41"/>
      <c r="B117" s="38"/>
      <c r="C117" s="3"/>
      <c r="D117" s="3"/>
      <c r="E117" s="3"/>
      <c r="F117" s="5"/>
      <c r="G117" s="3"/>
      <c r="H117" s="3"/>
      <c r="I117" s="6"/>
      <c r="J117" s="6"/>
      <c r="K117" s="6"/>
      <c r="L117" s="6"/>
      <c r="M117" s="6"/>
      <c r="N117" s="3"/>
    </row>
    <row r="118" spans="1:14" s="42" customFormat="1" x14ac:dyDescent="0.3">
      <c r="A118" s="41"/>
      <c r="B118" s="38"/>
      <c r="C118" s="3"/>
      <c r="D118" s="3"/>
      <c r="E118" s="3"/>
      <c r="F118" s="5"/>
      <c r="G118" s="3"/>
      <c r="H118" s="3"/>
      <c r="I118" s="6"/>
      <c r="J118" s="6"/>
      <c r="K118" s="6"/>
      <c r="L118" s="6"/>
      <c r="M118" s="6"/>
      <c r="N118" s="3"/>
    </row>
    <row r="119" spans="1:14" s="42" customFormat="1" x14ac:dyDescent="0.3">
      <c r="A119" s="41"/>
      <c r="B119" s="38"/>
      <c r="C119" s="3"/>
      <c r="D119" s="3"/>
      <c r="E119" s="3"/>
      <c r="F119" s="5"/>
      <c r="G119" s="3"/>
      <c r="H119" s="3"/>
      <c r="I119" s="6"/>
      <c r="J119" s="6"/>
      <c r="K119" s="6"/>
      <c r="L119" s="6"/>
      <c r="M119" s="6"/>
      <c r="N119" s="3"/>
    </row>
    <row r="120" spans="1:14" s="42" customFormat="1" x14ac:dyDescent="0.3">
      <c r="A120" s="41"/>
      <c r="B120" s="38"/>
      <c r="C120" s="3"/>
      <c r="D120" s="3"/>
      <c r="E120" s="3"/>
      <c r="F120" s="5"/>
      <c r="G120" s="3"/>
      <c r="H120" s="3"/>
      <c r="I120" s="6"/>
      <c r="J120" s="6"/>
      <c r="K120" s="6"/>
      <c r="L120" s="6"/>
      <c r="M120" s="6"/>
      <c r="N120" s="3"/>
    </row>
    <row r="121" spans="1:14" s="42" customFormat="1" x14ac:dyDescent="0.3">
      <c r="A121" s="41"/>
      <c r="B121" s="38"/>
      <c r="C121" s="3"/>
      <c r="D121" s="3"/>
      <c r="E121" s="3"/>
      <c r="F121" s="5"/>
      <c r="G121" s="3"/>
      <c r="H121" s="3"/>
      <c r="I121" s="6"/>
      <c r="J121" s="6"/>
      <c r="K121" s="6"/>
      <c r="L121" s="6"/>
      <c r="M121" s="6"/>
      <c r="N121" s="3"/>
    </row>
    <row r="122" spans="1:14" s="42" customFormat="1" x14ac:dyDescent="0.3">
      <c r="A122" s="41"/>
      <c r="B122" s="38"/>
      <c r="C122" s="3"/>
      <c r="D122" s="3"/>
      <c r="E122" s="3"/>
      <c r="F122" s="5"/>
      <c r="G122" s="3"/>
      <c r="H122" s="3"/>
      <c r="I122" s="6"/>
      <c r="J122" s="6"/>
      <c r="K122" s="6"/>
      <c r="L122" s="6"/>
      <c r="M122" s="6"/>
      <c r="N122" s="3"/>
    </row>
    <row r="123" spans="1:14" s="42" customFormat="1" x14ac:dyDescent="0.3">
      <c r="A123" s="41"/>
      <c r="B123" s="38"/>
      <c r="C123" s="3"/>
      <c r="D123" s="3"/>
      <c r="E123" s="3"/>
      <c r="F123" s="5"/>
      <c r="G123" s="3"/>
      <c r="H123" s="3"/>
      <c r="I123" s="6"/>
      <c r="J123" s="6"/>
      <c r="K123" s="6"/>
      <c r="L123" s="6"/>
      <c r="M123" s="6"/>
      <c r="N123" s="3"/>
    </row>
    <row r="124" spans="1:14" s="42" customFormat="1" x14ac:dyDescent="0.3">
      <c r="A124" s="41"/>
      <c r="B124" s="38"/>
      <c r="C124" s="3"/>
      <c r="D124" s="3"/>
      <c r="E124" s="3"/>
      <c r="F124" s="5"/>
      <c r="G124" s="3"/>
      <c r="H124" s="3"/>
      <c r="I124" s="6"/>
      <c r="J124" s="6"/>
      <c r="K124" s="6"/>
      <c r="L124" s="6"/>
      <c r="M124" s="6"/>
      <c r="N124" s="3"/>
    </row>
    <row r="125" spans="1:14" s="42" customFormat="1" x14ac:dyDescent="0.3">
      <c r="A125" s="41"/>
      <c r="B125" s="38"/>
      <c r="C125" s="3"/>
      <c r="D125" s="3"/>
      <c r="E125" s="3"/>
      <c r="F125" s="5"/>
      <c r="G125" s="3"/>
      <c r="H125" s="3"/>
      <c r="I125" s="6"/>
      <c r="J125" s="6"/>
      <c r="K125" s="6"/>
      <c r="L125" s="6"/>
      <c r="M125" s="6"/>
      <c r="N125" s="3"/>
    </row>
    <row r="126" spans="1:14" s="42" customFormat="1" x14ac:dyDescent="0.3">
      <c r="A126" s="41"/>
      <c r="B126" s="38"/>
      <c r="C126" s="3"/>
      <c r="D126" s="3"/>
      <c r="E126" s="3"/>
      <c r="F126" s="5"/>
      <c r="G126" s="3"/>
      <c r="H126" s="3"/>
      <c r="I126" s="6"/>
      <c r="J126" s="6"/>
      <c r="K126" s="6"/>
      <c r="L126" s="6"/>
      <c r="M126" s="6"/>
      <c r="N126" s="3"/>
    </row>
    <row r="127" spans="1:14" s="42" customFormat="1" x14ac:dyDescent="0.3">
      <c r="A127" s="41"/>
      <c r="B127" s="38"/>
      <c r="C127" s="3"/>
      <c r="D127" s="3"/>
      <c r="E127" s="3"/>
      <c r="F127" s="5"/>
      <c r="G127" s="3"/>
      <c r="H127" s="3"/>
      <c r="I127" s="6"/>
      <c r="J127" s="6"/>
      <c r="K127" s="6"/>
      <c r="L127" s="6"/>
      <c r="M127" s="6"/>
      <c r="N127" s="3"/>
    </row>
    <row r="128" spans="1:14" s="42" customFormat="1" x14ac:dyDescent="0.3">
      <c r="A128" s="41"/>
      <c r="B128" s="38"/>
      <c r="C128" s="3"/>
      <c r="D128" s="3"/>
      <c r="E128" s="3"/>
      <c r="F128" s="5"/>
      <c r="G128" s="3"/>
      <c r="H128" s="3"/>
      <c r="I128" s="6"/>
      <c r="J128" s="6"/>
      <c r="K128" s="6"/>
      <c r="L128" s="6"/>
      <c r="M128" s="6"/>
      <c r="N128" s="3"/>
    </row>
    <row r="129" spans="1:14" s="42" customFormat="1" x14ac:dyDescent="0.3">
      <c r="A129" s="41"/>
      <c r="B129" s="38"/>
      <c r="C129" s="3"/>
      <c r="D129" s="3"/>
      <c r="E129" s="3"/>
      <c r="F129" s="5"/>
      <c r="G129" s="3"/>
      <c r="H129" s="3"/>
      <c r="I129" s="6"/>
      <c r="J129" s="6"/>
      <c r="K129" s="6"/>
      <c r="L129" s="6"/>
      <c r="M129" s="6"/>
      <c r="N129" s="3"/>
    </row>
    <row r="130" spans="1:14" s="42" customFormat="1" x14ac:dyDescent="0.3">
      <c r="A130" s="41"/>
      <c r="B130" s="38"/>
      <c r="C130" s="3"/>
      <c r="D130" s="3"/>
      <c r="E130" s="3"/>
      <c r="F130" s="5"/>
      <c r="G130" s="3"/>
      <c r="H130" s="3"/>
      <c r="I130" s="6"/>
      <c r="J130" s="6"/>
      <c r="K130" s="6"/>
      <c r="L130" s="6"/>
      <c r="M130" s="6"/>
      <c r="N130" s="3"/>
    </row>
    <row r="131" spans="1:14" s="42" customFormat="1" x14ac:dyDescent="0.3">
      <c r="A131" s="41"/>
      <c r="B131" s="38"/>
      <c r="C131" s="3"/>
      <c r="D131" s="3"/>
      <c r="E131" s="3"/>
      <c r="F131" s="5"/>
      <c r="G131" s="3"/>
      <c r="H131" s="3"/>
      <c r="I131" s="6"/>
      <c r="J131" s="6"/>
      <c r="K131" s="6"/>
      <c r="L131" s="6"/>
      <c r="M131" s="6"/>
      <c r="N131" s="3"/>
    </row>
    <row r="132" spans="1:14" s="42" customFormat="1" x14ac:dyDescent="0.3">
      <c r="A132" s="41"/>
      <c r="B132" s="38"/>
      <c r="C132" s="3"/>
      <c r="D132" s="3"/>
      <c r="E132" s="3"/>
      <c r="F132" s="5"/>
      <c r="G132" s="3"/>
      <c r="H132" s="3"/>
      <c r="I132" s="6"/>
      <c r="J132" s="6"/>
      <c r="K132" s="6"/>
      <c r="L132" s="6"/>
      <c r="M132" s="6"/>
      <c r="N132" s="3"/>
    </row>
    <row r="133" spans="1:14" s="42" customFormat="1" x14ac:dyDescent="0.3">
      <c r="A133" s="41"/>
      <c r="B133" s="38"/>
      <c r="C133" s="3"/>
      <c r="D133" s="3"/>
      <c r="E133" s="3"/>
      <c r="F133" s="5"/>
      <c r="G133" s="3"/>
      <c r="H133" s="3"/>
      <c r="I133" s="6"/>
      <c r="J133" s="6"/>
      <c r="K133" s="6"/>
      <c r="L133" s="6"/>
      <c r="M133" s="6"/>
      <c r="N133" s="3"/>
    </row>
    <row r="134" spans="1:14" s="42" customFormat="1" x14ac:dyDescent="0.3">
      <c r="A134" s="41"/>
      <c r="B134" s="38"/>
      <c r="C134" s="3"/>
      <c r="D134" s="3"/>
      <c r="E134" s="3"/>
      <c r="F134" s="5"/>
      <c r="G134" s="3"/>
      <c r="H134" s="3"/>
      <c r="I134" s="6"/>
      <c r="J134" s="6"/>
      <c r="K134" s="6"/>
      <c r="L134" s="6"/>
      <c r="M134" s="6"/>
      <c r="N134" s="3"/>
    </row>
    <row r="135" spans="1:14" s="42" customFormat="1" x14ac:dyDescent="0.3">
      <c r="A135" s="41"/>
      <c r="B135" s="38"/>
      <c r="C135" s="3"/>
      <c r="D135" s="3"/>
      <c r="E135" s="3"/>
      <c r="F135" s="5"/>
      <c r="G135" s="3"/>
      <c r="H135" s="3"/>
      <c r="I135" s="6"/>
      <c r="J135" s="6"/>
      <c r="K135" s="6"/>
      <c r="L135" s="6"/>
      <c r="M135" s="6"/>
      <c r="N135" s="3"/>
    </row>
    <row r="136" spans="1:14" s="42" customFormat="1" x14ac:dyDescent="0.3">
      <c r="A136" s="41"/>
      <c r="B136" s="38"/>
      <c r="C136" s="3"/>
      <c r="D136" s="3"/>
      <c r="E136" s="3"/>
      <c r="F136" s="5"/>
      <c r="G136" s="3"/>
      <c r="H136" s="3"/>
      <c r="I136" s="6"/>
      <c r="J136" s="6"/>
      <c r="K136" s="6"/>
      <c r="L136" s="6"/>
      <c r="M136" s="6"/>
      <c r="N136" s="3"/>
    </row>
    <row r="137" spans="1:14" s="42" customFormat="1" x14ac:dyDescent="0.3">
      <c r="A137" s="41"/>
      <c r="B137" s="38"/>
      <c r="C137" s="3"/>
      <c r="D137" s="3"/>
      <c r="E137" s="3"/>
      <c r="F137" s="5"/>
      <c r="G137" s="3"/>
      <c r="H137" s="3"/>
      <c r="I137" s="6"/>
      <c r="J137" s="6"/>
      <c r="K137" s="6"/>
      <c r="L137" s="6"/>
      <c r="M137" s="6"/>
      <c r="N137" s="3"/>
    </row>
    <row r="138" spans="1:14" s="42" customFormat="1" x14ac:dyDescent="0.3">
      <c r="A138" s="41"/>
      <c r="B138" s="38"/>
      <c r="C138" s="3"/>
      <c r="D138" s="3"/>
      <c r="E138" s="3"/>
      <c r="F138" s="5"/>
      <c r="G138" s="3"/>
      <c r="H138" s="3"/>
      <c r="I138" s="6"/>
      <c r="J138" s="6"/>
      <c r="K138" s="6"/>
      <c r="L138" s="6"/>
      <c r="M138" s="6"/>
      <c r="N138" s="3"/>
    </row>
    <row r="139" spans="1:14" s="42" customFormat="1" x14ac:dyDescent="0.3">
      <c r="A139" s="41"/>
      <c r="B139" s="38"/>
      <c r="C139" s="3"/>
      <c r="D139" s="3"/>
      <c r="E139" s="3"/>
      <c r="F139" s="5"/>
      <c r="G139" s="3"/>
      <c r="H139" s="3"/>
      <c r="I139" s="6"/>
      <c r="J139" s="6"/>
      <c r="K139" s="6"/>
      <c r="L139" s="6"/>
      <c r="M139" s="6"/>
      <c r="N139" s="3"/>
    </row>
    <row r="140" spans="1:14" s="42" customFormat="1" x14ac:dyDescent="0.3">
      <c r="A140" s="41"/>
      <c r="B140" s="38"/>
      <c r="C140" s="3"/>
      <c r="D140" s="3"/>
      <c r="E140" s="3"/>
      <c r="F140" s="5"/>
      <c r="G140" s="3"/>
      <c r="H140" s="3"/>
      <c r="I140" s="6"/>
      <c r="J140" s="6"/>
      <c r="K140" s="6"/>
      <c r="L140" s="6"/>
      <c r="M140" s="6"/>
      <c r="N140" s="3"/>
    </row>
    <row r="141" spans="1:14" s="42" customFormat="1" x14ac:dyDescent="0.3">
      <c r="A141" s="41"/>
      <c r="B141" s="38"/>
      <c r="C141" s="3"/>
      <c r="D141" s="3"/>
      <c r="E141" s="3"/>
      <c r="F141" s="5"/>
      <c r="G141" s="3"/>
      <c r="H141" s="3"/>
      <c r="I141" s="6"/>
      <c r="J141" s="6"/>
      <c r="K141" s="6"/>
      <c r="L141" s="6"/>
      <c r="M141" s="6"/>
      <c r="N141" s="3"/>
    </row>
    <row r="142" spans="1:14" s="42" customFormat="1" x14ac:dyDescent="0.3">
      <c r="A142" s="41"/>
      <c r="B142" s="38"/>
      <c r="C142" s="3"/>
      <c r="D142" s="3"/>
      <c r="E142" s="3"/>
      <c r="F142" s="5"/>
      <c r="G142" s="3"/>
      <c r="H142" s="3"/>
      <c r="I142" s="6"/>
      <c r="J142" s="6"/>
      <c r="K142" s="6"/>
      <c r="L142" s="6"/>
      <c r="M142" s="6"/>
      <c r="N142" s="3"/>
    </row>
    <row r="143" spans="1:14" s="42" customFormat="1" x14ac:dyDescent="0.3">
      <c r="A143" s="41"/>
      <c r="B143" s="38"/>
      <c r="C143" s="3"/>
      <c r="D143" s="3"/>
      <c r="E143" s="3"/>
      <c r="F143" s="5"/>
      <c r="G143" s="3"/>
      <c r="H143" s="3"/>
      <c r="I143" s="6"/>
      <c r="J143" s="6"/>
      <c r="K143" s="6"/>
      <c r="L143" s="6"/>
      <c r="M143" s="6"/>
      <c r="N143" s="3"/>
    </row>
    <row r="144" spans="1:14" s="42" customFormat="1" x14ac:dyDescent="0.3">
      <c r="A144" s="41"/>
      <c r="B144" s="38"/>
      <c r="C144" s="3"/>
      <c r="D144" s="3"/>
      <c r="E144" s="3"/>
      <c r="F144" s="5"/>
      <c r="G144" s="3"/>
      <c r="H144" s="3"/>
      <c r="I144" s="6"/>
      <c r="J144" s="6"/>
      <c r="K144" s="6"/>
      <c r="L144" s="6"/>
      <c r="M144" s="6"/>
      <c r="N144" s="3"/>
    </row>
    <row r="145" spans="1:14" s="42" customFormat="1" x14ac:dyDescent="0.3">
      <c r="A145" s="41"/>
      <c r="B145" s="38"/>
      <c r="C145" s="3"/>
      <c r="D145" s="3"/>
      <c r="E145" s="3"/>
      <c r="F145" s="5"/>
      <c r="G145" s="3"/>
      <c r="H145" s="3"/>
      <c r="I145" s="6"/>
      <c r="J145" s="6"/>
      <c r="K145" s="6"/>
      <c r="L145" s="6"/>
      <c r="M145" s="6"/>
      <c r="N145" s="3"/>
    </row>
    <row r="146" spans="1:14" s="42" customFormat="1" x14ac:dyDescent="0.3">
      <c r="A146" s="41"/>
      <c r="B146" s="38"/>
      <c r="C146" s="3"/>
      <c r="D146" s="3"/>
      <c r="E146" s="3"/>
      <c r="F146" s="5"/>
      <c r="G146" s="3"/>
      <c r="H146" s="3"/>
      <c r="I146" s="6"/>
      <c r="J146" s="6"/>
      <c r="K146" s="6"/>
      <c r="L146" s="6"/>
      <c r="M146" s="6"/>
      <c r="N146" s="3"/>
    </row>
    <row r="147" spans="1:14" s="42" customFormat="1" x14ac:dyDescent="0.3">
      <c r="A147" s="41"/>
      <c r="B147" s="38"/>
      <c r="C147" s="3"/>
      <c r="D147" s="3"/>
      <c r="E147" s="3"/>
      <c r="F147" s="5"/>
      <c r="G147" s="3"/>
      <c r="H147" s="3"/>
      <c r="I147" s="6"/>
      <c r="J147" s="6"/>
      <c r="K147" s="6"/>
      <c r="L147" s="6"/>
      <c r="M147" s="6"/>
      <c r="N147" s="3"/>
    </row>
    <row r="148" spans="1:14" s="42" customFormat="1" x14ac:dyDescent="0.3">
      <c r="A148" s="41"/>
      <c r="B148" s="38"/>
      <c r="C148" s="3"/>
      <c r="D148" s="3"/>
      <c r="E148" s="3"/>
      <c r="F148" s="5"/>
      <c r="G148" s="3"/>
      <c r="H148" s="3"/>
      <c r="I148" s="6"/>
      <c r="J148" s="6"/>
      <c r="K148" s="6"/>
      <c r="L148" s="6"/>
      <c r="M148" s="6"/>
      <c r="N148" s="3"/>
    </row>
    <row r="149" spans="1:14" s="42" customFormat="1" x14ac:dyDescent="0.3">
      <c r="A149" s="41"/>
      <c r="B149" s="38"/>
      <c r="C149" s="3"/>
      <c r="D149" s="3"/>
      <c r="E149" s="3"/>
      <c r="F149" s="5"/>
      <c r="G149" s="3"/>
      <c r="H149" s="3"/>
      <c r="I149" s="6"/>
      <c r="J149" s="6"/>
      <c r="K149" s="6"/>
      <c r="L149" s="6"/>
      <c r="M149" s="6"/>
      <c r="N149" s="3"/>
    </row>
    <row r="150" spans="1:14" s="42" customFormat="1" x14ac:dyDescent="0.3">
      <c r="A150" s="41"/>
      <c r="B150" s="38"/>
      <c r="C150" s="3"/>
      <c r="D150" s="3"/>
      <c r="E150" s="3"/>
      <c r="F150" s="5"/>
      <c r="G150" s="3"/>
      <c r="H150" s="3"/>
      <c r="I150" s="6"/>
      <c r="J150" s="6"/>
      <c r="K150" s="6"/>
      <c r="L150" s="6"/>
      <c r="M150" s="6"/>
      <c r="N150" s="3"/>
    </row>
    <row r="151" spans="1:14" s="42" customFormat="1" x14ac:dyDescent="0.3">
      <c r="A151" s="41"/>
      <c r="B151" s="38"/>
      <c r="C151" s="3"/>
      <c r="D151" s="3"/>
      <c r="E151" s="3"/>
      <c r="F151" s="5"/>
      <c r="G151" s="3"/>
      <c r="H151" s="3"/>
      <c r="I151" s="6"/>
      <c r="J151" s="6"/>
      <c r="K151" s="6"/>
      <c r="L151" s="6"/>
      <c r="M151" s="6"/>
      <c r="N151" s="3"/>
    </row>
    <row r="152" spans="1:14" s="42" customFormat="1" x14ac:dyDescent="0.3">
      <c r="A152" s="41"/>
      <c r="B152" s="38"/>
      <c r="C152" s="3"/>
      <c r="D152" s="3"/>
      <c r="E152" s="3"/>
      <c r="F152" s="5"/>
      <c r="G152" s="3"/>
      <c r="H152" s="3"/>
      <c r="I152" s="6"/>
      <c r="J152" s="6"/>
      <c r="K152" s="6"/>
      <c r="L152" s="6"/>
      <c r="M152" s="6"/>
      <c r="N152" s="3"/>
    </row>
    <row r="153" spans="1:14" s="42" customFormat="1" x14ac:dyDescent="0.3">
      <c r="A153" s="41"/>
      <c r="B153" s="38"/>
      <c r="C153" s="3"/>
      <c r="D153" s="3"/>
      <c r="E153" s="3"/>
      <c r="F153" s="5"/>
      <c r="G153" s="3"/>
      <c r="H153" s="3"/>
      <c r="I153" s="6"/>
      <c r="J153" s="6"/>
      <c r="K153" s="6"/>
      <c r="L153" s="6"/>
      <c r="M153" s="6"/>
      <c r="N153" s="3"/>
    </row>
    <row r="154" spans="1:14" s="42" customFormat="1" x14ac:dyDescent="0.3">
      <c r="A154" s="41"/>
      <c r="B154" s="38"/>
      <c r="C154" s="3"/>
      <c r="D154" s="3"/>
      <c r="E154" s="3"/>
      <c r="F154" s="5"/>
      <c r="G154" s="3"/>
      <c r="H154" s="3"/>
      <c r="I154" s="6"/>
      <c r="J154" s="6"/>
      <c r="K154" s="6"/>
      <c r="L154" s="6"/>
      <c r="M154" s="6"/>
      <c r="N154" s="3"/>
    </row>
    <row r="155" spans="1:14" s="42" customFormat="1" x14ac:dyDescent="0.3">
      <c r="A155" s="41"/>
      <c r="B155" s="38"/>
      <c r="C155" s="3"/>
      <c r="D155" s="3"/>
      <c r="E155" s="3"/>
      <c r="F155" s="5"/>
      <c r="G155" s="3"/>
      <c r="H155" s="3"/>
      <c r="I155" s="6"/>
      <c r="J155" s="6"/>
      <c r="K155" s="6"/>
      <c r="L155" s="6"/>
      <c r="M155" s="6"/>
      <c r="N155" s="3"/>
    </row>
    <row r="156" spans="1:14" s="42" customFormat="1" x14ac:dyDescent="0.3">
      <c r="A156" s="41"/>
      <c r="B156" s="38"/>
      <c r="C156" s="3"/>
      <c r="D156" s="3"/>
      <c r="E156" s="3"/>
      <c r="F156" s="5"/>
      <c r="G156" s="3"/>
      <c r="H156" s="3"/>
      <c r="I156" s="6"/>
      <c r="J156" s="6"/>
      <c r="K156" s="6"/>
      <c r="L156" s="6"/>
      <c r="M156" s="6"/>
      <c r="N156" s="3"/>
    </row>
    <row r="157" spans="1:14" s="42" customFormat="1" x14ac:dyDescent="0.3">
      <c r="A157" s="41"/>
      <c r="B157" s="38"/>
      <c r="C157" s="3"/>
      <c r="D157" s="3"/>
      <c r="E157" s="3"/>
      <c r="F157" s="5"/>
      <c r="G157" s="3"/>
      <c r="H157" s="3"/>
      <c r="I157" s="6"/>
      <c r="J157" s="6"/>
      <c r="K157" s="6"/>
      <c r="L157" s="6"/>
      <c r="M157" s="6"/>
      <c r="N157" s="3"/>
    </row>
    <row r="158" spans="1:14" s="42" customFormat="1" x14ac:dyDescent="0.3">
      <c r="A158" s="41"/>
      <c r="B158" s="38"/>
      <c r="C158" s="3"/>
      <c r="D158" s="3"/>
      <c r="E158" s="3"/>
      <c r="F158" s="5"/>
      <c r="G158" s="3"/>
      <c r="H158" s="3"/>
      <c r="I158" s="6"/>
      <c r="J158" s="6"/>
      <c r="K158" s="6"/>
      <c r="L158" s="6"/>
      <c r="M158" s="6"/>
      <c r="N158" s="3"/>
    </row>
    <row r="159" spans="1:14" s="42" customFormat="1" x14ac:dyDescent="0.3">
      <c r="A159" s="41"/>
      <c r="B159" s="38"/>
      <c r="C159" s="3"/>
      <c r="D159" s="3"/>
      <c r="E159" s="3"/>
      <c r="F159" s="5"/>
      <c r="G159" s="3"/>
      <c r="H159" s="3"/>
      <c r="I159" s="6"/>
      <c r="J159" s="6"/>
      <c r="K159" s="6"/>
      <c r="L159" s="6"/>
      <c r="M159" s="6"/>
      <c r="N159" s="3"/>
    </row>
    <row r="160" spans="1:14" s="42" customFormat="1" x14ac:dyDescent="0.3">
      <c r="A160" s="41"/>
      <c r="B160" s="38"/>
      <c r="C160" s="3"/>
      <c r="D160" s="3"/>
      <c r="E160" s="3"/>
      <c r="F160" s="5"/>
      <c r="G160" s="3"/>
      <c r="H160" s="3"/>
      <c r="I160" s="6"/>
      <c r="J160" s="6"/>
      <c r="K160" s="6"/>
      <c r="L160" s="6"/>
      <c r="M160" s="6"/>
      <c r="N160" s="3"/>
    </row>
    <row r="161" spans="1:14" s="42" customFormat="1" x14ac:dyDescent="0.3">
      <c r="A161" s="41"/>
      <c r="B161" s="38"/>
      <c r="C161" s="3"/>
      <c r="D161" s="3"/>
      <c r="E161" s="3"/>
      <c r="F161" s="5"/>
      <c r="G161" s="3"/>
      <c r="H161" s="3"/>
      <c r="I161" s="6"/>
      <c r="J161" s="6"/>
      <c r="K161" s="6"/>
      <c r="L161" s="6"/>
      <c r="M161" s="6"/>
      <c r="N161" s="3"/>
    </row>
    <row r="162" spans="1:14" s="42" customFormat="1" x14ac:dyDescent="0.3">
      <c r="A162" s="41"/>
      <c r="B162" s="38"/>
      <c r="C162" s="3"/>
      <c r="D162" s="3"/>
      <c r="E162" s="3"/>
      <c r="F162" s="5"/>
      <c r="G162" s="3"/>
      <c r="H162" s="3"/>
      <c r="I162" s="6"/>
      <c r="J162" s="6"/>
      <c r="K162" s="6"/>
      <c r="L162" s="6"/>
      <c r="M162" s="6"/>
      <c r="N162" s="3"/>
    </row>
    <row r="163" spans="1:14" s="42" customFormat="1" x14ac:dyDescent="0.3">
      <c r="A163" s="41"/>
      <c r="B163" s="38"/>
      <c r="C163" s="3"/>
      <c r="D163" s="3"/>
      <c r="E163" s="3"/>
      <c r="F163" s="5"/>
      <c r="G163" s="3"/>
      <c r="H163" s="3"/>
      <c r="I163" s="6"/>
      <c r="J163" s="6"/>
      <c r="K163" s="6"/>
      <c r="L163" s="6"/>
      <c r="M163" s="6"/>
      <c r="N163" s="3"/>
    </row>
    <row r="164" spans="1:14" s="42" customFormat="1" x14ac:dyDescent="0.3">
      <c r="A164" s="41"/>
      <c r="B164" s="38"/>
      <c r="C164" s="3"/>
      <c r="D164" s="3"/>
      <c r="E164" s="3"/>
      <c r="F164" s="5"/>
      <c r="G164" s="3"/>
      <c r="H164" s="3"/>
      <c r="I164" s="6"/>
      <c r="J164" s="6"/>
      <c r="K164" s="6"/>
      <c r="L164" s="6"/>
      <c r="M164" s="6"/>
      <c r="N164" s="3"/>
    </row>
  </sheetData>
  <hyperlinks>
    <hyperlink ref="F7" location="BR_A0001" display="BR_A0001" xr:uid="{6A1D1677-1166-443F-8CD9-1F79135D5840}"/>
    <hyperlink ref="F8" location="BR_01001" display="BR_01001" xr:uid="{EC57ABD6-F8B6-4D3B-958D-17D32FC46812}"/>
  </hyperlinks>
  <pageMargins left="0.41" right="0.22" top="0.72" bottom="0.57999999999999996" header="0.5" footer="0.26"/>
  <pageSetup scale="57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49E9-45EE-4FD2-A120-2E496878F752}">
  <sheetPr>
    <tabColor rgb="FFD8E4BC"/>
    <pageSetUpPr fitToPage="1"/>
  </sheetPr>
  <dimension ref="A1"/>
  <sheetViews>
    <sheetView zoomScale="49" zoomScaleNormal="49" zoomScalePageLayoutView="49" workbookViewId="0">
      <selection activeCell="C35" sqref="C35"/>
    </sheetView>
  </sheetViews>
  <sheetFormatPr baseColWidth="10" defaultRowHeight="14.5" x14ac:dyDescent="0.35"/>
  <cols>
    <col min="1" max="16384" width="10.90625" style="96"/>
  </cols>
  <sheetData>
    <row r="1" spans="1:1" x14ac:dyDescent="0.35">
      <c r="A1" s="95" t="s">
        <v>150</v>
      </c>
    </row>
  </sheetData>
  <hyperlinks>
    <hyperlink ref="A1" location="'EN 08004'!A1" display="Back to part" xr:uid="{90E5F183-9A39-40A7-96DA-9ABE9CE901AC}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E316-15F4-489E-9DDF-2FAB2F44AEFE}">
  <sheetPr>
    <tabColor rgb="FFD8E4BC"/>
    <pageSetUpPr fitToPage="1"/>
  </sheetPr>
  <dimension ref="A1:P25"/>
  <sheetViews>
    <sheetView zoomScale="90" zoomScaleNormal="90" zoomScalePageLayoutView="90" workbookViewId="0">
      <selection activeCell="A7" activeCellId="5" sqref="M4:N4 M1:N2 J3:J5 J1:K1 D2:D4 A1:A7"/>
    </sheetView>
  </sheetViews>
  <sheetFormatPr baseColWidth="10" defaultColWidth="7.6328125" defaultRowHeight="14.5" x14ac:dyDescent="0.35"/>
  <cols>
    <col min="1" max="1" width="10.453125" style="43" bestFit="1" customWidth="1"/>
    <col min="2" max="2" width="26.6328125" style="43" bestFit="1" customWidth="1"/>
    <col min="3" max="3" width="19.453125" style="43" bestFit="1" customWidth="1"/>
    <col min="4" max="4" width="8.81640625" style="43" bestFit="1" customWidth="1"/>
    <col min="5" max="5" width="6.1796875" style="43" bestFit="1" customWidth="1"/>
    <col min="6" max="6" width="12.36328125" style="43" bestFit="1" customWidth="1"/>
    <col min="7" max="7" width="10" style="43" bestFit="1" customWidth="1"/>
    <col min="8" max="8" width="9.6328125" style="43" bestFit="1" customWidth="1"/>
    <col min="9" max="9" width="17.453125" style="43" bestFit="1" customWidth="1"/>
    <col min="10" max="10" width="9.1796875" style="43" bestFit="1" customWidth="1"/>
    <col min="11" max="11" width="7.1796875" style="43" bestFit="1" customWidth="1"/>
    <col min="12" max="12" width="7.6328125" style="43" bestFit="1" customWidth="1"/>
    <col min="13" max="13" width="13.81640625" style="43" bestFit="1" customWidth="1"/>
    <col min="14" max="14" width="9.1796875" style="43" bestFit="1" customWidth="1"/>
    <col min="15" max="15" width="7.6328125" style="43"/>
    <col min="16" max="16" width="7.81640625" style="43" bestFit="1" customWidth="1"/>
    <col min="17" max="18" width="7.6328125" style="43"/>
    <col min="19" max="19" width="8.6328125" style="43" bestFit="1" customWidth="1"/>
    <col min="20" max="20" width="7.81640625" style="43" bestFit="1" customWidth="1"/>
    <col min="21" max="21" width="7.6328125" style="43"/>
    <col min="22" max="22" width="7.81640625" style="43" bestFit="1" customWidth="1"/>
    <col min="23" max="23" width="7.6328125" style="43"/>
    <col min="24" max="25" width="8.453125" style="43" bestFit="1" customWidth="1"/>
    <col min="26" max="28" width="7.81640625" style="43" bestFit="1" customWidth="1"/>
    <col min="29" max="16384" width="7.6328125" style="43"/>
  </cols>
  <sheetData>
    <row r="1" spans="1:16" x14ac:dyDescent="0.35">
      <c r="A1" s="174" t="s">
        <v>0</v>
      </c>
      <c r="B1" s="43" t="s">
        <v>1</v>
      </c>
      <c r="F1" s="44" t="s">
        <v>25</v>
      </c>
      <c r="J1" s="195" t="s">
        <v>6</v>
      </c>
      <c r="K1" s="196">
        <v>81</v>
      </c>
      <c r="M1" s="174" t="s">
        <v>42</v>
      </c>
      <c r="N1" s="193">
        <f>N12+I19+J23</f>
        <v>38.15621592366692</v>
      </c>
    </row>
    <row r="2" spans="1:16" x14ac:dyDescent="0.35">
      <c r="A2" s="174" t="s">
        <v>27</v>
      </c>
      <c r="B2" s="43" t="s">
        <v>84</v>
      </c>
      <c r="D2" s="174" t="s">
        <v>31</v>
      </c>
      <c r="M2" s="174" t="s">
        <v>28</v>
      </c>
      <c r="N2" s="213">
        <v>1</v>
      </c>
    </row>
    <row r="3" spans="1:16" x14ac:dyDescent="0.35">
      <c r="A3" s="174" t="s">
        <v>29</v>
      </c>
      <c r="B3" s="44" t="s">
        <v>30</v>
      </c>
      <c r="D3" s="174" t="s">
        <v>34</v>
      </c>
      <c r="J3" s="174" t="s">
        <v>31</v>
      </c>
    </row>
    <row r="4" spans="1:16" x14ac:dyDescent="0.35">
      <c r="A4" s="174" t="s">
        <v>41</v>
      </c>
      <c r="B4" s="43" t="s">
        <v>85</v>
      </c>
      <c r="D4" s="174" t="s">
        <v>37</v>
      </c>
      <c r="J4" s="174" t="s">
        <v>34</v>
      </c>
      <c r="M4" s="174" t="s">
        <v>35</v>
      </c>
      <c r="N4" s="193">
        <f>N1*N2</f>
        <v>38.15621592366692</v>
      </c>
    </row>
    <row r="5" spans="1:16" x14ac:dyDescent="0.35">
      <c r="A5" s="174" t="s">
        <v>32</v>
      </c>
      <c r="B5" s="48" t="s">
        <v>152</v>
      </c>
      <c r="J5" s="174" t="s">
        <v>37</v>
      </c>
    </row>
    <row r="6" spans="1:16" x14ac:dyDescent="0.35">
      <c r="A6" s="174" t="s">
        <v>36</v>
      </c>
      <c r="B6" s="43" t="s">
        <v>23</v>
      </c>
    </row>
    <row r="7" spans="1:16" x14ac:dyDescent="0.35">
      <c r="A7" s="174" t="s">
        <v>38</v>
      </c>
    </row>
    <row r="9" spans="1:16" s="66" customFormat="1" x14ac:dyDescent="0.35">
      <c r="A9" s="177" t="s">
        <v>40</v>
      </c>
      <c r="B9" s="177" t="s">
        <v>52</v>
      </c>
      <c r="C9" s="189" t="s">
        <v>53</v>
      </c>
      <c r="D9" s="177" t="s">
        <v>54</v>
      </c>
      <c r="E9" s="177" t="s">
        <v>55</v>
      </c>
      <c r="F9" s="177" t="s">
        <v>56</v>
      </c>
      <c r="G9" s="177" t="s">
        <v>57</v>
      </c>
      <c r="H9" s="177" t="s">
        <v>58</v>
      </c>
      <c r="I9" s="177" t="s">
        <v>59</v>
      </c>
      <c r="J9" s="177" t="s">
        <v>60</v>
      </c>
      <c r="K9" s="177" t="s">
        <v>61</v>
      </c>
      <c r="L9" s="177" t="s">
        <v>62</v>
      </c>
      <c r="M9" s="177" t="s">
        <v>16</v>
      </c>
      <c r="N9" s="177" t="s">
        <v>43</v>
      </c>
    </row>
    <row r="10" spans="1:16" s="82" customFormat="1" x14ac:dyDescent="0.35">
      <c r="A10" s="97">
        <v>10</v>
      </c>
      <c r="B10" s="63" t="s">
        <v>153</v>
      </c>
      <c r="C10" s="98" t="s">
        <v>154</v>
      </c>
      <c r="D10" s="69">
        <f>0.47*E10</f>
        <v>11.937999999999999</v>
      </c>
      <c r="E10" s="63">
        <v>25.4</v>
      </c>
      <c r="F10" s="63" t="s">
        <v>64</v>
      </c>
      <c r="G10" s="63"/>
      <c r="H10" s="57"/>
      <c r="I10" s="99" t="s">
        <v>155</v>
      </c>
      <c r="J10" s="65"/>
      <c r="K10" s="57"/>
      <c r="L10" s="88"/>
      <c r="M10" s="100">
        <v>0.4</v>
      </c>
      <c r="N10" s="89">
        <f>IF(J10="",D10*M10,D10*J10*K10*L10*M10)</f>
        <v>4.7751999999999999</v>
      </c>
      <c r="O10" s="101"/>
      <c r="P10" s="80"/>
    </row>
    <row r="11" spans="1:16" s="82" customFormat="1" x14ac:dyDescent="0.35">
      <c r="A11" s="97">
        <v>20</v>
      </c>
      <c r="B11" s="63" t="s">
        <v>156</v>
      </c>
      <c r="C11" s="98" t="s">
        <v>157</v>
      </c>
      <c r="D11" s="69">
        <v>2.25</v>
      </c>
      <c r="E11" s="102">
        <f>J11*K11*L11</f>
        <v>0.19837095937240681</v>
      </c>
      <c r="F11" s="63" t="s">
        <v>131</v>
      </c>
      <c r="G11" s="63"/>
      <c r="H11" s="57"/>
      <c r="I11" s="99" t="s">
        <v>158</v>
      </c>
      <c r="J11" s="65">
        <f>(PI()*12.5*12.5-PI()*12.25*12.25)/1000000</f>
        <v>1.9438604544086899E-5</v>
      </c>
      <c r="K11" s="57">
        <v>1.3</v>
      </c>
      <c r="L11" s="88">
        <v>7850</v>
      </c>
      <c r="M11" s="100">
        <v>1</v>
      </c>
      <c r="N11" s="89">
        <v>7.484734125000001</v>
      </c>
      <c r="O11" s="101"/>
      <c r="P11" s="80"/>
    </row>
    <row r="12" spans="1:16" s="66" customFormat="1" x14ac:dyDescent="0.35">
      <c r="M12" s="178" t="s">
        <v>43</v>
      </c>
      <c r="N12" s="179">
        <f>SUM(N10:N11)</f>
        <v>12.259934125000001</v>
      </c>
    </row>
    <row r="14" spans="1:16" s="66" customFormat="1" x14ac:dyDescent="0.35">
      <c r="A14" s="177" t="s">
        <v>40</v>
      </c>
      <c r="B14" s="177" t="s">
        <v>67</v>
      </c>
      <c r="C14" s="177" t="s">
        <v>53</v>
      </c>
      <c r="D14" s="177" t="s">
        <v>54</v>
      </c>
      <c r="E14" s="177" t="s">
        <v>68</v>
      </c>
      <c r="F14" s="177" t="s">
        <v>16</v>
      </c>
      <c r="G14" s="177" t="s">
        <v>69</v>
      </c>
      <c r="H14" s="177" t="s">
        <v>70</v>
      </c>
      <c r="I14" s="177" t="s">
        <v>43</v>
      </c>
    </row>
    <row r="15" spans="1:16" s="82" customFormat="1" x14ac:dyDescent="0.35">
      <c r="A15" s="63">
        <v>10</v>
      </c>
      <c r="B15" s="68" t="s">
        <v>159</v>
      </c>
      <c r="C15" s="70" t="s">
        <v>160</v>
      </c>
      <c r="D15" s="69">
        <v>0.06</v>
      </c>
      <c r="E15" s="63" t="s">
        <v>90</v>
      </c>
      <c r="F15" s="139">
        <f>2*PI()*1.25*8</f>
        <v>62.831853071795862</v>
      </c>
      <c r="G15" s="63"/>
      <c r="H15" s="63">
        <v>1</v>
      </c>
      <c r="I15" s="103">
        <f>IF(H15="",D15*F15,D15*F15*H15)</f>
        <v>3.7699111843077517</v>
      </c>
      <c r="J15" s="104"/>
      <c r="K15" s="104"/>
      <c r="L15" s="104"/>
      <c r="M15" s="104"/>
      <c r="N15" s="104"/>
      <c r="O15" s="104"/>
      <c r="P15" s="80"/>
    </row>
    <row r="16" spans="1:16" s="82" customFormat="1" x14ac:dyDescent="0.35">
      <c r="A16" s="63">
        <v>20</v>
      </c>
      <c r="B16" s="68" t="s">
        <v>161</v>
      </c>
      <c r="C16" s="70" t="s">
        <v>162</v>
      </c>
      <c r="D16" s="69">
        <v>0.4</v>
      </c>
      <c r="E16" s="63" t="s">
        <v>90</v>
      </c>
      <c r="F16" s="139">
        <f>F15/2</f>
        <v>31.415926535897931</v>
      </c>
      <c r="G16" s="63"/>
      <c r="H16" s="63"/>
      <c r="I16" s="103">
        <f>IF(H16="",D16*F16,D16*F16*H16)</f>
        <v>12.566370614359172</v>
      </c>
      <c r="J16" s="80"/>
      <c r="K16" s="80"/>
      <c r="L16" s="80"/>
      <c r="M16" s="80"/>
      <c r="N16" s="80"/>
      <c r="O16" s="80"/>
      <c r="P16" s="80"/>
    </row>
    <row r="17" spans="1:16" s="82" customFormat="1" ht="29" x14ac:dyDescent="0.35">
      <c r="A17" s="63">
        <v>30</v>
      </c>
      <c r="B17" s="68" t="s">
        <v>105</v>
      </c>
      <c r="C17" s="68" t="s">
        <v>163</v>
      </c>
      <c r="D17" s="69">
        <v>0.19</v>
      </c>
      <c r="E17" s="63" t="s">
        <v>164</v>
      </c>
      <c r="F17" s="63">
        <v>4</v>
      </c>
      <c r="G17" s="63"/>
      <c r="H17" s="63"/>
      <c r="I17" s="103">
        <f>IF(H17="",D17*F17,D17*F17*H17)</f>
        <v>0.76</v>
      </c>
      <c r="J17" s="105"/>
      <c r="K17" s="105"/>
      <c r="L17" s="80"/>
      <c r="M17" s="105"/>
      <c r="N17" s="105"/>
      <c r="O17" s="105"/>
      <c r="P17" s="80"/>
    </row>
    <row r="18" spans="1:16" s="82" customFormat="1" x14ac:dyDescent="0.35">
      <c r="A18" s="63">
        <v>40</v>
      </c>
      <c r="B18" s="68" t="s">
        <v>108</v>
      </c>
      <c r="C18" s="70" t="s">
        <v>109</v>
      </c>
      <c r="D18" s="69">
        <v>0.5</v>
      </c>
      <c r="E18" s="63" t="s">
        <v>164</v>
      </c>
      <c r="F18" s="63">
        <v>8</v>
      </c>
      <c r="G18" s="63"/>
      <c r="H18" s="63"/>
      <c r="I18" s="103">
        <f>IF(H18="",D18*F18,D18*F18*H18)</f>
        <v>4</v>
      </c>
      <c r="J18" s="80"/>
      <c r="K18" s="80"/>
      <c r="L18" s="80"/>
      <c r="M18" s="80"/>
      <c r="N18" s="80"/>
      <c r="O18" s="80"/>
      <c r="P18" s="80"/>
    </row>
    <row r="19" spans="1:16" s="66" customFormat="1" x14ac:dyDescent="0.35">
      <c r="H19" s="178" t="s">
        <v>43</v>
      </c>
      <c r="I19" s="180">
        <f>SUM(I15:I18)</f>
        <v>21.096281798666926</v>
      </c>
    </row>
    <row r="21" spans="1:16" s="66" customFormat="1" x14ac:dyDescent="0.35">
      <c r="A21" s="177" t="s">
        <v>40</v>
      </c>
      <c r="B21" s="177" t="s">
        <v>78</v>
      </c>
      <c r="C21" s="177" t="s">
        <v>53</v>
      </c>
      <c r="D21" s="177" t="s">
        <v>54</v>
      </c>
      <c r="E21" s="177" t="s">
        <v>55</v>
      </c>
      <c r="F21" s="177" t="s">
        <v>56</v>
      </c>
      <c r="G21" s="177" t="s">
        <v>57</v>
      </c>
      <c r="H21" s="177" t="s">
        <v>58</v>
      </c>
      <c r="I21" s="177" t="s">
        <v>16</v>
      </c>
      <c r="J21" s="177" t="s">
        <v>43</v>
      </c>
    </row>
    <row r="22" spans="1:16" s="82" customFormat="1" x14ac:dyDescent="0.35">
      <c r="A22" s="63">
        <v>10</v>
      </c>
      <c r="B22" s="75" t="s">
        <v>113</v>
      </c>
      <c r="C22" s="75" t="s">
        <v>116</v>
      </c>
      <c r="D22" s="69">
        <v>0.6</v>
      </c>
      <c r="E22" s="63">
        <v>25.4</v>
      </c>
      <c r="F22" s="78" t="s">
        <v>64</v>
      </c>
      <c r="G22" s="63"/>
      <c r="H22" s="70"/>
      <c r="I22" s="79">
        <v>8</v>
      </c>
      <c r="J22" s="103">
        <f>I22*D22</f>
        <v>4.8</v>
      </c>
      <c r="K22" s="80"/>
      <c r="L22" s="81"/>
      <c r="M22" s="80"/>
      <c r="N22" s="80"/>
      <c r="O22" s="80"/>
      <c r="P22" s="80"/>
    </row>
    <row r="23" spans="1:16" s="66" customFormat="1" x14ac:dyDescent="0.35">
      <c r="I23" s="178" t="s">
        <v>43</v>
      </c>
      <c r="J23" s="180">
        <f>SUM(J22)</f>
        <v>4.8</v>
      </c>
    </row>
    <row r="24" spans="1:16" x14ac:dyDescent="0.35">
      <c r="H24" s="84"/>
      <c r="I24" s="85"/>
    </row>
    <row r="25" spans="1:16" x14ac:dyDescent="0.35">
      <c r="H25" s="84"/>
      <c r="I25" s="85"/>
    </row>
  </sheetData>
  <hyperlinks>
    <hyperlink ref="F1" location="BOM!A1" display="Back to BOM" xr:uid="{9116626D-5AC6-42F4-B650-DA7705F6C5D9}"/>
    <hyperlink ref="B3" location="'EN A0008'!A1" display="Cooling System" xr:uid="{D8962F8D-ED71-4ED8-87C8-8245D2A9812A}"/>
  </hyperlinks>
  <printOptions horizontalCentered="1"/>
  <pageMargins left="0.3" right="0.3" top="0.3" bottom="0.4" header="0.2" footer="0.2"/>
  <pageSetup paperSize="9" scale="79" orientation="landscape" r:id="rId1"/>
  <headerFoot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4551-BDD5-4926-9878-DBDF681FEF6F}">
  <sheetPr>
    <tabColor rgb="FFD8E4BC"/>
    <pageSetUpPr fitToPage="1"/>
  </sheetPr>
  <dimension ref="A1:N21"/>
  <sheetViews>
    <sheetView zoomScale="90" zoomScaleNormal="90" zoomScalePageLayoutView="49" workbookViewId="0">
      <selection activeCell="A7" activeCellId="5" sqref="M4:N4 M1:N2 J1:K1 J3:J5 D2:D4 A1:A7"/>
    </sheetView>
  </sheetViews>
  <sheetFormatPr baseColWidth="10" defaultColWidth="7.6328125" defaultRowHeight="14.5" x14ac:dyDescent="0.35"/>
  <cols>
    <col min="1" max="1" width="10.453125" style="43" bestFit="1" customWidth="1"/>
    <col min="2" max="2" width="27" style="43" bestFit="1" customWidth="1"/>
    <col min="3" max="3" width="24.36328125" style="43" bestFit="1" customWidth="1"/>
    <col min="4" max="4" width="8.81640625" style="43" bestFit="1" customWidth="1"/>
    <col min="5" max="5" width="6.1796875" style="43" bestFit="1" customWidth="1"/>
    <col min="6" max="6" width="12.36328125" style="43" bestFit="1" customWidth="1"/>
    <col min="7" max="7" width="10" style="43" bestFit="1" customWidth="1"/>
    <col min="8" max="8" width="9.6328125" style="43" bestFit="1" customWidth="1"/>
    <col min="9" max="9" width="11" style="43" bestFit="1" customWidth="1"/>
    <col min="10" max="10" width="9.1796875" style="43" bestFit="1" customWidth="1"/>
    <col min="11" max="11" width="7.1796875" style="43" bestFit="1" customWidth="1"/>
    <col min="12" max="12" width="7.6328125" style="43" bestFit="1" customWidth="1"/>
    <col min="13" max="13" width="13.81640625" style="43" bestFit="1" customWidth="1"/>
    <col min="14" max="14" width="9.1796875" style="43" bestFit="1" customWidth="1"/>
    <col min="15" max="15" width="7.6328125" style="43"/>
    <col min="16" max="16" width="7.81640625" style="43" bestFit="1" customWidth="1"/>
    <col min="17" max="18" width="7.6328125" style="43"/>
    <col min="19" max="19" width="8.6328125" style="43" bestFit="1" customWidth="1"/>
    <col min="20" max="20" width="7.81640625" style="43" bestFit="1" customWidth="1"/>
    <col min="21" max="21" width="7.6328125" style="43"/>
    <col min="22" max="22" width="7.81640625" style="43" bestFit="1" customWidth="1"/>
    <col min="23" max="23" width="7.6328125" style="43"/>
    <col min="24" max="25" width="8.453125" style="43" bestFit="1" customWidth="1"/>
    <col min="26" max="28" width="7.81640625" style="43" bestFit="1" customWidth="1"/>
    <col min="29" max="16384" width="7.6328125" style="43"/>
  </cols>
  <sheetData>
    <row r="1" spans="1:14" x14ac:dyDescent="0.35">
      <c r="A1" s="174" t="s">
        <v>0</v>
      </c>
      <c r="B1" s="43" t="s">
        <v>1</v>
      </c>
      <c r="F1" s="44" t="s">
        <v>25</v>
      </c>
      <c r="J1" s="195" t="s">
        <v>6</v>
      </c>
      <c r="K1" s="196">
        <v>81</v>
      </c>
      <c r="M1" s="174" t="s">
        <v>42</v>
      </c>
      <c r="N1" s="193">
        <f>N11+I16+J20</f>
        <v>30.77</v>
      </c>
    </row>
    <row r="2" spans="1:14" x14ac:dyDescent="0.35">
      <c r="A2" s="174" t="s">
        <v>27</v>
      </c>
      <c r="B2" s="43" t="s">
        <v>84</v>
      </c>
      <c r="D2" s="174" t="s">
        <v>31</v>
      </c>
      <c r="M2" s="174" t="s">
        <v>28</v>
      </c>
      <c r="N2" s="194">
        <v>1</v>
      </c>
    </row>
    <row r="3" spans="1:14" x14ac:dyDescent="0.35">
      <c r="A3" s="174" t="s">
        <v>29</v>
      </c>
      <c r="B3" s="44" t="s">
        <v>30</v>
      </c>
      <c r="D3" s="174" t="s">
        <v>34</v>
      </c>
      <c r="J3" s="174" t="s">
        <v>31</v>
      </c>
    </row>
    <row r="4" spans="1:14" x14ac:dyDescent="0.35">
      <c r="A4" s="174" t="s">
        <v>41</v>
      </c>
      <c r="B4" s="43" t="s">
        <v>48</v>
      </c>
      <c r="D4" s="174" t="s">
        <v>37</v>
      </c>
      <c r="J4" s="174" t="s">
        <v>34</v>
      </c>
      <c r="M4" s="174" t="s">
        <v>35</v>
      </c>
      <c r="N4" s="193">
        <f>N1*N2</f>
        <v>30.77</v>
      </c>
    </row>
    <row r="5" spans="1:14" x14ac:dyDescent="0.35">
      <c r="A5" s="174" t="s">
        <v>32</v>
      </c>
      <c r="B5" s="48" t="s">
        <v>165</v>
      </c>
      <c r="J5" s="174" t="s">
        <v>37</v>
      </c>
    </row>
    <row r="6" spans="1:14" x14ac:dyDescent="0.35">
      <c r="A6" s="174" t="s">
        <v>36</v>
      </c>
      <c r="B6" s="43" t="s">
        <v>23</v>
      </c>
    </row>
    <row r="7" spans="1:14" x14ac:dyDescent="0.35">
      <c r="A7" s="174" t="s">
        <v>38</v>
      </c>
    </row>
    <row r="9" spans="1:14" s="66" customFormat="1" x14ac:dyDescent="0.35">
      <c r="A9" s="177" t="s">
        <v>40</v>
      </c>
      <c r="B9" s="177" t="s">
        <v>52</v>
      </c>
      <c r="C9" s="177" t="s">
        <v>53</v>
      </c>
      <c r="D9" s="177" t="s">
        <v>54</v>
      </c>
      <c r="E9" s="177" t="s">
        <v>55</v>
      </c>
      <c r="F9" s="177" t="s">
        <v>56</v>
      </c>
      <c r="G9" s="177" t="s">
        <v>57</v>
      </c>
      <c r="H9" s="177" t="s">
        <v>58</v>
      </c>
      <c r="I9" s="177" t="s">
        <v>59</v>
      </c>
      <c r="J9" s="177" t="s">
        <v>60</v>
      </c>
      <c r="K9" s="177" t="s">
        <v>61</v>
      </c>
      <c r="L9" s="177" t="s">
        <v>62</v>
      </c>
      <c r="M9" s="177" t="s">
        <v>16</v>
      </c>
      <c r="N9" s="177" t="s">
        <v>43</v>
      </c>
    </row>
    <row r="10" spans="1:14" x14ac:dyDescent="0.35">
      <c r="A10" s="49">
        <v>10</v>
      </c>
      <c r="B10" s="49" t="s">
        <v>166</v>
      </c>
      <c r="C10" s="49"/>
      <c r="D10" s="69">
        <v>30</v>
      </c>
      <c r="E10" s="49"/>
      <c r="F10" s="49"/>
      <c r="G10" s="49"/>
      <c r="H10" s="57"/>
      <c r="I10" s="87"/>
      <c r="J10" s="52"/>
      <c r="K10" s="57"/>
      <c r="L10" s="57"/>
      <c r="M10" s="88">
        <v>1</v>
      </c>
      <c r="N10" s="89">
        <f>IF(J10="",D10*M10,D10*J10*K10*L10*M10)</f>
        <v>30</v>
      </c>
    </row>
    <row r="11" spans="1:14" s="66" customFormat="1" x14ac:dyDescent="0.35">
      <c r="M11" s="178" t="s">
        <v>43</v>
      </c>
      <c r="N11" s="179">
        <f>SUM(N10:N10)</f>
        <v>30</v>
      </c>
    </row>
    <row r="13" spans="1:14" s="66" customFormat="1" x14ac:dyDescent="0.35">
      <c r="A13" s="177" t="s">
        <v>40</v>
      </c>
      <c r="B13" s="177" t="s">
        <v>67</v>
      </c>
      <c r="C13" s="177" t="s">
        <v>53</v>
      </c>
      <c r="D13" s="177" t="s">
        <v>54</v>
      </c>
      <c r="E13" s="177" t="s">
        <v>68</v>
      </c>
      <c r="F13" s="177" t="s">
        <v>16</v>
      </c>
      <c r="G13" s="177" t="s">
        <v>69</v>
      </c>
      <c r="H13" s="177" t="s">
        <v>70</v>
      </c>
      <c r="I13" s="177" t="s">
        <v>43</v>
      </c>
    </row>
    <row r="14" spans="1:14" x14ac:dyDescent="0.35">
      <c r="A14" s="49">
        <v>10</v>
      </c>
      <c r="B14" s="67" t="s">
        <v>167</v>
      </c>
      <c r="C14" s="67" t="s">
        <v>118</v>
      </c>
      <c r="D14" s="69">
        <v>0.13</v>
      </c>
      <c r="E14" s="49" t="s">
        <v>168</v>
      </c>
      <c r="F14" s="49">
        <v>1</v>
      </c>
      <c r="G14" s="49"/>
      <c r="H14" s="49">
        <v>1</v>
      </c>
      <c r="I14" s="69">
        <f>D14*F14*H14</f>
        <v>0.13</v>
      </c>
    </row>
    <row r="15" spans="1:14" x14ac:dyDescent="0.35">
      <c r="A15" s="49">
        <v>20</v>
      </c>
      <c r="B15" s="67" t="s">
        <v>76</v>
      </c>
      <c r="C15" s="67" t="s">
        <v>169</v>
      </c>
      <c r="D15" s="69">
        <v>0.06</v>
      </c>
      <c r="E15" s="49" t="s">
        <v>168</v>
      </c>
      <c r="F15" s="49">
        <v>4</v>
      </c>
      <c r="G15" s="49"/>
      <c r="H15" s="49">
        <v>1</v>
      </c>
      <c r="I15" s="69">
        <f>D15*F15*H15</f>
        <v>0.24</v>
      </c>
    </row>
    <row r="16" spans="1:14" s="66" customFormat="1" x14ac:dyDescent="0.35">
      <c r="H16" s="178" t="s">
        <v>43</v>
      </c>
      <c r="I16" s="180">
        <f>SUM(I14:I15)</f>
        <v>0.37</v>
      </c>
    </row>
    <row r="18" spans="1:12" s="66" customFormat="1" x14ac:dyDescent="0.35">
      <c r="A18" s="177" t="s">
        <v>40</v>
      </c>
      <c r="B18" s="177" t="s">
        <v>78</v>
      </c>
      <c r="C18" s="177" t="s">
        <v>53</v>
      </c>
      <c r="D18" s="177" t="s">
        <v>54</v>
      </c>
      <c r="E18" s="177" t="s">
        <v>55</v>
      </c>
      <c r="F18" s="177" t="s">
        <v>56</v>
      </c>
      <c r="G18" s="177" t="s">
        <v>57</v>
      </c>
      <c r="H18" s="177" t="s">
        <v>58</v>
      </c>
      <c r="I18" s="177" t="s">
        <v>16</v>
      </c>
      <c r="J18" s="177" t="s">
        <v>43</v>
      </c>
    </row>
    <row r="19" spans="1:12" x14ac:dyDescent="0.35">
      <c r="A19" s="49">
        <v>10</v>
      </c>
      <c r="B19" s="49" t="s">
        <v>117</v>
      </c>
      <c r="C19" s="49" t="s">
        <v>118</v>
      </c>
      <c r="D19" s="49">
        <v>0.1</v>
      </c>
      <c r="E19" s="49"/>
      <c r="F19" s="78"/>
      <c r="G19" s="49"/>
      <c r="H19" s="67"/>
      <c r="I19" s="79">
        <v>4</v>
      </c>
      <c r="J19" s="69">
        <f>D19*I19</f>
        <v>0.4</v>
      </c>
      <c r="L19" s="83"/>
    </row>
    <row r="20" spans="1:12" s="66" customFormat="1" x14ac:dyDescent="0.35">
      <c r="I20" s="178" t="s">
        <v>43</v>
      </c>
      <c r="J20" s="180">
        <f>SUM(J19)</f>
        <v>0.4</v>
      </c>
    </row>
    <row r="21" spans="1:12" x14ac:dyDescent="0.35">
      <c r="H21" s="84"/>
      <c r="I21" s="85"/>
    </row>
  </sheetData>
  <hyperlinks>
    <hyperlink ref="F1" location="BOM!A1" display="Back to BOM" xr:uid="{697C884F-CE2B-4E97-A9D7-2757A36C2E14}"/>
    <hyperlink ref="B3" location="'EN A0008'!A1" display="Cooling System" xr:uid="{A09ACACD-C40E-45CC-974D-C36997F5279B}"/>
  </hyperlinks>
  <printOptions horizontalCentered="1"/>
  <pageMargins left="0.3" right="0.3" top="0.3" bottom="0.4" header="0.2" footer="0.2"/>
  <pageSetup paperSize="9" scale="72" orientation="landscape" r:id="rId1"/>
  <headerFoot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FFD5-F37D-4C37-AC2A-BE63315AD567}">
  <sheetPr>
    <tabColor rgb="FFD8E4BC"/>
    <pageSetUpPr fitToPage="1"/>
  </sheetPr>
  <dimension ref="A1:Q38"/>
  <sheetViews>
    <sheetView workbookViewId="0">
      <selection activeCell="A7" activeCellId="9" sqref="M4 M1:M2 N4 N2 N1 K1 J1 J3:J5 D2:D4 A1:A7"/>
    </sheetView>
  </sheetViews>
  <sheetFormatPr baseColWidth="10" defaultColWidth="7.6328125" defaultRowHeight="14.5" x14ac:dyDescent="0.35"/>
  <cols>
    <col min="1" max="1" width="10.36328125" style="43" bestFit="1" customWidth="1"/>
    <col min="2" max="2" width="33.6328125" style="43" bestFit="1" customWidth="1"/>
    <col min="3" max="3" width="40.1796875" style="43" bestFit="1" customWidth="1"/>
    <col min="4" max="4" width="9" style="43" bestFit="1" customWidth="1"/>
    <col min="5" max="5" width="5.6328125" style="43" bestFit="1" customWidth="1"/>
    <col min="6" max="6" width="12" style="43" bestFit="1" customWidth="1"/>
    <col min="7" max="7" width="35.1796875" style="43" bestFit="1" customWidth="1"/>
    <col min="8" max="8" width="9.6328125" style="43" bestFit="1" customWidth="1"/>
    <col min="9" max="9" width="25.81640625" style="43" bestFit="1" customWidth="1"/>
    <col min="10" max="10" width="8.81640625" style="43" bestFit="1" customWidth="1"/>
    <col min="11" max="11" width="7" style="43" bestFit="1" customWidth="1"/>
    <col min="12" max="12" width="7.6328125" style="43" bestFit="1" customWidth="1"/>
    <col min="13" max="13" width="13.6328125" style="43" bestFit="1" customWidth="1"/>
    <col min="14" max="14" width="9.1796875" style="43" bestFit="1" customWidth="1"/>
    <col min="15" max="15" width="7.6328125" style="43"/>
    <col min="16" max="16" width="7.81640625" style="43" bestFit="1" customWidth="1"/>
    <col min="17" max="18" width="7.6328125" style="43"/>
    <col min="19" max="19" width="8.6328125" style="43" bestFit="1" customWidth="1"/>
    <col min="20" max="20" width="7.81640625" style="43" bestFit="1" customWidth="1"/>
    <col min="21" max="21" width="7.6328125" style="43"/>
    <col min="22" max="22" width="7.81640625" style="43" bestFit="1" customWidth="1"/>
    <col min="23" max="23" width="7.6328125" style="43"/>
    <col min="24" max="25" width="8.453125" style="43" bestFit="1" customWidth="1"/>
    <col min="26" max="28" width="7.81640625" style="43" bestFit="1" customWidth="1"/>
    <col min="29" max="16384" width="7.6328125" style="43"/>
  </cols>
  <sheetData>
    <row r="1" spans="1:16" x14ac:dyDescent="0.35">
      <c r="A1" s="211" t="s">
        <v>0</v>
      </c>
      <c r="B1" s="106" t="s">
        <v>1</v>
      </c>
      <c r="C1" s="106"/>
      <c r="D1" s="106"/>
      <c r="E1" s="106"/>
      <c r="F1" s="107" t="s">
        <v>25</v>
      </c>
      <c r="G1" s="106"/>
      <c r="H1" s="106"/>
      <c r="I1" s="106"/>
      <c r="J1" s="195" t="s">
        <v>6</v>
      </c>
      <c r="K1" s="196">
        <v>81</v>
      </c>
      <c r="L1" s="106"/>
      <c r="M1" s="211" t="s">
        <v>42</v>
      </c>
      <c r="N1" s="193">
        <f>N16+I33+I37</f>
        <v>17.009890633701563</v>
      </c>
    </row>
    <row r="2" spans="1:16" x14ac:dyDescent="0.35">
      <c r="A2" s="211" t="s">
        <v>27</v>
      </c>
      <c r="B2" s="106" t="s">
        <v>84</v>
      </c>
      <c r="C2" s="91" t="s">
        <v>138</v>
      </c>
      <c r="D2" s="212" t="s">
        <v>31</v>
      </c>
      <c r="E2" s="106"/>
      <c r="F2" s="106"/>
      <c r="G2" s="106"/>
      <c r="H2" s="106"/>
      <c r="I2" s="106"/>
      <c r="J2" s="106"/>
      <c r="K2" s="106"/>
      <c r="L2" s="106"/>
      <c r="M2" s="211" t="s">
        <v>28</v>
      </c>
      <c r="N2" s="194">
        <v>1</v>
      </c>
    </row>
    <row r="3" spans="1:16" x14ac:dyDescent="0.35">
      <c r="A3" s="211" t="s">
        <v>29</v>
      </c>
      <c r="B3" s="107" t="s">
        <v>30</v>
      </c>
      <c r="C3" s="106"/>
      <c r="D3" s="211" t="s">
        <v>34</v>
      </c>
      <c r="E3" s="106"/>
      <c r="F3" s="106"/>
      <c r="G3" s="106"/>
      <c r="H3" s="106"/>
      <c r="I3" s="106"/>
      <c r="J3" s="211" t="s">
        <v>31</v>
      </c>
      <c r="K3" s="106"/>
      <c r="L3" s="106"/>
      <c r="M3" s="106"/>
    </row>
    <row r="4" spans="1:16" x14ac:dyDescent="0.35">
      <c r="A4" s="211" t="s">
        <v>41</v>
      </c>
      <c r="B4" s="106" t="s">
        <v>49</v>
      </c>
      <c r="C4" s="106"/>
      <c r="D4" s="211" t="s">
        <v>37</v>
      </c>
      <c r="E4" s="106"/>
      <c r="F4" s="106"/>
      <c r="G4" s="106"/>
      <c r="H4" s="106"/>
      <c r="I4" s="106"/>
      <c r="J4" s="211" t="s">
        <v>34</v>
      </c>
      <c r="K4" s="106"/>
      <c r="L4" s="106"/>
      <c r="M4" s="211" t="s">
        <v>35</v>
      </c>
      <c r="N4" s="193">
        <f>N1*N2</f>
        <v>17.009890633701563</v>
      </c>
    </row>
    <row r="5" spans="1:16" x14ac:dyDescent="0.35">
      <c r="A5" s="211" t="s">
        <v>32</v>
      </c>
      <c r="B5" s="48" t="s">
        <v>170</v>
      </c>
      <c r="C5" s="106"/>
      <c r="D5" s="106"/>
      <c r="E5" s="106"/>
      <c r="F5" s="106"/>
      <c r="G5" s="106"/>
      <c r="H5" s="106"/>
      <c r="I5" s="106"/>
      <c r="J5" s="211" t="s">
        <v>37</v>
      </c>
      <c r="K5" s="106"/>
      <c r="L5" s="106"/>
      <c r="M5" s="106"/>
    </row>
    <row r="6" spans="1:16" x14ac:dyDescent="0.35">
      <c r="A6" s="211" t="s">
        <v>36</v>
      </c>
      <c r="B6" s="106" t="s">
        <v>23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</row>
    <row r="7" spans="1:16" x14ac:dyDescent="0.35">
      <c r="A7" s="211" t="s">
        <v>38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6" x14ac:dyDescent="0.35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</row>
    <row r="9" spans="1:16" s="66" customFormat="1" x14ac:dyDescent="0.35">
      <c r="A9" s="190" t="s">
        <v>40</v>
      </c>
      <c r="B9" s="190" t="s">
        <v>52</v>
      </c>
      <c r="C9" s="190" t="s">
        <v>53</v>
      </c>
      <c r="D9" s="190" t="s">
        <v>54</v>
      </c>
      <c r="E9" s="190" t="s">
        <v>55</v>
      </c>
      <c r="F9" s="190" t="s">
        <v>56</v>
      </c>
      <c r="G9" s="190" t="s">
        <v>57</v>
      </c>
      <c r="H9" s="190" t="s">
        <v>58</v>
      </c>
      <c r="I9" s="190" t="s">
        <v>59</v>
      </c>
      <c r="J9" s="190" t="s">
        <v>60</v>
      </c>
      <c r="K9" s="190" t="s">
        <v>61</v>
      </c>
      <c r="L9" s="190" t="s">
        <v>62</v>
      </c>
      <c r="M9" s="190" t="s">
        <v>16</v>
      </c>
      <c r="N9" s="177" t="s">
        <v>43</v>
      </c>
    </row>
    <row r="10" spans="1:16" s="82" customFormat="1" x14ac:dyDescent="0.35">
      <c r="A10" s="108">
        <v>10</v>
      </c>
      <c r="B10" s="108" t="s">
        <v>129</v>
      </c>
      <c r="C10" s="108" t="s">
        <v>213</v>
      </c>
      <c r="D10" s="109">
        <v>4.2</v>
      </c>
      <c r="E10" s="110">
        <f>J10*K10*L10</f>
        <v>9.8423031642538392E-2</v>
      </c>
      <c r="F10" s="108" t="s">
        <v>131</v>
      </c>
      <c r="G10" s="108"/>
      <c r="H10" s="111"/>
      <c r="I10" s="112" t="s">
        <v>216</v>
      </c>
      <c r="J10" s="113">
        <f>PI()*(0.02^2-0.018^2)</f>
        <v>2.3876104167282447E-4</v>
      </c>
      <c r="K10" s="114">
        <v>0.152</v>
      </c>
      <c r="L10" s="115">
        <v>2712</v>
      </c>
      <c r="M10" s="116">
        <v>1</v>
      </c>
      <c r="N10" s="117">
        <f>IF(J10="",D10*M10,D10*J10*K10*L10*M10)</f>
        <v>0.41337673289866128</v>
      </c>
      <c r="O10" s="101"/>
      <c r="P10" s="80"/>
    </row>
    <row r="11" spans="1:16" s="82" customFormat="1" x14ac:dyDescent="0.35">
      <c r="A11" s="108">
        <v>20</v>
      </c>
      <c r="B11" s="108" t="s">
        <v>129</v>
      </c>
      <c r="C11" s="108" t="s">
        <v>218</v>
      </c>
      <c r="D11" s="109">
        <v>4.2</v>
      </c>
      <c r="E11" s="110">
        <f>J11*K11*L11</f>
        <v>1.0848E-2</v>
      </c>
      <c r="F11" s="108" t="s">
        <v>131</v>
      </c>
      <c r="G11" s="108"/>
      <c r="H11" s="111"/>
      <c r="I11" s="112" t="s">
        <v>219</v>
      </c>
      <c r="J11" s="113">
        <f>0.002</f>
        <v>2E-3</v>
      </c>
      <c r="K11" s="114">
        <v>2E-3</v>
      </c>
      <c r="L11" s="115">
        <v>2712</v>
      </c>
      <c r="M11" s="116">
        <v>1</v>
      </c>
      <c r="N11" s="117"/>
      <c r="O11" s="101"/>
      <c r="P11" s="80"/>
    </row>
    <row r="12" spans="1:16" s="82" customFormat="1" x14ac:dyDescent="0.35">
      <c r="A12" s="108">
        <v>30</v>
      </c>
      <c r="B12" s="160" t="s">
        <v>214</v>
      </c>
      <c r="C12" s="153" t="s">
        <v>215</v>
      </c>
      <c r="D12" s="154">
        <f>1.3*EXP(0.044*E12)</f>
        <v>2.4069593356828998</v>
      </c>
      <c r="E12" s="153">
        <v>14</v>
      </c>
      <c r="F12" s="153" t="s">
        <v>64</v>
      </c>
      <c r="G12" s="153"/>
      <c r="H12" s="155"/>
      <c r="I12" s="157"/>
      <c r="J12" s="158"/>
      <c r="K12" s="159"/>
      <c r="L12" s="161"/>
      <c r="M12" s="162">
        <v>1</v>
      </c>
      <c r="N12" s="117">
        <f>IF(J12="",D12*M12,D12*J12*K12*L12*M12)</f>
        <v>2.4069593356828998</v>
      </c>
      <c r="O12" s="101"/>
      <c r="P12" s="80"/>
    </row>
    <row r="13" spans="1:16" s="82" customFormat="1" x14ac:dyDescent="0.35">
      <c r="A13" s="108">
        <v>40</v>
      </c>
      <c r="B13" s="108" t="s">
        <v>129</v>
      </c>
      <c r="C13" s="108" t="s">
        <v>171</v>
      </c>
      <c r="D13" s="109">
        <v>4.2</v>
      </c>
      <c r="E13" s="110">
        <f>J13*K13*L13</f>
        <v>2.451648E-2</v>
      </c>
      <c r="F13" s="108" t="s">
        <v>131</v>
      </c>
      <c r="G13" s="108"/>
      <c r="H13" s="111"/>
      <c r="I13" s="112" t="s">
        <v>172</v>
      </c>
      <c r="J13" s="113">
        <v>4.5199999999999998E-4</v>
      </c>
      <c r="K13" s="114">
        <v>0.02</v>
      </c>
      <c r="L13" s="115">
        <v>2712</v>
      </c>
      <c r="M13" s="116">
        <v>1</v>
      </c>
      <c r="N13" s="117">
        <f>IF(J13="",D13*M13,D13*J13*K13*L13*M13)</f>
        <v>0.102969216</v>
      </c>
      <c r="O13" s="101"/>
      <c r="P13" s="80"/>
    </row>
    <row r="14" spans="1:16" s="82" customFormat="1" x14ac:dyDescent="0.35">
      <c r="A14" s="108">
        <v>60</v>
      </c>
      <c r="B14" s="108" t="s">
        <v>129</v>
      </c>
      <c r="C14" s="108" t="s">
        <v>174</v>
      </c>
      <c r="D14" s="109">
        <v>2.25</v>
      </c>
      <c r="E14" s="110">
        <f>J14*K14*L14</f>
        <v>3.8347679999999995E-2</v>
      </c>
      <c r="F14" s="108" t="s">
        <v>131</v>
      </c>
      <c r="G14" s="108"/>
      <c r="H14" s="111"/>
      <c r="I14" s="112" t="s">
        <v>175</v>
      </c>
      <c r="J14" s="113">
        <v>7.0699999999999995E-4</v>
      </c>
      <c r="K14" s="114">
        <v>0.02</v>
      </c>
      <c r="L14" s="115">
        <v>2712</v>
      </c>
      <c r="M14" s="116">
        <v>1</v>
      </c>
      <c r="N14" s="117">
        <f>IF(J14="",D14*M14,D14*J14*K14*L14*M14)</f>
        <v>8.6282280000000003E-2</v>
      </c>
      <c r="O14" s="101"/>
      <c r="P14" s="80"/>
    </row>
    <row r="15" spans="1:16" s="82" customFormat="1" x14ac:dyDescent="0.35">
      <c r="A15" s="108">
        <v>70</v>
      </c>
      <c r="B15" s="108" t="s">
        <v>129</v>
      </c>
      <c r="C15" s="108" t="s">
        <v>176</v>
      </c>
      <c r="D15" s="109">
        <v>4.2</v>
      </c>
      <c r="E15" s="110">
        <f>J15*K15*L15</f>
        <v>1.1089368000000001E-3</v>
      </c>
      <c r="F15" s="108" t="s">
        <v>131</v>
      </c>
      <c r="G15" s="108"/>
      <c r="H15" s="111"/>
      <c r="I15" s="112" t="s">
        <v>177</v>
      </c>
      <c r="J15" s="113">
        <v>1.3630000000000001E-4</v>
      </c>
      <c r="K15" s="114">
        <v>3.0000000000000001E-3</v>
      </c>
      <c r="L15" s="115">
        <v>2712</v>
      </c>
      <c r="M15" s="116">
        <v>2</v>
      </c>
      <c r="N15" s="117">
        <f>IF(J15="",D15*M15,D15*J15*K15*L15*M15)</f>
        <v>9.31506912E-3</v>
      </c>
      <c r="O15" s="101"/>
      <c r="P15" s="80"/>
    </row>
    <row r="16" spans="1:16" s="66" customFormat="1" x14ac:dyDescent="0.35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78" t="s">
        <v>43</v>
      </c>
      <c r="N16" s="179">
        <f>SUM(N10:N15)</f>
        <v>3.0189026337015608</v>
      </c>
    </row>
    <row r="17" spans="1:17" s="164" customFormat="1" x14ac:dyDescent="0.35">
      <c r="B17" s="163"/>
      <c r="C17" s="163"/>
      <c r="D17" s="163"/>
      <c r="E17" s="165"/>
      <c r="F17" s="163"/>
      <c r="G17" s="151"/>
      <c r="H17" s="151"/>
      <c r="I17" s="151"/>
      <c r="J17" s="163"/>
      <c r="K17" s="163"/>
      <c r="L17" s="166"/>
      <c r="M17" s="167"/>
      <c r="N17" s="151"/>
    </row>
    <row r="18" spans="1:17" s="66" customFormat="1" x14ac:dyDescent="0.35">
      <c r="A18" s="190" t="s">
        <v>40</v>
      </c>
      <c r="B18" s="190" t="s">
        <v>67</v>
      </c>
      <c r="C18" s="190" t="s">
        <v>53</v>
      </c>
      <c r="D18" s="190" t="s">
        <v>54</v>
      </c>
      <c r="E18" s="190" t="s">
        <v>68</v>
      </c>
      <c r="F18" s="190" t="s">
        <v>16</v>
      </c>
      <c r="G18" s="190" t="s">
        <v>69</v>
      </c>
      <c r="H18" s="190" t="s">
        <v>70</v>
      </c>
      <c r="I18" s="190" t="s">
        <v>43</v>
      </c>
      <c r="J18" s="118"/>
      <c r="K18" s="118"/>
      <c r="L18" s="118"/>
      <c r="M18" s="118"/>
    </row>
    <row r="19" spans="1:17" s="82" customFormat="1" x14ac:dyDescent="0.35">
      <c r="A19" s="119">
        <v>20</v>
      </c>
      <c r="B19" s="120" t="s">
        <v>124</v>
      </c>
      <c r="C19" s="120" t="s">
        <v>179</v>
      </c>
      <c r="D19" s="121">
        <v>1.3</v>
      </c>
      <c r="E19" s="119" t="s">
        <v>68</v>
      </c>
      <c r="F19" s="119">
        <v>1</v>
      </c>
      <c r="G19" s="119"/>
      <c r="H19" s="119">
        <v>1</v>
      </c>
      <c r="I19" s="103">
        <f>IF(H19="",D19*F19,D19*F19*H19)</f>
        <v>1.3</v>
      </c>
      <c r="J19" s="101"/>
      <c r="K19" s="101"/>
      <c r="L19" s="101"/>
      <c r="M19" s="101"/>
      <c r="N19" s="104"/>
      <c r="O19" s="104"/>
      <c r="P19" s="80"/>
      <c r="Q19" s="80"/>
    </row>
    <row r="20" spans="1:17" s="82" customFormat="1" x14ac:dyDescent="0.35">
      <c r="A20" s="119">
        <v>30</v>
      </c>
      <c r="B20" s="120" t="s">
        <v>135</v>
      </c>
      <c r="C20" s="119" t="s">
        <v>171</v>
      </c>
      <c r="D20" s="121">
        <v>0.04</v>
      </c>
      <c r="E20" s="119" t="s">
        <v>123</v>
      </c>
      <c r="F20" s="122">
        <v>11.774699999999999</v>
      </c>
      <c r="G20" s="119" t="s">
        <v>180</v>
      </c>
      <c r="H20" s="119">
        <v>1</v>
      </c>
      <c r="I20" s="103">
        <f>IF(H20="",D20*F20,D20*F20*H20)</f>
        <v>0.47098799999999996</v>
      </c>
      <c r="J20" s="101"/>
      <c r="K20" s="101"/>
      <c r="L20" s="101"/>
      <c r="M20" s="101"/>
      <c r="N20" s="104"/>
      <c r="O20" s="104"/>
      <c r="P20" s="80"/>
      <c r="Q20" s="80"/>
    </row>
    <row r="21" spans="1:17" s="82" customFormat="1" x14ac:dyDescent="0.35">
      <c r="A21" s="119">
        <v>40</v>
      </c>
      <c r="B21" s="120" t="s">
        <v>181</v>
      </c>
      <c r="C21" s="120" t="s">
        <v>182</v>
      </c>
      <c r="D21" s="121">
        <v>0.35</v>
      </c>
      <c r="E21" s="119" t="s">
        <v>183</v>
      </c>
      <c r="F21" s="119">
        <v>1</v>
      </c>
      <c r="G21" s="119"/>
      <c r="H21" s="119">
        <v>1</v>
      </c>
      <c r="I21" s="103">
        <f>IF(H21="",D21*F21,D21*F21*H21)</f>
        <v>0.35</v>
      </c>
      <c r="J21" s="101"/>
      <c r="K21" s="101"/>
      <c r="L21" s="101"/>
      <c r="M21" s="101"/>
      <c r="N21" s="104"/>
      <c r="O21" s="104"/>
      <c r="P21" s="80"/>
      <c r="Q21" s="80"/>
    </row>
    <row r="22" spans="1:17" s="82" customFormat="1" x14ac:dyDescent="0.35">
      <c r="A22" s="119">
        <v>50</v>
      </c>
      <c r="B22" s="120" t="s">
        <v>124</v>
      </c>
      <c r="C22" s="120" t="s">
        <v>184</v>
      </c>
      <c r="D22" s="121">
        <v>1.3</v>
      </c>
      <c r="E22" s="119" t="s">
        <v>68</v>
      </c>
      <c r="F22" s="119">
        <v>1</v>
      </c>
      <c r="G22" s="119"/>
      <c r="H22" s="119">
        <v>1</v>
      </c>
      <c r="I22" s="103">
        <f>IF(H22="",D22*F22,D22*F22*H22)</f>
        <v>1.3</v>
      </c>
      <c r="J22" s="101"/>
      <c r="K22" s="101"/>
      <c r="L22" s="101"/>
      <c r="M22" s="101"/>
      <c r="N22" s="104"/>
      <c r="O22" s="104"/>
      <c r="P22" s="80"/>
      <c r="Q22" s="80"/>
    </row>
    <row r="23" spans="1:17" s="82" customFormat="1" x14ac:dyDescent="0.35">
      <c r="A23" s="119">
        <v>60</v>
      </c>
      <c r="B23" s="120" t="s">
        <v>143</v>
      </c>
      <c r="C23" s="120" t="s">
        <v>220</v>
      </c>
      <c r="D23" s="121">
        <v>0.01</v>
      </c>
      <c r="E23" s="119" t="s">
        <v>90</v>
      </c>
      <c r="F23" s="169">
        <f>15.7+2*9.8</f>
        <v>35.299999999999997</v>
      </c>
      <c r="G23" s="119" t="s">
        <v>185</v>
      </c>
      <c r="H23" s="119">
        <v>1</v>
      </c>
      <c r="I23" s="103">
        <f>IF(H23="",D23*F23,D23*F23*H23)</f>
        <v>0.35299999999999998</v>
      </c>
      <c r="J23" s="101"/>
      <c r="K23" s="101"/>
      <c r="L23" s="101"/>
      <c r="M23" s="101"/>
      <c r="N23" s="104"/>
      <c r="O23" s="104"/>
      <c r="P23" s="80"/>
      <c r="Q23" s="80"/>
    </row>
    <row r="24" spans="1:17" s="82" customFormat="1" x14ac:dyDescent="0.35">
      <c r="A24" s="119"/>
      <c r="B24" s="120" t="s">
        <v>221</v>
      </c>
      <c r="C24" s="120" t="s">
        <v>222</v>
      </c>
      <c r="D24" s="121">
        <v>0.15</v>
      </c>
      <c r="E24" s="119" t="s">
        <v>90</v>
      </c>
      <c r="F24" s="119">
        <v>4</v>
      </c>
      <c r="G24" s="119" t="s">
        <v>223</v>
      </c>
      <c r="H24" s="119">
        <v>2</v>
      </c>
      <c r="I24" s="103"/>
      <c r="J24" s="101"/>
      <c r="K24" s="101"/>
      <c r="L24" s="101"/>
      <c r="M24" s="101"/>
      <c r="N24" s="104"/>
      <c r="O24" s="104"/>
      <c r="P24" s="80"/>
      <c r="Q24" s="80"/>
    </row>
    <row r="25" spans="1:17" s="82" customFormat="1" x14ac:dyDescent="0.35">
      <c r="A25" s="119"/>
      <c r="B25" s="171" t="s">
        <v>225</v>
      </c>
      <c r="C25" s="120" t="s">
        <v>226</v>
      </c>
      <c r="D25" s="121">
        <v>0.75</v>
      </c>
      <c r="E25" s="119" t="s">
        <v>228</v>
      </c>
      <c r="F25" s="119"/>
      <c r="G25" s="119"/>
      <c r="H25" s="119"/>
      <c r="I25" s="103"/>
      <c r="J25" s="101"/>
      <c r="K25" s="101"/>
      <c r="L25" s="101"/>
      <c r="M25" s="101"/>
      <c r="N25" s="80"/>
      <c r="O25" s="80"/>
      <c r="P25" s="80"/>
      <c r="Q25" s="80"/>
    </row>
    <row r="26" spans="1:17" s="82" customFormat="1" x14ac:dyDescent="0.35">
      <c r="A26" s="119"/>
      <c r="B26" s="170" t="s">
        <v>224</v>
      </c>
      <c r="C26" s="120" t="s">
        <v>227</v>
      </c>
      <c r="D26" s="152">
        <v>0.38</v>
      </c>
      <c r="E26" s="119" t="s">
        <v>228</v>
      </c>
      <c r="F26" s="119"/>
      <c r="G26" s="119"/>
      <c r="H26" s="119"/>
      <c r="I26" s="156"/>
      <c r="J26" s="101"/>
      <c r="K26" s="101"/>
      <c r="L26" s="101"/>
      <c r="M26" s="101"/>
      <c r="N26" s="80"/>
      <c r="O26" s="80"/>
      <c r="P26" s="80"/>
      <c r="Q26" s="80"/>
    </row>
    <row r="27" spans="1:17" s="82" customFormat="1" x14ac:dyDescent="0.35">
      <c r="A27" s="119">
        <v>90</v>
      </c>
      <c r="B27" s="120" t="s">
        <v>124</v>
      </c>
      <c r="C27" s="120" t="s">
        <v>186</v>
      </c>
      <c r="D27" s="121">
        <v>1.3</v>
      </c>
      <c r="E27" s="119" t="s">
        <v>68</v>
      </c>
      <c r="F27" s="119">
        <v>1</v>
      </c>
      <c r="G27" s="119" t="s">
        <v>187</v>
      </c>
      <c r="H27" s="119">
        <f>1/2</f>
        <v>0.5</v>
      </c>
      <c r="I27" s="103">
        <f t="shared" ref="I27:I32" si="0">IF(H27="",D27*F27,D27*F27*H27)</f>
        <v>0.65</v>
      </c>
      <c r="J27" s="123"/>
      <c r="K27" s="123"/>
      <c r="L27" s="123"/>
      <c r="M27" s="123"/>
      <c r="N27" s="105"/>
      <c r="O27" s="105"/>
      <c r="P27" s="80"/>
      <c r="Q27" s="80"/>
    </row>
    <row r="28" spans="1:17" s="82" customFormat="1" x14ac:dyDescent="0.35">
      <c r="A28" s="119">
        <v>100</v>
      </c>
      <c r="B28" s="120" t="s">
        <v>143</v>
      </c>
      <c r="C28" s="120" t="s">
        <v>188</v>
      </c>
      <c r="D28" s="121">
        <v>0.01</v>
      </c>
      <c r="E28" s="119" t="s">
        <v>90</v>
      </c>
      <c r="F28" s="119">
        <v>6.77</v>
      </c>
      <c r="G28" s="119" t="s">
        <v>189</v>
      </c>
      <c r="H28" s="119">
        <v>2</v>
      </c>
      <c r="I28" s="103">
        <f t="shared" si="0"/>
        <v>0.13539999999999999</v>
      </c>
      <c r="J28" s="101"/>
      <c r="K28" s="101"/>
      <c r="L28" s="101"/>
      <c r="M28" s="101"/>
      <c r="N28" s="80"/>
      <c r="O28" s="80"/>
      <c r="P28" s="80"/>
      <c r="Q28" s="80"/>
    </row>
    <row r="29" spans="1:17" s="82" customFormat="1" x14ac:dyDescent="0.35">
      <c r="A29" s="119">
        <v>110</v>
      </c>
      <c r="B29" s="120" t="s">
        <v>71</v>
      </c>
      <c r="C29" s="120" t="s">
        <v>229</v>
      </c>
      <c r="D29" s="121">
        <v>0.15</v>
      </c>
      <c r="E29" s="119" t="s">
        <v>90</v>
      </c>
      <c r="F29" s="119">
        <f>19*2</f>
        <v>38</v>
      </c>
      <c r="G29" s="119"/>
      <c r="H29" s="119"/>
      <c r="I29" s="103">
        <f t="shared" si="0"/>
        <v>5.7</v>
      </c>
      <c r="J29" s="101"/>
      <c r="K29" s="101"/>
      <c r="L29" s="101"/>
      <c r="M29" s="101"/>
      <c r="N29" s="80"/>
      <c r="O29" s="80"/>
      <c r="P29" s="80"/>
      <c r="Q29" s="80"/>
    </row>
    <row r="30" spans="1:17" s="82" customFormat="1" x14ac:dyDescent="0.35">
      <c r="A30" s="119">
        <v>120</v>
      </c>
      <c r="B30" s="120" t="s">
        <v>124</v>
      </c>
      <c r="C30" s="120" t="s">
        <v>179</v>
      </c>
      <c r="D30" s="121">
        <v>1.3</v>
      </c>
      <c r="E30" s="119" t="s">
        <v>68</v>
      </c>
      <c r="F30" s="119">
        <v>1</v>
      </c>
      <c r="G30" s="119"/>
      <c r="H30" s="119">
        <v>1</v>
      </c>
      <c r="I30" s="103">
        <f t="shared" si="0"/>
        <v>1.3</v>
      </c>
      <c r="J30" s="101"/>
      <c r="K30" s="101"/>
      <c r="L30" s="101"/>
      <c r="M30" s="101"/>
      <c r="N30" s="80"/>
      <c r="O30" s="80"/>
      <c r="P30" s="80"/>
      <c r="Q30" s="80"/>
    </row>
    <row r="31" spans="1:17" s="82" customFormat="1" x14ac:dyDescent="0.35">
      <c r="A31" s="119">
        <v>130</v>
      </c>
      <c r="B31" s="120" t="s">
        <v>135</v>
      </c>
      <c r="C31" s="119" t="s">
        <v>174</v>
      </c>
      <c r="D31" s="121">
        <v>0.04</v>
      </c>
      <c r="E31" s="119" t="s">
        <v>123</v>
      </c>
      <c r="F31" s="119">
        <v>6.04</v>
      </c>
      <c r="G31" s="119" t="s">
        <v>185</v>
      </c>
      <c r="H31" s="119">
        <v>1</v>
      </c>
      <c r="I31" s="103">
        <f t="shared" si="0"/>
        <v>0.24160000000000001</v>
      </c>
      <c r="J31" s="101"/>
      <c r="K31" s="101"/>
      <c r="L31" s="101"/>
      <c r="M31" s="101"/>
      <c r="N31" s="80"/>
      <c r="O31" s="80"/>
      <c r="P31" s="80"/>
      <c r="Q31" s="80"/>
    </row>
    <row r="32" spans="1:17" s="82" customFormat="1" x14ac:dyDescent="0.35">
      <c r="A32" s="119">
        <v>140</v>
      </c>
      <c r="B32" s="120" t="s">
        <v>105</v>
      </c>
      <c r="C32" s="120" t="s">
        <v>190</v>
      </c>
      <c r="D32" s="121">
        <v>0.19</v>
      </c>
      <c r="E32" s="119" t="s">
        <v>68</v>
      </c>
      <c r="F32" s="119">
        <v>1</v>
      </c>
      <c r="G32" s="119"/>
      <c r="H32" s="119"/>
      <c r="I32" s="103">
        <f t="shared" si="0"/>
        <v>0.19</v>
      </c>
      <c r="J32" s="101"/>
      <c r="K32" s="101"/>
      <c r="L32" s="101"/>
      <c r="M32" s="101"/>
      <c r="N32" s="80"/>
      <c r="O32" s="80"/>
      <c r="P32" s="80"/>
      <c r="Q32" s="80"/>
    </row>
    <row r="33" spans="1:17" s="82" customFormat="1" x14ac:dyDescent="0.35">
      <c r="A33" s="124"/>
      <c r="B33" s="125"/>
      <c r="C33" s="125"/>
      <c r="D33" s="126"/>
      <c r="E33" s="124"/>
      <c r="F33" s="124"/>
      <c r="G33" s="124"/>
      <c r="H33" s="178" t="s">
        <v>43</v>
      </c>
      <c r="I33" s="191">
        <f>SUM(I19:I32)</f>
        <v>11.990988000000002</v>
      </c>
      <c r="J33" s="101"/>
      <c r="K33" s="101"/>
      <c r="L33" s="101"/>
      <c r="M33" s="101"/>
      <c r="N33" s="80"/>
      <c r="O33" s="80"/>
      <c r="P33" s="80"/>
      <c r="Q33" s="80"/>
    </row>
    <row r="34" spans="1:17" x14ac:dyDescent="0.35">
      <c r="A34" s="106"/>
      <c r="B34" s="106"/>
      <c r="C34" s="106"/>
      <c r="D34" s="106"/>
      <c r="E34" s="106"/>
      <c r="F34" s="106"/>
      <c r="G34" s="106"/>
      <c r="H34" s="84"/>
      <c r="I34" s="127"/>
      <c r="J34" s="106"/>
      <c r="K34" s="106"/>
      <c r="L34" s="106"/>
      <c r="M34" s="106"/>
    </row>
    <row r="35" spans="1:17" s="66" customFormat="1" x14ac:dyDescent="0.35">
      <c r="A35" s="190" t="s">
        <v>40</v>
      </c>
      <c r="B35" s="190" t="s">
        <v>80</v>
      </c>
      <c r="C35" s="190" t="s">
        <v>53</v>
      </c>
      <c r="D35" s="190" t="s">
        <v>54</v>
      </c>
      <c r="E35" s="190" t="s">
        <v>68</v>
      </c>
      <c r="F35" s="190" t="s">
        <v>16</v>
      </c>
      <c r="G35" s="190" t="s">
        <v>81</v>
      </c>
      <c r="H35" s="190" t="s">
        <v>126</v>
      </c>
      <c r="I35" s="190" t="s">
        <v>43</v>
      </c>
      <c r="J35" s="118"/>
      <c r="K35" s="118"/>
      <c r="L35" s="118"/>
      <c r="M35" s="118"/>
    </row>
    <row r="36" spans="1:17" x14ac:dyDescent="0.35">
      <c r="A36" s="119">
        <v>10</v>
      </c>
      <c r="B36" s="119" t="s">
        <v>119</v>
      </c>
      <c r="C36" s="119" t="s">
        <v>191</v>
      </c>
      <c r="D36" s="121">
        <v>500</v>
      </c>
      <c r="E36" s="119" t="s">
        <v>83</v>
      </c>
      <c r="F36" s="119">
        <v>12</v>
      </c>
      <c r="G36" s="119">
        <v>3000</v>
      </c>
      <c r="H36" s="119">
        <v>1</v>
      </c>
      <c r="I36" s="103">
        <f>D36*F36/G36*H36</f>
        <v>2</v>
      </c>
      <c r="J36" s="106"/>
      <c r="K36" s="106"/>
      <c r="L36" s="106"/>
      <c r="M36" s="106"/>
    </row>
    <row r="37" spans="1:17" s="66" customFormat="1" x14ac:dyDescent="0.35">
      <c r="A37" s="118"/>
      <c r="B37" s="118"/>
      <c r="C37" s="118"/>
      <c r="D37" s="118"/>
      <c r="E37" s="118"/>
      <c r="F37" s="118"/>
      <c r="G37" s="118"/>
      <c r="H37" s="178" t="s">
        <v>43</v>
      </c>
      <c r="I37" s="191">
        <f>SUM(I36:I36)</f>
        <v>2</v>
      </c>
      <c r="J37" s="118"/>
      <c r="K37" s="118"/>
      <c r="L37" s="118"/>
      <c r="M37" s="118"/>
    </row>
    <row r="38" spans="1:17" x14ac:dyDescent="0.35">
      <c r="H38" s="84"/>
      <c r="I38" s="85"/>
    </row>
  </sheetData>
  <hyperlinks>
    <hyperlink ref="F1" location="BOM!A1" display="Back to BOM" xr:uid="{04A30A0C-0010-4366-A676-555272271DE3}"/>
    <hyperlink ref="B3" location="'EN A0008'!A1" display="Cooling System" xr:uid="{F92D7234-3F9B-4261-86ED-BD87BDE02912}"/>
    <hyperlink ref="D2" location="pEN_08007!A1" display="FileLink1" xr:uid="{080725DD-D51B-45DE-941C-7035FCB651A9}"/>
  </hyperlinks>
  <printOptions horizontalCentered="1"/>
  <pageMargins left="0.3" right="0.3" top="0.3" bottom="0.4" header="0.2" footer="0.2"/>
  <pageSetup paperSize="9" scale="56" orientation="landscape" r:id="rId1"/>
  <headerFoot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9BFB-0892-427D-B380-9EA975947D21}">
  <sheetPr>
    <tabColor rgb="FFD8E4BC"/>
    <pageSetUpPr fitToPage="1"/>
  </sheetPr>
  <dimension ref="A1"/>
  <sheetViews>
    <sheetView zoomScale="49" zoomScaleNormal="49" zoomScalePageLayoutView="49" workbookViewId="0">
      <selection activeCell="C35" sqref="C35"/>
    </sheetView>
  </sheetViews>
  <sheetFormatPr baseColWidth="10" defaultRowHeight="14.5" x14ac:dyDescent="0.35"/>
  <cols>
    <col min="1" max="16384" width="10.90625" style="96"/>
  </cols>
  <sheetData>
    <row r="1" spans="1:1" x14ac:dyDescent="0.35">
      <c r="A1" s="95" t="s">
        <v>170</v>
      </c>
    </row>
  </sheetData>
  <hyperlinks>
    <hyperlink ref="A1" location="'EN 08007'!A1" display="Back to part" xr:uid="{D097EF7D-3BB7-451C-B02D-08AFF2BF07C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88C4-F731-4435-84F6-9AF11B888980}">
  <sheetPr>
    <tabColor rgb="FFD8E4BC"/>
    <pageSetUpPr fitToPage="1"/>
  </sheetPr>
  <dimension ref="A1:O17"/>
  <sheetViews>
    <sheetView zoomScale="90" zoomScaleNormal="90" zoomScalePageLayoutView="49" workbookViewId="0">
      <selection activeCell="E7" sqref="E7"/>
    </sheetView>
  </sheetViews>
  <sheetFormatPr baseColWidth="10" defaultColWidth="7.6328125" defaultRowHeight="14.5" x14ac:dyDescent="0.35"/>
  <cols>
    <col min="1" max="1" width="10.453125" style="43" bestFit="1" customWidth="1"/>
    <col min="2" max="2" width="34.1796875" style="43" bestFit="1" customWidth="1"/>
    <col min="3" max="3" width="18.6328125" style="43" bestFit="1" customWidth="1"/>
    <col min="4" max="4" width="9" style="43" bestFit="1" customWidth="1"/>
    <col min="5" max="5" width="6.453125" style="43" bestFit="1" customWidth="1"/>
    <col min="6" max="6" width="12.36328125" style="43" bestFit="1" customWidth="1"/>
    <col min="7" max="7" width="14.453125" style="43" bestFit="1" customWidth="1"/>
    <col min="8" max="8" width="9.6328125" style="43" bestFit="1" customWidth="1"/>
    <col min="9" max="9" width="16.1796875" style="43" bestFit="1" customWidth="1"/>
    <col min="10" max="10" width="8.81640625" style="43" bestFit="1" customWidth="1"/>
    <col min="11" max="11" width="7.1796875" style="43" bestFit="1" customWidth="1"/>
    <col min="12" max="12" width="7.6328125" style="43" bestFit="1" customWidth="1"/>
    <col min="13" max="13" width="13.81640625" style="43" bestFit="1" customWidth="1"/>
    <col min="14" max="14" width="9.1796875" style="43" bestFit="1" customWidth="1"/>
    <col min="15" max="15" width="7.6328125" style="43"/>
    <col min="16" max="16" width="7.81640625" style="43" bestFit="1" customWidth="1"/>
    <col min="17" max="18" width="7.6328125" style="43"/>
    <col min="19" max="19" width="8.6328125" style="43" bestFit="1" customWidth="1"/>
    <col min="20" max="20" width="7.81640625" style="43" bestFit="1" customWidth="1"/>
    <col min="21" max="21" width="7.6328125" style="43"/>
    <col min="22" max="22" width="7.81640625" style="43" bestFit="1" customWidth="1"/>
    <col min="23" max="23" width="7.6328125" style="43"/>
    <col min="24" max="25" width="8.453125" style="43" bestFit="1" customWidth="1"/>
    <col min="26" max="28" width="7.81640625" style="43" bestFit="1" customWidth="1"/>
    <col min="29" max="16384" width="7.6328125" style="43"/>
  </cols>
  <sheetData>
    <row r="1" spans="1:15" x14ac:dyDescent="0.35">
      <c r="A1" s="174" t="s">
        <v>0</v>
      </c>
      <c r="B1" s="43" t="s">
        <v>1</v>
      </c>
      <c r="F1" s="44" t="s">
        <v>25</v>
      </c>
      <c r="J1" s="195" t="s">
        <v>6</v>
      </c>
      <c r="K1" s="45">
        <v>81</v>
      </c>
      <c r="M1" s="174" t="s">
        <v>42</v>
      </c>
      <c r="N1" s="86">
        <f>N11+I16</f>
        <v>1.5446910625000001</v>
      </c>
    </row>
    <row r="2" spans="1:15" x14ac:dyDescent="0.35">
      <c r="A2" s="174" t="s">
        <v>27</v>
      </c>
      <c r="B2" s="43" t="s">
        <v>84</v>
      </c>
      <c r="C2" s="91" t="s">
        <v>138</v>
      </c>
      <c r="D2" s="192" t="s">
        <v>31</v>
      </c>
      <c r="M2" s="174" t="s">
        <v>28</v>
      </c>
      <c r="N2" s="47">
        <v>1</v>
      </c>
      <c r="O2" s="55"/>
    </row>
    <row r="3" spans="1:15" x14ac:dyDescent="0.35">
      <c r="A3" s="174" t="s">
        <v>29</v>
      </c>
      <c r="B3" s="44" t="s">
        <v>30</v>
      </c>
      <c r="D3" s="174" t="s">
        <v>34</v>
      </c>
      <c r="J3" s="174" t="s">
        <v>31</v>
      </c>
    </row>
    <row r="4" spans="1:15" x14ac:dyDescent="0.35">
      <c r="A4" s="174" t="s">
        <v>41</v>
      </c>
      <c r="B4" s="43" t="s">
        <v>86</v>
      </c>
      <c r="D4" s="174" t="s">
        <v>37</v>
      </c>
      <c r="J4" s="174" t="s">
        <v>34</v>
      </c>
      <c r="M4" s="174" t="s">
        <v>35</v>
      </c>
      <c r="N4" s="86">
        <f>N1*N2</f>
        <v>1.5446910625000001</v>
      </c>
    </row>
    <row r="5" spans="1:15" x14ac:dyDescent="0.35">
      <c r="A5" s="174" t="s">
        <v>32</v>
      </c>
      <c r="B5" s="48" t="s">
        <v>192</v>
      </c>
      <c r="J5" s="174" t="s">
        <v>37</v>
      </c>
    </row>
    <row r="6" spans="1:15" x14ac:dyDescent="0.35">
      <c r="A6" s="174" t="s">
        <v>36</v>
      </c>
      <c r="B6" s="43" t="s">
        <v>23</v>
      </c>
    </row>
    <row r="7" spans="1:15" x14ac:dyDescent="0.35">
      <c r="A7" s="174" t="s">
        <v>38</v>
      </c>
    </row>
    <row r="9" spans="1:15" s="66" customFormat="1" x14ac:dyDescent="0.35">
      <c r="A9" s="174" t="s">
        <v>40</v>
      </c>
      <c r="B9" s="174" t="s">
        <v>52</v>
      </c>
      <c r="C9" s="174" t="s">
        <v>53</v>
      </c>
      <c r="D9" s="174" t="s">
        <v>54</v>
      </c>
      <c r="E9" s="174" t="s">
        <v>55</v>
      </c>
      <c r="F9" s="174" t="s">
        <v>56</v>
      </c>
      <c r="G9" s="174" t="s">
        <v>57</v>
      </c>
      <c r="H9" s="174" t="s">
        <v>58</v>
      </c>
      <c r="I9" s="174" t="s">
        <v>59</v>
      </c>
      <c r="J9" s="174" t="s">
        <v>60</v>
      </c>
      <c r="K9" s="174" t="s">
        <v>61</v>
      </c>
      <c r="L9" s="174" t="s">
        <v>62</v>
      </c>
      <c r="M9" s="174" t="s">
        <v>16</v>
      </c>
      <c r="N9" s="174" t="s">
        <v>43</v>
      </c>
    </row>
    <row r="10" spans="1:15" x14ac:dyDescent="0.35">
      <c r="A10" s="198">
        <v>10</v>
      </c>
      <c r="B10" s="198" t="s">
        <v>140</v>
      </c>
      <c r="C10" s="198" t="s">
        <v>193</v>
      </c>
      <c r="D10" s="199">
        <v>2.25</v>
      </c>
      <c r="E10" s="200">
        <f>J10*K10*L10</f>
        <v>7.4182500000000004E-3</v>
      </c>
      <c r="F10" s="198" t="s">
        <v>131</v>
      </c>
      <c r="G10" s="198"/>
      <c r="H10" s="201"/>
      <c r="I10" s="202" t="s">
        <v>128</v>
      </c>
      <c r="J10" s="203">
        <f>14*27/1000000</f>
        <v>3.7800000000000003E-4</v>
      </c>
      <c r="K10" s="204">
        <v>2.5000000000000001E-3</v>
      </c>
      <c r="L10" s="205">
        <v>7850</v>
      </c>
      <c r="M10" s="205">
        <v>1</v>
      </c>
      <c r="N10" s="206">
        <f>IF(J10="",D10*M10,D10*J10*K10*L10*M10)</f>
        <v>1.6691062500000003E-2</v>
      </c>
    </row>
    <row r="11" spans="1:15" s="66" customFormat="1" x14ac:dyDescent="0.35">
      <c r="M11" s="208" t="s">
        <v>43</v>
      </c>
      <c r="N11" s="209">
        <f>SUM(N10:N10)</f>
        <v>1.6691062500000003E-2</v>
      </c>
    </row>
    <row r="13" spans="1:15" s="66" customFormat="1" x14ac:dyDescent="0.35">
      <c r="A13" s="174" t="s">
        <v>40</v>
      </c>
      <c r="B13" s="174" t="s">
        <v>67</v>
      </c>
      <c r="C13" s="174" t="s">
        <v>53</v>
      </c>
      <c r="D13" s="174" t="s">
        <v>54</v>
      </c>
      <c r="E13" s="174" t="s">
        <v>68</v>
      </c>
      <c r="F13" s="174" t="s">
        <v>16</v>
      </c>
      <c r="G13" s="174" t="s">
        <v>69</v>
      </c>
      <c r="H13" s="174" t="s">
        <v>70</v>
      </c>
      <c r="I13" s="174" t="s">
        <v>43</v>
      </c>
    </row>
    <row r="14" spans="1:15" x14ac:dyDescent="0.35">
      <c r="A14" s="198">
        <v>10</v>
      </c>
      <c r="B14" s="207" t="s">
        <v>133</v>
      </c>
      <c r="C14" s="207" t="s">
        <v>142</v>
      </c>
      <c r="D14" s="199">
        <v>1.3</v>
      </c>
      <c r="E14" s="198" t="s">
        <v>68</v>
      </c>
      <c r="F14" s="198">
        <v>1</v>
      </c>
      <c r="G14" s="198"/>
      <c r="H14" s="198"/>
      <c r="I14" s="199">
        <f>F14*D14</f>
        <v>1.3</v>
      </c>
    </row>
    <row r="15" spans="1:15" x14ac:dyDescent="0.35">
      <c r="A15" s="49">
        <v>20</v>
      </c>
      <c r="B15" s="67" t="s">
        <v>125</v>
      </c>
      <c r="C15" s="67" t="s">
        <v>143</v>
      </c>
      <c r="D15" s="69">
        <v>0.01</v>
      </c>
      <c r="E15" s="49" t="s">
        <v>90</v>
      </c>
      <c r="F15" s="49">
        <v>7.6</v>
      </c>
      <c r="G15" s="49" t="s">
        <v>144</v>
      </c>
      <c r="H15" s="49">
        <v>3</v>
      </c>
      <c r="I15" s="69">
        <f>F15*D15*H15</f>
        <v>0.22799999999999998</v>
      </c>
    </row>
    <row r="16" spans="1:15" s="66" customFormat="1" x14ac:dyDescent="0.35">
      <c r="H16" s="208" t="s">
        <v>43</v>
      </c>
      <c r="I16" s="210">
        <f>SUM(I14:I15)</f>
        <v>1.528</v>
      </c>
    </row>
    <row r="17" spans="8:9" x14ac:dyDescent="0.35">
      <c r="H17" s="84"/>
      <c r="I17" s="85"/>
    </row>
  </sheetData>
  <hyperlinks>
    <hyperlink ref="F1" location="BOM!A1" display="Back to BOM" xr:uid="{12A1AC67-D90A-4CFE-A208-0BB2894F221C}"/>
    <hyperlink ref="B3" location="'EN A0008'!A1" display="Cooling System" xr:uid="{F125A9DE-98ED-47DB-9BAA-79906E4B0D4A}"/>
    <hyperlink ref="D2" location="dEN_08008!A1" display="FileLink1" xr:uid="{EBCB6F57-AAA5-48C2-9FD7-D117B6B02690}"/>
  </hyperlinks>
  <printOptions horizontalCentered="1"/>
  <pageMargins left="0.3" right="0.3" top="0.3" bottom="0.4" header="0.2" footer="0.2"/>
  <pageSetup paperSize="9" scale="74" orientation="landscape" r:id="rId1"/>
  <headerFoot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90EF-E2B5-44C5-999A-3DEE201E3D55}">
  <sheetPr>
    <tabColor rgb="FFD8E4BC"/>
    <pageSetUpPr fitToPage="1"/>
  </sheetPr>
  <dimension ref="A1"/>
  <sheetViews>
    <sheetView zoomScale="49" zoomScaleNormal="49" zoomScalePageLayoutView="49" workbookViewId="0">
      <selection activeCell="C35" sqref="C35"/>
    </sheetView>
  </sheetViews>
  <sheetFormatPr baseColWidth="10" defaultRowHeight="14.5" x14ac:dyDescent="0.35"/>
  <cols>
    <col min="1" max="16384" width="10.90625" style="96"/>
  </cols>
  <sheetData>
    <row r="1" spans="1:1" x14ac:dyDescent="0.35">
      <c r="A1" s="95" t="s">
        <v>192</v>
      </c>
    </row>
  </sheetData>
  <hyperlinks>
    <hyperlink ref="A1" location="'EN 08008'!A1" display="Back to part" xr:uid="{7FF5C4BE-AD73-451C-A13D-ED68929FCC55}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09DD-EA86-4F9D-A540-6FCF27EF7EE0}">
  <sheetPr>
    <tabColor rgb="FFD8E4BC"/>
    <pageSetUpPr fitToPage="1"/>
  </sheetPr>
  <dimension ref="A1:P18"/>
  <sheetViews>
    <sheetView zoomScaleNormal="100" zoomScalePageLayoutView="49" workbookViewId="0">
      <selection activeCell="H25" sqref="H25"/>
    </sheetView>
  </sheetViews>
  <sheetFormatPr baseColWidth="10" defaultColWidth="7.6328125" defaultRowHeight="14.5" x14ac:dyDescent="0.35"/>
  <cols>
    <col min="1" max="1" width="10.453125" style="43" bestFit="1" customWidth="1"/>
    <col min="2" max="2" width="24.453125" style="43" customWidth="1"/>
    <col min="3" max="3" width="22.36328125" style="43" customWidth="1"/>
    <col min="4" max="4" width="9" style="43" bestFit="1" customWidth="1"/>
    <col min="5" max="5" width="5.453125" style="43" bestFit="1" customWidth="1"/>
    <col min="6" max="6" width="12.36328125" style="43" bestFit="1" customWidth="1"/>
    <col min="7" max="7" width="10" style="43" bestFit="1" customWidth="1"/>
    <col min="8" max="8" width="9.6328125" style="43" bestFit="1" customWidth="1"/>
    <col min="9" max="9" width="12.81640625" style="43" bestFit="1" customWidth="1"/>
    <col min="10" max="10" width="8.81640625" style="43" bestFit="1" customWidth="1"/>
    <col min="11" max="11" width="7.1796875" style="43" bestFit="1" customWidth="1"/>
    <col min="12" max="12" width="7.6328125" style="43" bestFit="1" customWidth="1"/>
    <col min="13" max="13" width="13.81640625" style="43" bestFit="1" customWidth="1"/>
    <col min="14" max="14" width="9.1796875" style="43" bestFit="1" customWidth="1"/>
    <col min="15" max="15" width="7.6328125" style="43"/>
    <col min="16" max="16" width="7.81640625" style="43" bestFit="1" customWidth="1"/>
    <col min="17" max="18" width="7.6328125" style="43"/>
    <col min="19" max="19" width="8.6328125" style="43" bestFit="1" customWidth="1"/>
    <col min="20" max="20" width="7.81640625" style="43" bestFit="1" customWidth="1"/>
    <col min="21" max="21" width="7.6328125" style="43"/>
    <col min="22" max="22" width="7.81640625" style="43" bestFit="1" customWidth="1"/>
    <col min="23" max="23" width="7.6328125" style="43"/>
    <col min="24" max="25" width="8.453125" style="43" bestFit="1" customWidth="1"/>
    <col min="26" max="28" width="7.81640625" style="43" bestFit="1" customWidth="1"/>
    <col min="29" max="16384" width="7.6328125" style="43"/>
  </cols>
  <sheetData>
    <row r="1" spans="1:16" x14ac:dyDescent="0.35">
      <c r="A1" s="174" t="s">
        <v>0</v>
      </c>
      <c r="B1" s="43" t="s">
        <v>1</v>
      </c>
      <c r="F1" s="44" t="s">
        <v>25</v>
      </c>
      <c r="J1" s="195" t="s">
        <v>6</v>
      </c>
      <c r="K1" s="196">
        <v>81</v>
      </c>
      <c r="M1" s="174" t="s">
        <v>42</v>
      </c>
      <c r="N1" s="193">
        <f>N11+I17</f>
        <v>3.1535134468570387</v>
      </c>
    </row>
    <row r="2" spans="1:16" x14ac:dyDescent="0.35">
      <c r="A2" s="174" t="s">
        <v>27</v>
      </c>
      <c r="B2" s="43" t="s">
        <v>84</v>
      </c>
      <c r="C2" s="91" t="s">
        <v>138</v>
      </c>
      <c r="D2" s="192" t="s">
        <v>31</v>
      </c>
      <c r="M2" s="174" t="s">
        <v>28</v>
      </c>
      <c r="N2" s="194">
        <v>1</v>
      </c>
    </row>
    <row r="3" spans="1:16" x14ac:dyDescent="0.35">
      <c r="A3" s="174" t="s">
        <v>29</v>
      </c>
      <c r="B3" s="44" t="s">
        <v>30</v>
      </c>
      <c r="D3" s="174" t="s">
        <v>34</v>
      </c>
      <c r="J3" s="174" t="s">
        <v>31</v>
      </c>
    </row>
    <row r="4" spans="1:16" x14ac:dyDescent="0.35">
      <c r="A4" s="174" t="s">
        <v>41</v>
      </c>
      <c r="B4" s="43" t="s">
        <v>50</v>
      </c>
      <c r="D4" s="174" t="s">
        <v>37</v>
      </c>
      <c r="J4" s="174" t="s">
        <v>34</v>
      </c>
      <c r="M4" s="174" t="s">
        <v>35</v>
      </c>
      <c r="N4" s="193">
        <f>N1*N2</f>
        <v>3.1535134468570387</v>
      </c>
    </row>
    <row r="5" spans="1:16" x14ac:dyDescent="0.35">
      <c r="A5" s="174" t="s">
        <v>32</v>
      </c>
      <c r="B5" s="48" t="s">
        <v>194</v>
      </c>
      <c r="J5" s="174" t="s">
        <v>37</v>
      </c>
    </row>
    <row r="6" spans="1:16" x14ac:dyDescent="0.35">
      <c r="A6" s="174" t="s">
        <v>36</v>
      </c>
      <c r="B6" s="43" t="s">
        <v>23</v>
      </c>
    </row>
    <row r="7" spans="1:16" x14ac:dyDescent="0.35">
      <c r="A7" s="174" t="s">
        <v>38</v>
      </c>
    </row>
    <row r="9" spans="1:16" s="66" customFormat="1" x14ac:dyDescent="0.35">
      <c r="A9" s="177" t="s">
        <v>40</v>
      </c>
      <c r="B9" s="177" t="s">
        <v>52</v>
      </c>
      <c r="C9" s="177" t="s">
        <v>53</v>
      </c>
      <c r="D9" s="177" t="s">
        <v>54</v>
      </c>
      <c r="E9" s="177" t="s">
        <v>55</v>
      </c>
      <c r="F9" s="177" t="s">
        <v>56</v>
      </c>
      <c r="G9" s="177" t="s">
        <v>57</v>
      </c>
      <c r="H9" s="177" t="s">
        <v>58</v>
      </c>
      <c r="I9" s="177" t="s">
        <v>59</v>
      </c>
      <c r="J9" s="177" t="s">
        <v>60</v>
      </c>
      <c r="K9" s="177" t="s">
        <v>61</v>
      </c>
      <c r="L9" s="177" t="s">
        <v>62</v>
      </c>
      <c r="M9" s="177" t="s">
        <v>16</v>
      </c>
      <c r="N9" s="177" t="s">
        <v>43</v>
      </c>
    </row>
    <row r="10" spans="1:16" s="106" customFormat="1" ht="14.5" customHeight="1" x14ac:dyDescent="0.35">
      <c r="A10" s="128">
        <v>10</v>
      </c>
      <c r="B10" s="129" t="s">
        <v>195</v>
      </c>
      <c r="C10" s="128" t="s">
        <v>196</v>
      </c>
      <c r="D10" s="121">
        <v>4.2</v>
      </c>
      <c r="E10" s="128">
        <v>0.34499999999999997</v>
      </c>
      <c r="F10" s="128" t="s">
        <v>197</v>
      </c>
      <c r="G10" s="128">
        <v>1.2E-2</v>
      </c>
      <c r="H10" s="130" t="s">
        <v>197</v>
      </c>
      <c r="I10" s="131" t="s">
        <v>198</v>
      </c>
      <c r="J10" s="132">
        <f>PI()*G10^2</f>
        <v>4.523893421169302E-4</v>
      </c>
      <c r="K10" s="130">
        <v>0.35</v>
      </c>
      <c r="L10" s="133">
        <v>2712</v>
      </c>
      <c r="M10" s="133">
        <v>1</v>
      </c>
      <c r="N10" s="134">
        <f>IF(J10="",D10*M10,D10*J10*K10*L10*M10)</f>
        <v>1.8035134468570386</v>
      </c>
      <c r="P10" s="135"/>
    </row>
    <row r="11" spans="1:16" s="66" customFormat="1" x14ac:dyDescent="0.35">
      <c r="M11" s="178" t="s">
        <v>43</v>
      </c>
      <c r="N11" s="179">
        <f>SUM(N10:N10)</f>
        <v>1.8035134468570386</v>
      </c>
    </row>
    <row r="13" spans="1:16" s="66" customFormat="1" x14ac:dyDescent="0.35">
      <c r="A13" s="177" t="s">
        <v>40</v>
      </c>
      <c r="B13" s="177" t="s">
        <v>67</v>
      </c>
      <c r="C13" s="177" t="s">
        <v>53</v>
      </c>
      <c r="D13" s="177" t="s">
        <v>54</v>
      </c>
      <c r="E13" s="177" t="s">
        <v>68</v>
      </c>
      <c r="F13" s="177" t="s">
        <v>16</v>
      </c>
      <c r="G13" s="177" t="s">
        <v>69</v>
      </c>
      <c r="H13" s="177" t="s">
        <v>70</v>
      </c>
      <c r="I13" s="177" t="s">
        <v>43</v>
      </c>
    </row>
    <row r="14" spans="1:16" s="106" customFormat="1" x14ac:dyDescent="0.35">
      <c r="A14" s="128">
        <v>10</v>
      </c>
      <c r="B14" s="136" t="s">
        <v>199</v>
      </c>
      <c r="C14" s="137" t="s">
        <v>200</v>
      </c>
      <c r="D14" s="121">
        <v>0.2</v>
      </c>
      <c r="E14" s="128" t="s">
        <v>90</v>
      </c>
      <c r="F14" s="128">
        <v>2</v>
      </c>
      <c r="G14" s="128"/>
      <c r="H14" s="128"/>
      <c r="I14" s="134">
        <f>D14*F14</f>
        <v>0.4</v>
      </c>
    </row>
    <row r="15" spans="1:16" s="106" customFormat="1" ht="15.5" customHeight="1" x14ac:dyDescent="0.35">
      <c r="A15" s="128">
        <v>20</v>
      </c>
      <c r="B15" s="71" t="s">
        <v>201</v>
      </c>
      <c r="C15" s="138" t="s">
        <v>202</v>
      </c>
      <c r="D15" s="121">
        <v>0.35</v>
      </c>
      <c r="E15" s="128" t="s">
        <v>68</v>
      </c>
      <c r="F15" s="128">
        <v>2</v>
      </c>
      <c r="G15" s="128"/>
      <c r="H15" s="128"/>
      <c r="I15" s="134">
        <f>D15*F15</f>
        <v>0.7</v>
      </c>
    </row>
    <row r="16" spans="1:16" s="106" customFormat="1" x14ac:dyDescent="0.35">
      <c r="A16" s="128">
        <v>30</v>
      </c>
      <c r="B16" s="71" t="s">
        <v>178</v>
      </c>
      <c r="C16" s="137" t="s">
        <v>203</v>
      </c>
      <c r="D16" s="121">
        <v>0.25</v>
      </c>
      <c r="E16" s="128" t="s">
        <v>204</v>
      </c>
      <c r="F16" s="128">
        <v>1</v>
      </c>
      <c r="G16" s="128"/>
      <c r="H16" s="128"/>
      <c r="I16" s="134">
        <f>F16*D16</f>
        <v>0.25</v>
      </c>
    </row>
    <row r="17" spans="8:9" s="66" customFormat="1" x14ac:dyDescent="0.35">
      <c r="H17" s="178" t="s">
        <v>43</v>
      </c>
      <c r="I17" s="180">
        <f>SUM(I14:I16)</f>
        <v>1.35</v>
      </c>
    </row>
    <row r="18" spans="8:9" x14ac:dyDescent="0.35">
      <c r="H18" s="84"/>
      <c r="I18" s="85"/>
    </row>
  </sheetData>
  <hyperlinks>
    <hyperlink ref="F1" location="BOM!A1" display="Back to BOM" xr:uid="{EACFF2A4-95C6-4A2E-9096-615C5BFF1139}"/>
    <hyperlink ref="B3" location="'EN A0008'!A1" display="Cooling System" xr:uid="{A84632D5-ED71-4302-8CE2-1B3CC714EB29}"/>
    <hyperlink ref="D2" location="dEN_08009!A1" display="FileLink1" xr:uid="{8B857AA0-8E28-4A6A-A7FF-A0665CCB53FA}"/>
  </hyperlinks>
  <printOptions horizontalCentered="1"/>
  <pageMargins left="0.3" right="0.3" top="0.3" bottom="0.4" header="0.2" footer="0.2"/>
  <pageSetup paperSize="9" scale="84" orientation="landscape" r:id="rId1"/>
  <headerFoot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4FF0-B294-4DA8-948C-9E5E6EBC2BCD}">
  <sheetPr>
    <tabColor rgb="FFD8E4BC"/>
    <pageSetUpPr fitToPage="1"/>
  </sheetPr>
  <dimension ref="A1"/>
  <sheetViews>
    <sheetView zoomScale="70" zoomScaleNormal="70" zoomScalePageLayoutView="49" workbookViewId="0">
      <selection activeCell="C35" sqref="C35"/>
    </sheetView>
  </sheetViews>
  <sheetFormatPr baseColWidth="10" defaultRowHeight="14.5" x14ac:dyDescent="0.35"/>
  <cols>
    <col min="1" max="16384" width="10.90625" style="96"/>
  </cols>
  <sheetData>
    <row r="1" spans="1:1" x14ac:dyDescent="0.35">
      <c r="A1" s="95" t="s">
        <v>194</v>
      </c>
    </row>
  </sheetData>
  <hyperlinks>
    <hyperlink ref="A1" location="'EN 08009'!A1" display="Back to part" xr:uid="{7FB6A60E-F17A-4E71-AC34-C49E283C38C2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A012-8037-40ED-BAC3-80FC0FD1F3BF}">
  <sheetPr>
    <tabColor rgb="FFD8E4BC"/>
    <pageSetUpPr fitToPage="1"/>
  </sheetPr>
  <dimension ref="A1:Q24"/>
  <sheetViews>
    <sheetView zoomScale="70" zoomScaleNormal="70" zoomScalePageLayoutView="49" workbookViewId="0">
      <selection activeCell="D4" activeCellId="7" sqref="M4 M1:M2 J1:L1 N4 N2 N1 J3:J5 D2:D4"/>
    </sheetView>
  </sheetViews>
  <sheetFormatPr baseColWidth="10" defaultColWidth="7.6328125" defaultRowHeight="14.5" x14ac:dyDescent="0.35"/>
  <cols>
    <col min="1" max="1" width="10.453125" style="43" bestFit="1" customWidth="1"/>
    <col min="2" max="2" width="21.81640625" style="43" bestFit="1" customWidth="1"/>
    <col min="3" max="3" width="19.453125" style="43" bestFit="1" customWidth="1"/>
    <col min="4" max="4" width="8.81640625" style="43" bestFit="1" customWidth="1"/>
    <col min="5" max="5" width="6.1796875" style="43" bestFit="1" customWidth="1"/>
    <col min="6" max="6" width="12.36328125" style="43" bestFit="1" customWidth="1"/>
    <col min="7" max="7" width="10" style="43" bestFit="1" customWidth="1"/>
    <col min="8" max="8" width="9.6328125" style="43" bestFit="1" customWidth="1"/>
    <col min="9" max="9" width="17.453125" style="43" bestFit="1" customWidth="1"/>
    <col min="10" max="10" width="9.1796875" style="43" bestFit="1" customWidth="1"/>
    <col min="11" max="11" width="7.1796875" style="43" bestFit="1" customWidth="1"/>
    <col min="12" max="12" width="7.6328125" style="43" bestFit="1" customWidth="1"/>
    <col min="13" max="13" width="13.81640625" style="43" bestFit="1" customWidth="1"/>
    <col min="14" max="14" width="9.1796875" style="43" bestFit="1" customWidth="1"/>
    <col min="15" max="15" width="7.6328125" style="43"/>
    <col min="16" max="16" width="7.81640625" style="43" bestFit="1" customWidth="1"/>
    <col min="17" max="18" width="7.6328125" style="43"/>
    <col min="19" max="19" width="8.6328125" style="43" bestFit="1" customWidth="1"/>
    <col min="20" max="20" width="7.81640625" style="43" bestFit="1" customWidth="1"/>
    <col min="21" max="21" width="7.6328125" style="43"/>
    <col min="22" max="22" width="7.81640625" style="43" bestFit="1" customWidth="1"/>
    <col min="23" max="23" width="7.6328125" style="43"/>
    <col min="24" max="25" width="8.453125" style="43" bestFit="1" customWidth="1"/>
    <col min="26" max="28" width="7.81640625" style="43" bestFit="1" customWidth="1"/>
    <col min="29" max="16384" width="7.6328125" style="43"/>
  </cols>
  <sheetData>
    <row r="1" spans="1:17" x14ac:dyDescent="0.35">
      <c r="A1" s="174" t="s">
        <v>0</v>
      </c>
      <c r="B1" s="43" t="s">
        <v>1</v>
      </c>
      <c r="F1" s="44" t="s">
        <v>25</v>
      </c>
      <c r="J1" s="195" t="s">
        <v>6</v>
      </c>
      <c r="K1" s="196">
        <v>81</v>
      </c>
      <c r="L1" s="197"/>
      <c r="M1" s="174" t="s">
        <v>42</v>
      </c>
      <c r="N1" s="193">
        <f>N12+I19+J23</f>
        <v>15.483797116966837</v>
      </c>
    </row>
    <row r="2" spans="1:17" x14ac:dyDescent="0.35">
      <c r="A2" s="174" t="s">
        <v>27</v>
      </c>
      <c r="B2" s="43" t="s">
        <v>84</v>
      </c>
      <c r="D2" s="174" t="s">
        <v>31</v>
      </c>
      <c r="M2" s="174" t="s">
        <v>28</v>
      </c>
      <c r="N2" s="194">
        <v>1</v>
      </c>
    </row>
    <row r="3" spans="1:17" x14ac:dyDescent="0.35">
      <c r="A3" s="174" t="s">
        <v>29</v>
      </c>
      <c r="B3" s="44" t="s">
        <v>30</v>
      </c>
      <c r="D3" s="174" t="s">
        <v>34</v>
      </c>
      <c r="J3" s="174" t="s">
        <v>31</v>
      </c>
    </row>
    <row r="4" spans="1:17" x14ac:dyDescent="0.35">
      <c r="A4" s="174" t="s">
        <v>41</v>
      </c>
      <c r="B4" s="43" t="s">
        <v>51</v>
      </c>
      <c r="D4" s="174" t="s">
        <v>37</v>
      </c>
      <c r="J4" s="174" t="s">
        <v>34</v>
      </c>
      <c r="M4" s="174" t="s">
        <v>35</v>
      </c>
      <c r="N4" s="193">
        <f>N1*N2</f>
        <v>15.483797116966837</v>
      </c>
    </row>
    <row r="5" spans="1:17" x14ac:dyDescent="0.35">
      <c r="A5" s="174" t="s">
        <v>32</v>
      </c>
      <c r="B5" s="48" t="s">
        <v>205</v>
      </c>
      <c r="J5" s="174" t="s">
        <v>37</v>
      </c>
    </row>
    <row r="6" spans="1:17" x14ac:dyDescent="0.35">
      <c r="A6" s="174" t="s">
        <v>36</v>
      </c>
      <c r="B6" s="43" t="s">
        <v>23</v>
      </c>
    </row>
    <row r="7" spans="1:17" x14ac:dyDescent="0.35">
      <c r="A7" s="174" t="s">
        <v>38</v>
      </c>
    </row>
    <row r="9" spans="1:17" s="66" customFormat="1" x14ac:dyDescent="0.35">
      <c r="A9" s="177" t="s">
        <v>40</v>
      </c>
      <c r="B9" s="177" t="s">
        <v>52</v>
      </c>
      <c r="C9" s="189" t="s">
        <v>53</v>
      </c>
      <c r="D9" s="177" t="s">
        <v>54</v>
      </c>
      <c r="E9" s="177" t="s">
        <v>55</v>
      </c>
      <c r="F9" s="177" t="s">
        <v>56</v>
      </c>
      <c r="G9" s="177" t="s">
        <v>57</v>
      </c>
      <c r="H9" s="177" t="s">
        <v>58</v>
      </c>
      <c r="I9" s="177" t="s">
        <v>59</v>
      </c>
      <c r="J9" s="177" t="s">
        <v>60</v>
      </c>
      <c r="K9" s="177" t="s">
        <v>61</v>
      </c>
      <c r="L9" s="177" t="s">
        <v>62</v>
      </c>
      <c r="M9" s="177" t="s">
        <v>16</v>
      </c>
      <c r="N9" s="177" t="s">
        <v>43</v>
      </c>
    </row>
    <row r="10" spans="1:17" s="82" customFormat="1" x14ac:dyDescent="0.35">
      <c r="A10" s="97">
        <v>10</v>
      </c>
      <c r="B10" s="63" t="s">
        <v>153</v>
      </c>
      <c r="C10" s="98" t="s">
        <v>154</v>
      </c>
      <c r="D10" s="69">
        <f>0.47*E10</f>
        <v>5.8279999999999994</v>
      </c>
      <c r="E10" s="139">
        <v>12.4</v>
      </c>
      <c r="F10" s="63" t="s">
        <v>64</v>
      </c>
      <c r="G10" s="63"/>
      <c r="H10" s="57"/>
      <c r="I10" s="99" t="s">
        <v>206</v>
      </c>
      <c r="J10" s="52"/>
      <c r="K10" s="57"/>
      <c r="L10" s="57"/>
      <c r="M10" s="100">
        <v>0.2</v>
      </c>
      <c r="N10" s="89">
        <f>M10*D10</f>
        <v>1.1656</v>
      </c>
      <c r="O10" s="101"/>
      <c r="P10" s="80"/>
    </row>
    <row r="11" spans="1:17" s="82" customFormat="1" x14ac:dyDescent="0.35">
      <c r="A11" s="97">
        <v>20</v>
      </c>
      <c r="B11" s="63" t="s">
        <v>156</v>
      </c>
      <c r="C11" s="98" t="s">
        <v>207</v>
      </c>
      <c r="D11" s="69">
        <v>2.25</v>
      </c>
      <c r="E11" s="140">
        <f>J11*K11*L11</f>
        <v>7.2443163096372179E-2</v>
      </c>
      <c r="F11" s="63" t="s">
        <v>131</v>
      </c>
      <c r="G11" s="63"/>
      <c r="H11" s="57"/>
      <c r="I11" s="99" t="s">
        <v>208</v>
      </c>
      <c r="J11" s="141">
        <f>(PI()*6*6-PI()*5.75*5.75)/1000000</f>
        <v>9.2284284199200221E-6</v>
      </c>
      <c r="K11" s="57">
        <v>1</v>
      </c>
      <c r="L11" s="88">
        <v>7850</v>
      </c>
      <c r="M11" s="100">
        <v>1</v>
      </c>
      <c r="N11" s="89">
        <f>E11*D11*M11</f>
        <v>0.16299711696683741</v>
      </c>
      <c r="O11" s="101"/>
      <c r="P11" s="80"/>
      <c r="Q11" s="142"/>
    </row>
    <row r="12" spans="1:17" s="66" customFormat="1" x14ac:dyDescent="0.35">
      <c r="M12" s="178" t="s">
        <v>43</v>
      </c>
      <c r="N12" s="179">
        <f>SUM(N10:N11)</f>
        <v>1.3285971169668374</v>
      </c>
      <c r="Q12" s="55"/>
    </row>
    <row r="14" spans="1:17" s="66" customFormat="1" x14ac:dyDescent="0.35">
      <c r="A14" s="177" t="s">
        <v>40</v>
      </c>
      <c r="B14" s="177" t="s">
        <v>67</v>
      </c>
      <c r="C14" s="177" t="s">
        <v>53</v>
      </c>
      <c r="D14" s="177" t="s">
        <v>54</v>
      </c>
      <c r="E14" s="177" t="s">
        <v>68</v>
      </c>
      <c r="F14" s="177" t="s">
        <v>16</v>
      </c>
      <c r="G14" s="177" t="s">
        <v>69</v>
      </c>
      <c r="H14" s="177" t="s">
        <v>70</v>
      </c>
      <c r="I14" s="177" t="s">
        <v>43</v>
      </c>
    </row>
    <row r="15" spans="1:17" s="82" customFormat="1" x14ac:dyDescent="0.35">
      <c r="A15" s="63">
        <v>10</v>
      </c>
      <c r="B15" s="68" t="s">
        <v>159</v>
      </c>
      <c r="C15" s="70" t="s">
        <v>160</v>
      </c>
      <c r="D15" s="69">
        <v>0.06</v>
      </c>
      <c r="E15" s="63" t="s">
        <v>90</v>
      </c>
      <c r="F15" s="63">
        <v>9.92</v>
      </c>
      <c r="G15" s="63"/>
      <c r="H15" s="63">
        <v>1</v>
      </c>
      <c r="I15" s="103">
        <f>IF(H15="",D15*F15,D15*F15*H15)</f>
        <v>0.59519999999999995</v>
      </c>
      <c r="J15" s="104"/>
      <c r="K15" s="104"/>
      <c r="L15" s="104"/>
      <c r="M15" s="104"/>
      <c r="N15" s="104"/>
      <c r="O15" s="104"/>
      <c r="P15" s="80"/>
    </row>
    <row r="16" spans="1:17" s="82" customFormat="1" x14ac:dyDescent="0.35">
      <c r="A16" s="63">
        <v>20</v>
      </c>
      <c r="B16" s="68" t="s">
        <v>161</v>
      </c>
      <c r="C16" s="70" t="s">
        <v>162</v>
      </c>
      <c r="D16" s="69">
        <v>0.4</v>
      </c>
      <c r="E16" s="63" t="s">
        <v>90</v>
      </c>
      <c r="F16" s="63">
        <v>10</v>
      </c>
      <c r="G16" s="63"/>
      <c r="H16" s="63"/>
      <c r="I16" s="103">
        <f>IF(H16="",D16*F16,D16*F16*H16)</f>
        <v>4</v>
      </c>
      <c r="J16" s="80"/>
      <c r="K16" s="80"/>
      <c r="L16" s="80"/>
      <c r="M16" s="80"/>
      <c r="N16" s="80"/>
      <c r="O16" s="80"/>
      <c r="P16" s="80"/>
    </row>
    <row r="17" spans="1:16" s="82" customFormat="1" ht="29" x14ac:dyDescent="0.35">
      <c r="A17" s="63">
        <v>30</v>
      </c>
      <c r="B17" s="68" t="s">
        <v>105</v>
      </c>
      <c r="C17" s="68" t="s">
        <v>163</v>
      </c>
      <c r="D17" s="69">
        <v>0.19</v>
      </c>
      <c r="E17" s="63" t="s">
        <v>164</v>
      </c>
      <c r="F17" s="63">
        <v>4</v>
      </c>
      <c r="G17" s="63"/>
      <c r="H17" s="63"/>
      <c r="I17" s="103">
        <f>IF(H17="",D17*F17,D17*F17*H17)</f>
        <v>0.76</v>
      </c>
      <c r="J17" s="105"/>
      <c r="K17" s="105"/>
      <c r="L17" s="80"/>
      <c r="M17" s="105"/>
      <c r="N17" s="105"/>
      <c r="O17" s="105"/>
      <c r="P17" s="80"/>
    </row>
    <row r="18" spans="1:16" s="82" customFormat="1" x14ac:dyDescent="0.35">
      <c r="A18" s="63">
        <v>40</v>
      </c>
      <c r="B18" s="68" t="s">
        <v>108</v>
      </c>
      <c r="C18" s="70" t="s">
        <v>109</v>
      </c>
      <c r="D18" s="69">
        <v>0.5</v>
      </c>
      <c r="E18" s="63" t="s">
        <v>164</v>
      </c>
      <c r="F18" s="63">
        <v>8</v>
      </c>
      <c r="G18" s="63"/>
      <c r="H18" s="63"/>
      <c r="I18" s="103">
        <f>IF(H18="",D18*F18,D18*F18*H18)</f>
        <v>4</v>
      </c>
      <c r="J18" s="80"/>
      <c r="K18" s="80"/>
      <c r="L18" s="80"/>
      <c r="M18" s="80"/>
      <c r="N18" s="80"/>
      <c r="O18" s="80"/>
      <c r="P18" s="80"/>
    </row>
    <row r="19" spans="1:16" s="66" customFormat="1" x14ac:dyDescent="0.35">
      <c r="H19" s="178" t="s">
        <v>43</v>
      </c>
      <c r="I19" s="180">
        <f>SUM(I15:I18)</f>
        <v>9.3552</v>
      </c>
    </row>
    <row r="21" spans="1:16" s="66" customFormat="1" x14ac:dyDescent="0.35">
      <c r="A21" s="177" t="s">
        <v>40</v>
      </c>
      <c r="B21" s="177" t="s">
        <v>78</v>
      </c>
      <c r="C21" s="177" t="s">
        <v>53</v>
      </c>
      <c r="D21" s="177" t="s">
        <v>54</v>
      </c>
      <c r="E21" s="177" t="s">
        <v>55</v>
      </c>
      <c r="F21" s="177" t="s">
        <v>56</v>
      </c>
      <c r="G21" s="177" t="s">
        <v>57</v>
      </c>
      <c r="H21" s="177" t="s">
        <v>58</v>
      </c>
      <c r="I21" s="177" t="s">
        <v>16</v>
      </c>
      <c r="J21" s="177" t="s">
        <v>43</v>
      </c>
    </row>
    <row r="22" spans="1:16" s="82" customFormat="1" ht="29" x14ac:dyDescent="0.35">
      <c r="A22" s="63">
        <v>10</v>
      </c>
      <c r="B22" s="75" t="s">
        <v>113</v>
      </c>
      <c r="C22" s="75" t="s">
        <v>116</v>
      </c>
      <c r="D22" s="69">
        <v>0.6</v>
      </c>
      <c r="E22" s="63">
        <v>25.4</v>
      </c>
      <c r="F22" s="78" t="s">
        <v>64</v>
      </c>
      <c r="G22" s="63"/>
      <c r="H22" s="70"/>
      <c r="I22" s="79">
        <v>8</v>
      </c>
      <c r="J22" s="103">
        <f>I22*D22</f>
        <v>4.8</v>
      </c>
      <c r="K22" s="80"/>
      <c r="L22" s="81"/>
      <c r="M22" s="80"/>
      <c r="N22" s="80"/>
      <c r="O22" s="80"/>
      <c r="P22" s="80"/>
    </row>
    <row r="23" spans="1:16" s="66" customFormat="1" x14ac:dyDescent="0.35">
      <c r="I23" s="178" t="s">
        <v>43</v>
      </c>
      <c r="J23" s="180">
        <f>SUM(J22)</f>
        <v>4.8</v>
      </c>
    </row>
    <row r="24" spans="1:16" x14ac:dyDescent="0.35">
      <c r="H24" s="84"/>
      <c r="I24" s="85"/>
    </row>
  </sheetData>
  <hyperlinks>
    <hyperlink ref="F1" location="BOM!A1" display="Back to BOM" xr:uid="{F0BE3990-C235-4B93-9C25-0363CD737BA8}"/>
    <hyperlink ref="B3" location="'EN A0008'!A1" display="Cooling System" xr:uid="{7249893B-006D-4428-97B2-DF0DBA727986}"/>
  </hyperlinks>
  <printOptions horizontalCentered="1"/>
  <pageMargins left="0.3" right="0.3" top="0.3" bottom="0.4" header="0.2" footer="0.2"/>
  <pageSetup paperSize="9" scale="81" orientation="landscape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7A81-3A39-44DD-8F7D-C9042C37BAA4}">
  <sheetPr>
    <tabColor rgb="FFD8E4BC"/>
    <pageSetUpPr fitToPage="1"/>
  </sheetPr>
  <dimension ref="A1:P66"/>
  <sheetViews>
    <sheetView zoomScale="80" zoomScaleNormal="80" zoomScalePageLayoutView="80" workbookViewId="0">
      <selection activeCell="M73" sqref="M73"/>
    </sheetView>
  </sheetViews>
  <sheetFormatPr baseColWidth="10" defaultColWidth="7.6328125" defaultRowHeight="14.5" x14ac:dyDescent="0.35"/>
  <cols>
    <col min="1" max="1" width="10.36328125" style="43" bestFit="1" customWidth="1"/>
    <col min="2" max="2" width="30.36328125" style="43" bestFit="1" customWidth="1"/>
    <col min="3" max="3" width="61" style="43" bestFit="1" customWidth="1"/>
    <col min="4" max="4" width="13.1796875" style="43" bestFit="1" customWidth="1"/>
    <col min="5" max="5" width="9.453125" style="43" bestFit="1" customWidth="1"/>
    <col min="6" max="6" width="8.81640625" style="43" bestFit="1" customWidth="1"/>
    <col min="7" max="7" width="10" style="43" bestFit="1" customWidth="1"/>
    <col min="8" max="8" width="15.81640625" style="43" bestFit="1" customWidth="1"/>
    <col min="9" max="9" width="11.36328125" style="43" bestFit="1" customWidth="1"/>
    <col min="10" max="10" width="9.453125" style="43" bestFit="1" customWidth="1"/>
    <col min="11" max="11" width="7.1796875" style="43" bestFit="1" customWidth="1"/>
    <col min="12" max="12" width="8" style="43" bestFit="1" customWidth="1"/>
    <col min="13" max="13" width="13.6328125" style="43" bestFit="1" customWidth="1"/>
    <col min="14" max="14" width="9.453125" style="43" bestFit="1" customWidth="1"/>
    <col min="15" max="16384" width="7.6328125" style="43"/>
  </cols>
  <sheetData>
    <row r="1" spans="1:14" x14ac:dyDescent="0.35">
      <c r="A1" s="184" t="s">
        <v>0</v>
      </c>
      <c r="B1" s="43" t="s">
        <v>1</v>
      </c>
      <c r="D1" s="44" t="s">
        <v>25</v>
      </c>
      <c r="J1" s="184" t="s">
        <v>6</v>
      </c>
      <c r="K1" s="45">
        <v>81</v>
      </c>
      <c r="M1" s="184" t="s">
        <v>26</v>
      </c>
      <c r="N1" s="46">
        <f>EN_0800_pa+EN_A0800_m+EN_A0800_p+EN_A0800_f+EN_A0800_t</f>
        <v>352.00462980339626</v>
      </c>
    </row>
    <row r="2" spans="1:14" x14ac:dyDescent="0.35">
      <c r="A2" s="184" t="s">
        <v>27</v>
      </c>
      <c r="B2" s="43" t="s">
        <v>84</v>
      </c>
      <c r="M2" s="184" t="s">
        <v>28</v>
      </c>
      <c r="N2" s="47">
        <v>1</v>
      </c>
    </row>
    <row r="3" spans="1:14" x14ac:dyDescent="0.35">
      <c r="A3" s="184" t="s">
        <v>29</v>
      </c>
      <c r="B3" s="43" t="s">
        <v>30</v>
      </c>
      <c r="J3" s="184" t="s">
        <v>31</v>
      </c>
    </row>
    <row r="4" spans="1:14" x14ac:dyDescent="0.35">
      <c r="A4" s="184" t="s">
        <v>32</v>
      </c>
      <c r="B4" s="48" t="s">
        <v>33</v>
      </c>
      <c r="J4" s="184" t="s">
        <v>34</v>
      </c>
      <c r="M4" s="184" t="s">
        <v>35</v>
      </c>
      <c r="N4" s="46">
        <f>N1*N2</f>
        <v>352.00462980339626</v>
      </c>
    </row>
    <row r="5" spans="1:14" x14ac:dyDescent="0.35">
      <c r="A5" s="184" t="s">
        <v>36</v>
      </c>
      <c r="B5" s="43" t="s">
        <v>23</v>
      </c>
      <c r="J5" s="184" t="s">
        <v>37</v>
      </c>
    </row>
    <row r="6" spans="1:14" x14ac:dyDescent="0.35">
      <c r="A6" s="184" t="s">
        <v>38</v>
      </c>
      <c r="B6" s="43" t="s">
        <v>39</v>
      </c>
    </row>
    <row r="8" spans="1:14" x14ac:dyDescent="0.35">
      <c r="A8" s="185" t="s">
        <v>40</v>
      </c>
      <c r="B8" s="185" t="s">
        <v>41</v>
      </c>
      <c r="C8" s="185" t="s">
        <v>42</v>
      </c>
      <c r="D8" s="185" t="s">
        <v>16</v>
      </c>
      <c r="E8" s="185" t="s">
        <v>43</v>
      </c>
    </row>
    <row r="9" spans="1:14" x14ac:dyDescent="0.35">
      <c r="A9" s="49">
        <v>10</v>
      </c>
      <c r="B9" s="143" t="s">
        <v>44</v>
      </c>
      <c r="C9" s="51">
        <f>EN_08001!N1</f>
        <v>189.3719449297335</v>
      </c>
      <c r="D9" s="52">
        <v>1</v>
      </c>
      <c r="E9" s="53">
        <f t="shared" ref="E9:E18" si="0">C9*D9</f>
        <v>189.3719449297335</v>
      </c>
    </row>
    <row r="10" spans="1:14" x14ac:dyDescent="0.35">
      <c r="A10" s="49">
        <v>20</v>
      </c>
      <c r="B10" s="143" t="s">
        <v>45</v>
      </c>
      <c r="C10" s="51">
        <f>EN_08002!N1</f>
        <v>1.7906290000000002</v>
      </c>
      <c r="D10" s="52">
        <v>1</v>
      </c>
      <c r="E10" s="53">
        <f t="shared" si="0"/>
        <v>1.7906290000000002</v>
      </c>
    </row>
    <row r="11" spans="1:14" x14ac:dyDescent="0.35">
      <c r="A11" s="49">
        <v>30</v>
      </c>
      <c r="B11" s="143" t="s">
        <v>46</v>
      </c>
      <c r="C11" s="51">
        <f>EN_08003!N1</f>
        <v>2.5271720024703863</v>
      </c>
      <c r="D11" s="52">
        <v>1</v>
      </c>
      <c r="E11" s="53">
        <f t="shared" si="0"/>
        <v>2.5271720024703863</v>
      </c>
    </row>
    <row r="12" spans="1:14" x14ac:dyDescent="0.35">
      <c r="A12" s="49">
        <v>40</v>
      </c>
      <c r="B12" s="143" t="s">
        <v>47</v>
      </c>
      <c r="C12" s="51">
        <f>EN_08004!N1</f>
        <v>1.614127375</v>
      </c>
      <c r="D12" s="52">
        <v>1</v>
      </c>
      <c r="E12" s="53">
        <f t="shared" si="0"/>
        <v>1.614127375</v>
      </c>
    </row>
    <row r="13" spans="1:14" x14ac:dyDescent="0.35">
      <c r="A13" s="49">
        <v>50</v>
      </c>
      <c r="B13" s="143" t="s">
        <v>85</v>
      </c>
      <c r="C13" s="51">
        <f>EN_08005!N1</f>
        <v>38.15621592366692</v>
      </c>
      <c r="D13" s="52">
        <v>1</v>
      </c>
      <c r="E13" s="53">
        <f t="shared" si="0"/>
        <v>38.15621592366692</v>
      </c>
    </row>
    <row r="14" spans="1:14" x14ac:dyDescent="0.35">
      <c r="A14" s="49">
        <v>60</v>
      </c>
      <c r="B14" s="143" t="s">
        <v>48</v>
      </c>
      <c r="C14" s="51">
        <f>EN_08006!N1</f>
        <v>30.77</v>
      </c>
      <c r="D14" s="52">
        <v>1</v>
      </c>
      <c r="E14" s="53">
        <f t="shared" si="0"/>
        <v>30.77</v>
      </c>
    </row>
    <row r="15" spans="1:14" x14ac:dyDescent="0.35">
      <c r="A15" s="49">
        <v>70</v>
      </c>
      <c r="B15" s="143" t="s">
        <v>49</v>
      </c>
      <c r="C15" s="51">
        <f>EN_08007!N1</f>
        <v>17.009890633701563</v>
      </c>
      <c r="D15" s="52">
        <v>1</v>
      </c>
      <c r="E15" s="53">
        <f t="shared" si="0"/>
        <v>17.009890633701563</v>
      </c>
    </row>
    <row r="16" spans="1:14" ht="13.5" customHeight="1" x14ac:dyDescent="0.5">
      <c r="A16" s="49">
        <v>80</v>
      </c>
      <c r="B16" s="143" t="s">
        <v>209</v>
      </c>
      <c r="C16" s="51">
        <f>EN_08008!N1</f>
        <v>1.5446910625000001</v>
      </c>
      <c r="D16" s="52">
        <v>2</v>
      </c>
      <c r="E16" s="53">
        <f t="shared" si="0"/>
        <v>3.0893821250000002</v>
      </c>
      <c r="H16" s="54"/>
    </row>
    <row r="17" spans="1:16" x14ac:dyDescent="0.35">
      <c r="A17" s="49">
        <v>90</v>
      </c>
      <c r="B17" s="50" t="s">
        <v>50</v>
      </c>
      <c r="C17" s="51">
        <f>EN_08009!N1</f>
        <v>3.1535134468570387</v>
      </c>
      <c r="D17" s="52">
        <v>1</v>
      </c>
      <c r="E17" s="53">
        <f t="shared" si="0"/>
        <v>3.1535134468570387</v>
      </c>
      <c r="H17" s="55"/>
    </row>
    <row r="18" spans="1:16" x14ac:dyDescent="0.35">
      <c r="A18" s="49">
        <v>100</v>
      </c>
      <c r="B18" s="50" t="s">
        <v>51</v>
      </c>
      <c r="C18" s="51">
        <f>EN_08010!N1</f>
        <v>15.483797116966837</v>
      </c>
      <c r="D18" s="52">
        <v>1</v>
      </c>
      <c r="E18" s="53">
        <f t="shared" si="0"/>
        <v>15.483797116966837</v>
      </c>
    </row>
    <row r="19" spans="1:16" x14ac:dyDescent="0.35">
      <c r="D19" s="186" t="s">
        <v>43</v>
      </c>
      <c r="E19" s="187">
        <f>SUM(E9:E18)</f>
        <v>302.96667255339628</v>
      </c>
    </row>
    <row r="21" spans="1:16" x14ac:dyDescent="0.35">
      <c r="A21" s="185" t="s">
        <v>40</v>
      </c>
      <c r="B21" s="185" t="s">
        <v>52</v>
      </c>
      <c r="C21" s="185" t="s">
        <v>53</v>
      </c>
      <c r="D21" s="185" t="s">
        <v>54</v>
      </c>
      <c r="E21" s="185" t="s">
        <v>55</v>
      </c>
      <c r="F21" s="185" t="s">
        <v>56</v>
      </c>
      <c r="G21" s="185" t="s">
        <v>57</v>
      </c>
      <c r="H21" s="185" t="s">
        <v>58</v>
      </c>
      <c r="I21" s="185" t="s">
        <v>59</v>
      </c>
      <c r="J21" s="185" t="s">
        <v>60</v>
      </c>
      <c r="K21" s="185" t="s">
        <v>61</v>
      </c>
      <c r="L21" s="185" t="s">
        <v>62</v>
      </c>
      <c r="M21" s="185" t="s">
        <v>16</v>
      </c>
      <c r="N21" s="185" t="s">
        <v>43</v>
      </c>
    </row>
    <row r="22" spans="1:16" ht="29" x14ac:dyDescent="0.35">
      <c r="A22" s="49">
        <v>10</v>
      </c>
      <c r="B22" s="56" t="s">
        <v>63</v>
      </c>
      <c r="C22" s="49"/>
      <c r="D22" s="51">
        <f>0.27*E22</f>
        <v>5.4</v>
      </c>
      <c r="E22" s="49">
        <v>20</v>
      </c>
      <c r="F22" s="49" t="s">
        <v>64</v>
      </c>
      <c r="G22" s="49"/>
      <c r="H22" s="57"/>
      <c r="I22" s="58"/>
      <c r="J22" s="52"/>
      <c r="K22" s="57"/>
      <c r="L22" s="57"/>
      <c r="M22" s="59">
        <v>3</v>
      </c>
      <c r="N22" s="60">
        <f>IF(J22="",D22*M22,D22*J22*K22*L22*M22)</f>
        <v>16.200000000000003</v>
      </c>
      <c r="O22" s="55"/>
    </row>
    <row r="23" spans="1:16" s="149" customFormat="1" x14ac:dyDescent="0.35">
      <c r="A23" s="108">
        <v>20</v>
      </c>
      <c r="B23" s="108" t="s">
        <v>217</v>
      </c>
      <c r="C23" s="108" t="s">
        <v>173</v>
      </c>
      <c r="D23" s="109">
        <f>0.032*E23*G23+1.33</f>
        <v>3.6340000000000003</v>
      </c>
      <c r="E23" s="168">
        <v>8</v>
      </c>
      <c r="F23" s="108" t="s">
        <v>64</v>
      </c>
      <c r="G23" s="108">
        <v>9</v>
      </c>
      <c r="H23" s="111" t="s">
        <v>64</v>
      </c>
      <c r="I23" s="112"/>
      <c r="J23" s="113"/>
      <c r="K23" s="114"/>
      <c r="L23" s="115"/>
      <c r="M23" s="116">
        <v>1</v>
      </c>
      <c r="N23" s="150">
        <f>IF(J23="",D23*M23,D23*J23*K23*L23*M23)</f>
        <v>3.6340000000000003</v>
      </c>
      <c r="O23" s="147"/>
      <c r="P23" s="148"/>
    </row>
    <row r="24" spans="1:16" x14ac:dyDescent="0.35">
      <c r="A24" s="49">
        <v>30</v>
      </c>
      <c r="B24" s="56" t="s">
        <v>65</v>
      </c>
      <c r="C24" s="49" t="s">
        <v>210</v>
      </c>
      <c r="D24" s="51">
        <v>10</v>
      </c>
      <c r="E24" s="61">
        <v>2.1000000000000001E-2</v>
      </c>
      <c r="F24" s="49" t="s">
        <v>87</v>
      </c>
      <c r="G24" s="49"/>
      <c r="H24" s="57"/>
      <c r="I24" s="58"/>
      <c r="J24" s="52"/>
      <c r="K24" s="57"/>
      <c r="L24" s="57"/>
      <c r="M24" s="62">
        <v>2.1000000000000001E-2</v>
      </c>
      <c r="N24" s="60">
        <f>IF(J24="",D24*M24,D24*J24*K24*L24*M24)</f>
        <v>0.21000000000000002</v>
      </c>
      <c r="O24" s="55"/>
    </row>
    <row r="25" spans="1:16" x14ac:dyDescent="0.35">
      <c r="A25" s="49">
        <v>40</v>
      </c>
      <c r="B25" s="63" t="s">
        <v>66</v>
      </c>
      <c r="C25" s="49" t="s">
        <v>88</v>
      </c>
      <c r="D25" s="51">
        <v>0</v>
      </c>
      <c r="E25" s="49">
        <v>2.5</v>
      </c>
      <c r="F25" s="49" t="s">
        <v>89</v>
      </c>
      <c r="G25" s="49"/>
      <c r="H25" s="57"/>
      <c r="I25" s="64"/>
      <c r="J25" s="52"/>
      <c r="K25" s="57"/>
      <c r="L25" s="65"/>
      <c r="M25" s="59">
        <v>1</v>
      </c>
      <c r="N25" s="60">
        <f>IF(J25="",D25*M25,D25*J25*K25*L25*M25)</f>
        <v>0</v>
      </c>
      <c r="O25" s="55"/>
    </row>
    <row r="26" spans="1:16" s="66" customFormat="1" x14ac:dyDescent="0.35">
      <c r="M26" s="186" t="s">
        <v>43</v>
      </c>
      <c r="N26" s="187">
        <f>SUM(N22:N25)</f>
        <v>20.044000000000004</v>
      </c>
    </row>
    <row r="28" spans="1:16" s="66" customFormat="1" x14ac:dyDescent="0.35">
      <c r="A28" s="185" t="s">
        <v>40</v>
      </c>
      <c r="B28" s="185" t="s">
        <v>67</v>
      </c>
      <c r="C28" s="185" t="s">
        <v>53</v>
      </c>
      <c r="D28" s="185" t="s">
        <v>54</v>
      </c>
      <c r="E28" s="185" t="s">
        <v>68</v>
      </c>
      <c r="F28" s="185" t="s">
        <v>16</v>
      </c>
      <c r="G28" s="185" t="s">
        <v>69</v>
      </c>
      <c r="H28" s="185" t="s">
        <v>70</v>
      </c>
      <c r="I28" s="185" t="s">
        <v>43</v>
      </c>
    </row>
    <row r="29" spans="1:16" x14ac:dyDescent="0.35">
      <c r="A29" s="49">
        <v>10</v>
      </c>
      <c r="B29" s="67" t="s">
        <v>71</v>
      </c>
      <c r="C29" s="67" t="s">
        <v>72</v>
      </c>
      <c r="D29" s="51">
        <v>0.15</v>
      </c>
      <c r="E29" s="49" t="s">
        <v>90</v>
      </c>
      <c r="F29" s="49">
        <v>2.5</v>
      </c>
      <c r="G29" s="49"/>
      <c r="H29" s="49">
        <v>1</v>
      </c>
      <c r="I29" s="51">
        <f t="shared" ref="I29:I35" si="1">D29*F29*H29</f>
        <v>0.375</v>
      </c>
    </row>
    <row r="30" spans="1:16" x14ac:dyDescent="0.35">
      <c r="A30" s="49">
        <v>20</v>
      </c>
      <c r="B30" s="67" t="s">
        <v>71</v>
      </c>
      <c r="C30" s="67" t="s">
        <v>74</v>
      </c>
      <c r="D30" s="51">
        <v>0.15</v>
      </c>
      <c r="E30" s="49" t="s">
        <v>90</v>
      </c>
      <c r="F30" s="49">
        <v>3</v>
      </c>
      <c r="G30" s="49"/>
      <c r="H30" s="49">
        <v>1</v>
      </c>
      <c r="I30" s="51">
        <f t="shared" si="1"/>
        <v>0.44999999999999996</v>
      </c>
    </row>
    <row r="31" spans="1:16" x14ac:dyDescent="0.35">
      <c r="A31" s="49">
        <v>30</v>
      </c>
      <c r="B31" s="67" t="s">
        <v>71</v>
      </c>
      <c r="C31" s="67" t="s">
        <v>91</v>
      </c>
      <c r="D31" s="51">
        <v>0.15</v>
      </c>
      <c r="E31" s="49" t="s">
        <v>90</v>
      </c>
      <c r="F31" s="49">
        <v>3</v>
      </c>
      <c r="G31" s="49"/>
      <c r="H31" s="49">
        <v>1</v>
      </c>
      <c r="I31" s="51">
        <f t="shared" si="1"/>
        <v>0.44999999999999996</v>
      </c>
    </row>
    <row r="32" spans="1:16" x14ac:dyDescent="0.35">
      <c r="A32" s="49">
        <v>40</v>
      </c>
      <c r="B32" s="67" t="s">
        <v>75</v>
      </c>
      <c r="C32" s="49" t="s">
        <v>230</v>
      </c>
      <c r="D32" s="51">
        <v>5.25</v>
      </c>
      <c r="E32" s="49" t="s">
        <v>87</v>
      </c>
      <c r="F32" s="61">
        <v>1.2449E-2</v>
      </c>
      <c r="G32" s="49"/>
      <c r="H32" s="49">
        <v>1</v>
      </c>
      <c r="I32" s="51">
        <f t="shared" si="1"/>
        <v>6.5357250000000006E-2</v>
      </c>
    </row>
    <row r="33" spans="1:9" x14ac:dyDescent="0.35">
      <c r="A33" s="49">
        <v>50</v>
      </c>
      <c r="B33" s="67" t="s">
        <v>76</v>
      </c>
      <c r="C33" s="67" t="s">
        <v>92</v>
      </c>
      <c r="D33" s="51">
        <v>0.06</v>
      </c>
      <c r="E33" s="49" t="s">
        <v>68</v>
      </c>
      <c r="F33" s="49">
        <v>6</v>
      </c>
      <c r="G33" s="49"/>
      <c r="H33" s="49">
        <v>1</v>
      </c>
      <c r="I33" s="51">
        <f t="shared" si="1"/>
        <v>0.36</v>
      </c>
    </row>
    <row r="34" spans="1:9" x14ac:dyDescent="0.35">
      <c r="A34" s="49">
        <v>60</v>
      </c>
      <c r="B34" s="67" t="s">
        <v>76</v>
      </c>
      <c r="C34" s="68" t="s">
        <v>93</v>
      </c>
      <c r="D34" s="69">
        <v>0.06</v>
      </c>
      <c r="E34" s="49" t="s">
        <v>68</v>
      </c>
      <c r="F34" s="49">
        <v>6</v>
      </c>
      <c r="G34" s="49"/>
      <c r="H34" s="49">
        <v>1</v>
      </c>
      <c r="I34" s="51">
        <f t="shared" si="1"/>
        <v>0.36</v>
      </c>
    </row>
    <row r="35" spans="1:9" x14ac:dyDescent="0.35">
      <c r="A35" s="49">
        <v>70</v>
      </c>
      <c r="B35" s="70" t="s">
        <v>94</v>
      </c>
      <c r="C35" s="68" t="s">
        <v>93</v>
      </c>
      <c r="D35" s="69">
        <v>0.75</v>
      </c>
      <c r="E35" s="49" t="s">
        <v>68</v>
      </c>
      <c r="F35" s="49">
        <v>6</v>
      </c>
      <c r="G35" s="49"/>
      <c r="H35" s="49">
        <v>1</v>
      </c>
      <c r="I35" s="51">
        <f t="shared" si="1"/>
        <v>4.5</v>
      </c>
    </row>
    <row r="36" spans="1:9" x14ac:dyDescent="0.35">
      <c r="A36" s="49">
        <v>90</v>
      </c>
      <c r="B36" s="67" t="s">
        <v>95</v>
      </c>
      <c r="C36" s="67" t="s">
        <v>96</v>
      </c>
      <c r="D36" s="51">
        <v>0.38</v>
      </c>
      <c r="E36" s="49" t="s">
        <v>68</v>
      </c>
      <c r="F36" s="49">
        <v>1</v>
      </c>
      <c r="G36" s="49"/>
      <c r="H36" s="49">
        <v>1</v>
      </c>
      <c r="I36" s="51">
        <f t="shared" ref="I36:I50" si="2">D36*F36*H36</f>
        <v>0.38</v>
      </c>
    </row>
    <row r="37" spans="1:9" x14ac:dyDescent="0.35">
      <c r="A37" s="49">
        <v>100</v>
      </c>
      <c r="B37" s="70" t="s">
        <v>94</v>
      </c>
      <c r="C37" s="67" t="s">
        <v>97</v>
      </c>
      <c r="D37" s="51">
        <v>0.75</v>
      </c>
      <c r="E37" s="49" t="s">
        <v>68</v>
      </c>
      <c r="F37" s="49">
        <v>4</v>
      </c>
      <c r="G37" s="49"/>
      <c r="H37" s="49">
        <v>1</v>
      </c>
      <c r="I37" s="51">
        <f t="shared" si="2"/>
        <v>3</v>
      </c>
    </row>
    <row r="38" spans="1:9" x14ac:dyDescent="0.35">
      <c r="A38" s="49">
        <v>110</v>
      </c>
      <c r="B38" s="70" t="s">
        <v>98</v>
      </c>
      <c r="C38" s="67" t="s">
        <v>97</v>
      </c>
      <c r="D38" s="51">
        <v>0.5</v>
      </c>
      <c r="E38" s="49" t="s">
        <v>68</v>
      </c>
      <c r="F38" s="49">
        <v>4</v>
      </c>
      <c r="G38" s="49"/>
      <c r="H38" s="49">
        <v>1</v>
      </c>
      <c r="I38" s="51">
        <f t="shared" si="2"/>
        <v>2</v>
      </c>
    </row>
    <row r="39" spans="1:9" x14ac:dyDescent="0.35">
      <c r="A39" s="49">
        <v>120</v>
      </c>
      <c r="B39" s="70" t="s">
        <v>99</v>
      </c>
      <c r="C39" s="68" t="s">
        <v>77</v>
      </c>
      <c r="D39" s="51">
        <v>0.13</v>
      </c>
      <c r="E39" s="49" t="s">
        <v>68</v>
      </c>
      <c r="F39" s="49">
        <v>2</v>
      </c>
      <c r="G39" s="49"/>
      <c r="H39" s="49">
        <v>1</v>
      </c>
      <c r="I39" s="51">
        <f t="shared" si="2"/>
        <v>0.26</v>
      </c>
    </row>
    <row r="40" spans="1:9" x14ac:dyDescent="0.35">
      <c r="A40" s="49">
        <v>130</v>
      </c>
      <c r="B40" s="70" t="s">
        <v>100</v>
      </c>
      <c r="C40" s="68" t="s">
        <v>101</v>
      </c>
      <c r="D40" s="51">
        <v>0.06</v>
      </c>
      <c r="E40" s="49" t="s">
        <v>68</v>
      </c>
      <c r="F40" s="49">
        <v>2</v>
      </c>
      <c r="G40" s="49"/>
      <c r="H40" s="49">
        <v>1</v>
      </c>
      <c r="I40" s="51">
        <f t="shared" si="2"/>
        <v>0.12</v>
      </c>
    </row>
    <row r="41" spans="1:9" x14ac:dyDescent="0.35">
      <c r="A41" s="49">
        <v>140</v>
      </c>
      <c r="B41" s="70" t="s">
        <v>94</v>
      </c>
      <c r="C41" s="68" t="s">
        <v>101</v>
      </c>
      <c r="D41" s="51">
        <v>0.75</v>
      </c>
      <c r="E41" s="49" t="s">
        <v>68</v>
      </c>
      <c r="F41" s="49">
        <v>2</v>
      </c>
      <c r="G41" s="49"/>
      <c r="H41" s="49">
        <v>1</v>
      </c>
      <c r="I41" s="51">
        <f t="shared" si="2"/>
        <v>1.5</v>
      </c>
    </row>
    <row r="42" spans="1:9" x14ac:dyDescent="0.35">
      <c r="A42" s="49">
        <v>150</v>
      </c>
      <c r="B42" s="70" t="s">
        <v>98</v>
      </c>
      <c r="C42" s="68" t="s">
        <v>101</v>
      </c>
      <c r="D42" s="51">
        <v>0.25</v>
      </c>
      <c r="E42" s="49" t="s">
        <v>68</v>
      </c>
      <c r="F42" s="49">
        <v>2</v>
      </c>
      <c r="G42" s="49"/>
      <c r="H42" s="49">
        <v>1</v>
      </c>
      <c r="I42" s="51">
        <f t="shared" si="2"/>
        <v>0.5</v>
      </c>
    </row>
    <row r="43" spans="1:9" x14ac:dyDescent="0.35">
      <c r="A43" s="49">
        <v>160</v>
      </c>
      <c r="B43" s="70" t="s">
        <v>100</v>
      </c>
      <c r="C43" s="67" t="s">
        <v>102</v>
      </c>
      <c r="D43" s="51">
        <v>0.06</v>
      </c>
      <c r="E43" s="49" t="s">
        <v>68</v>
      </c>
      <c r="F43" s="49">
        <v>2</v>
      </c>
      <c r="G43" s="49"/>
      <c r="H43" s="49">
        <v>1</v>
      </c>
      <c r="I43" s="51">
        <f t="shared" si="2"/>
        <v>0.12</v>
      </c>
    </row>
    <row r="44" spans="1:9" x14ac:dyDescent="0.35">
      <c r="A44" s="49">
        <v>170</v>
      </c>
      <c r="B44" s="70" t="s">
        <v>100</v>
      </c>
      <c r="C44" s="68" t="s">
        <v>103</v>
      </c>
      <c r="D44" s="69">
        <v>0.06</v>
      </c>
      <c r="E44" s="49" t="s">
        <v>68</v>
      </c>
      <c r="F44" s="49">
        <v>2</v>
      </c>
      <c r="G44" s="49"/>
      <c r="H44" s="49">
        <v>1</v>
      </c>
      <c r="I44" s="51">
        <f t="shared" si="2"/>
        <v>0.12</v>
      </c>
    </row>
    <row r="45" spans="1:9" x14ac:dyDescent="0.35">
      <c r="A45" s="49">
        <v>180</v>
      </c>
      <c r="B45" s="70" t="s">
        <v>100</v>
      </c>
      <c r="C45" s="68" t="s">
        <v>104</v>
      </c>
      <c r="D45" s="69">
        <v>0.06</v>
      </c>
      <c r="E45" s="49" t="s">
        <v>68</v>
      </c>
      <c r="F45" s="49">
        <v>2</v>
      </c>
      <c r="G45" s="49"/>
      <c r="H45" s="49">
        <v>1</v>
      </c>
      <c r="I45" s="51">
        <f t="shared" si="2"/>
        <v>0.12</v>
      </c>
    </row>
    <row r="46" spans="1:9" x14ac:dyDescent="0.35">
      <c r="A46" s="49">
        <v>190</v>
      </c>
      <c r="B46" s="70" t="s">
        <v>94</v>
      </c>
      <c r="C46" s="68" t="s">
        <v>104</v>
      </c>
      <c r="D46" s="51">
        <v>0.75</v>
      </c>
      <c r="E46" s="49" t="s">
        <v>68</v>
      </c>
      <c r="F46" s="49">
        <v>2</v>
      </c>
      <c r="G46" s="49"/>
      <c r="H46" s="49">
        <v>1</v>
      </c>
      <c r="I46" s="51">
        <f t="shared" si="2"/>
        <v>1.5</v>
      </c>
    </row>
    <row r="47" spans="1:9" x14ac:dyDescent="0.35">
      <c r="A47" s="49">
        <v>200</v>
      </c>
      <c r="B47" s="70" t="s">
        <v>98</v>
      </c>
      <c r="C47" s="68" t="s">
        <v>104</v>
      </c>
      <c r="D47" s="51">
        <v>0.25</v>
      </c>
      <c r="E47" s="49" t="s">
        <v>68</v>
      </c>
      <c r="F47" s="49">
        <v>2</v>
      </c>
      <c r="G47" s="49"/>
      <c r="H47" s="49">
        <v>1</v>
      </c>
      <c r="I47" s="51">
        <f t="shared" si="2"/>
        <v>0.5</v>
      </c>
    </row>
    <row r="48" spans="1:9" x14ac:dyDescent="0.35">
      <c r="A48" s="49">
        <v>210</v>
      </c>
      <c r="B48" s="68" t="s">
        <v>105</v>
      </c>
      <c r="C48" s="68" t="s">
        <v>106</v>
      </c>
      <c r="D48" s="69">
        <v>0.19</v>
      </c>
      <c r="E48" s="49" t="s">
        <v>68</v>
      </c>
      <c r="F48" s="49">
        <v>2</v>
      </c>
      <c r="G48" s="49"/>
      <c r="H48" s="49">
        <v>1</v>
      </c>
      <c r="I48" s="51">
        <f t="shared" si="2"/>
        <v>0.38</v>
      </c>
    </row>
    <row r="49" spans="1:16" ht="29" x14ac:dyDescent="0.35">
      <c r="A49" s="49">
        <v>220</v>
      </c>
      <c r="B49" s="68" t="s">
        <v>105</v>
      </c>
      <c r="C49" s="68" t="s">
        <v>107</v>
      </c>
      <c r="D49" s="69">
        <v>0.19</v>
      </c>
      <c r="E49" s="49" t="s">
        <v>68</v>
      </c>
      <c r="F49" s="49">
        <v>2</v>
      </c>
      <c r="G49" s="49"/>
      <c r="H49" s="49">
        <v>1</v>
      </c>
      <c r="I49" s="51">
        <f t="shared" si="2"/>
        <v>0.38</v>
      </c>
    </row>
    <row r="50" spans="1:16" x14ac:dyDescent="0.35">
      <c r="A50" s="49">
        <v>230</v>
      </c>
      <c r="B50" s="68" t="s">
        <v>108</v>
      </c>
      <c r="C50" s="68" t="s">
        <v>109</v>
      </c>
      <c r="D50" s="69">
        <v>0.5</v>
      </c>
      <c r="E50" s="49" t="s">
        <v>68</v>
      </c>
      <c r="F50" s="49">
        <v>4</v>
      </c>
      <c r="G50" s="49"/>
      <c r="H50" s="49">
        <v>1</v>
      </c>
      <c r="I50" s="51">
        <f t="shared" si="2"/>
        <v>2</v>
      </c>
    </row>
    <row r="51" spans="1:16" s="66" customFormat="1" x14ac:dyDescent="0.35">
      <c r="H51" s="186" t="s">
        <v>43</v>
      </c>
      <c r="I51" s="188">
        <f>SUM(I29:I50)</f>
        <v>19.440357249999991</v>
      </c>
    </row>
    <row r="55" spans="1:16" s="66" customFormat="1" x14ac:dyDescent="0.35">
      <c r="A55" s="185" t="s">
        <v>40</v>
      </c>
      <c r="B55" s="185" t="s">
        <v>78</v>
      </c>
      <c r="C55" s="185" t="s">
        <v>53</v>
      </c>
      <c r="D55" s="185" t="s">
        <v>54</v>
      </c>
      <c r="E55" s="185" t="s">
        <v>55</v>
      </c>
      <c r="F55" s="185" t="s">
        <v>56</v>
      </c>
      <c r="G55" s="185" t="s">
        <v>57</v>
      </c>
      <c r="H55" s="185" t="s">
        <v>58</v>
      </c>
      <c r="I55" s="185" t="s">
        <v>16</v>
      </c>
      <c r="J55" s="185" t="s">
        <v>43</v>
      </c>
    </row>
    <row r="56" spans="1:16" x14ac:dyDescent="0.35">
      <c r="A56" s="49">
        <v>10</v>
      </c>
      <c r="B56" s="63" t="s">
        <v>110</v>
      </c>
      <c r="C56" s="63" t="s">
        <v>111</v>
      </c>
      <c r="D56" s="72">
        <v>0.05</v>
      </c>
      <c r="E56" s="49">
        <v>3</v>
      </c>
      <c r="F56" s="73" t="s">
        <v>64</v>
      </c>
      <c r="G56" s="49">
        <v>25</v>
      </c>
      <c r="H56" s="67" t="s">
        <v>64</v>
      </c>
      <c r="I56" s="74">
        <v>4</v>
      </c>
      <c r="J56" s="51">
        <f t="shared" ref="J56:J61" si="3">D56*I56</f>
        <v>0.2</v>
      </c>
    </row>
    <row r="57" spans="1:16" x14ac:dyDescent="0.35">
      <c r="A57" s="49">
        <v>20</v>
      </c>
      <c r="B57" s="63" t="s">
        <v>79</v>
      </c>
      <c r="C57" s="75" t="s">
        <v>112</v>
      </c>
      <c r="D57" s="76">
        <v>0.03</v>
      </c>
      <c r="E57" s="49">
        <v>6</v>
      </c>
      <c r="F57" s="73" t="s">
        <v>64</v>
      </c>
      <c r="G57" s="49"/>
      <c r="H57" s="67"/>
      <c r="I57" s="74">
        <v>8</v>
      </c>
      <c r="J57" s="51">
        <f t="shared" si="3"/>
        <v>0.24</v>
      </c>
    </row>
    <row r="58" spans="1:16" x14ac:dyDescent="0.35">
      <c r="A58" s="49">
        <v>30</v>
      </c>
      <c r="B58" s="77" t="s">
        <v>113</v>
      </c>
      <c r="C58" s="49" t="s">
        <v>114</v>
      </c>
      <c r="D58" s="76">
        <f>0.004*E58+0.5</f>
        <v>0.60160000000000002</v>
      </c>
      <c r="E58" s="49">
        <v>25.4</v>
      </c>
      <c r="F58" s="73" t="s">
        <v>64</v>
      </c>
      <c r="G58" s="49"/>
      <c r="H58" s="67"/>
      <c r="I58" s="74">
        <v>2</v>
      </c>
      <c r="J58" s="51">
        <f t="shared" si="3"/>
        <v>1.2032</v>
      </c>
    </row>
    <row r="59" spans="1:16" x14ac:dyDescent="0.35">
      <c r="A59" s="49">
        <v>40</v>
      </c>
      <c r="B59" s="77" t="s">
        <v>113</v>
      </c>
      <c r="C59" s="49" t="s">
        <v>115</v>
      </c>
      <c r="D59" s="76">
        <f>0.004*E59+0.5</f>
        <v>0.54800000000000004</v>
      </c>
      <c r="E59" s="49">
        <v>12</v>
      </c>
      <c r="F59" s="73" t="s">
        <v>64</v>
      </c>
      <c r="G59" s="49"/>
      <c r="H59" s="67"/>
      <c r="I59" s="74">
        <v>2</v>
      </c>
      <c r="J59" s="51">
        <f t="shared" si="3"/>
        <v>1.0960000000000001</v>
      </c>
    </row>
    <row r="60" spans="1:16" s="82" customFormat="1" x14ac:dyDescent="0.35">
      <c r="A60" s="63">
        <v>50</v>
      </c>
      <c r="B60" s="75" t="s">
        <v>113</v>
      </c>
      <c r="C60" s="75" t="s">
        <v>116</v>
      </c>
      <c r="D60" s="76">
        <f>0.004*E60+0.5</f>
        <v>0.60160000000000002</v>
      </c>
      <c r="E60" s="63">
        <v>25.4</v>
      </c>
      <c r="F60" s="78" t="s">
        <v>64</v>
      </c>
      <c r="G60" s="63"/>
      <c r="H60" s="70"/>
      <c r="I60" s="79">
        <v>9</v>
      </c>
      <c r="J60" s="51">
        <f t="shared" si="3"/>
        <v>5.4144000000000005</v>
      </c>
      <c r="K60" s="80"/>
      <c r="L60" s="81"/>
      <c r="M60" s="80"/>
      <c r="N60" s="80"/>
      <c r="O60" s="80"/>
      <c r="P60" s="80"/>
    </row>
    <row r="61" spans="1:16" x14ac:dyDescent="0.35">
      <c r="A61" s="49">
        <v>60</v>
      </c>
      <c r="B61" s="49" t="s">
        <v>117</v>
      </c>
      <c r="C61" s="49" t="s">
        <v>118</v>
      </c>
      <c r="D61" s="76">
        <v>0.1</v>
      </c>
      <c r="E61" s="49">
        <v>4</v>
      </c>
      <c r="F61" s="73" t="s">
        <v>73</v>
      </c>
      <c r="G61" s="49"/>
      <c r="H61" s="67"/>
      <c r="I61" s="74">
        <v>4</v>
      </c>
      <c r="J61" s="51">
        <f t="shared" si="3"/>
        <v>0.4</v>
      </c>
      <c r="L61" s="83"/>
    </row>
    <row r="62" spans="1:16" s="66" customFormat="1" x14ac:dyDescent="0.35">
      <c r="I62" s="186" t="s">
        <v>43</v>
      </c>
      <c r="J62" s="188">
        <f>SUM(J56:J61)</f>
        <v>8.5536000000000012</v>
      </c>
    </row>
    <row r="63" spans="1:16" x14ac:dyDescent="0.35">
      <c r="H63" s="84"/>
      <c r="I63" s="85"/>
    </row>
    <row r="64" spans="1:16" s="66" customFormat="1" x14ac:dyDescent="0.35">
      <c r="A64" s="185" t="s">
        <v>40</v>
      </c>
      <c r="B64" s="185" t="s">
        <v>80</v>
      </c>
      <c r="C64" s="185" t="s">
        <v>53</v>
      </c>
      <c r="D64" s="185" t="s">
        <v>54</v>
      </c>
      <c r="E64" s="185" t="s">
        <v>68</v>
      </c>
      <c r="F64" s="185" t="s">
        <v>16</v>
      </c>
      <c r="G64" s="185" t="s">
        <v>81</v>
      </c>
      <c r="H64" s="185" t="s">
        <v>82</v>
      </c>
      <c r="I64" s="185" t="s">
        <v>43</v>
      </c>
    </row>
    <row r="65" spans="1:9" x14ac:dyDescent="0.35">
      <c r="A65" s="49">
        <v>10</v>
      </c>
      <c r="B65" s="49" t="s">
        <v>119</v>
      </c>
      <c r="C65" s="63" t="s">
        <v>120</v>
      </c>
      <c r="D65" s="69">
        <v>500</v>
      </c>
      <c r="E65" s="49" t="s">
        <v>121</v>
      </c>
      <c r="F65" s="49">
        <v>6</v>
      </c>
      <c r="G65" s="49">
        <v>3000</v>
      </c>
      <c r="H65" s="49">
        <v>1</v>
      </c>
      <c r="I65" s="60">
        <f>D65*F65/G65*H65</f>
        <v>1</v>
      </c>
    </row>
    <row r="66" spans="1:9" s="66" customFormat="1" x14ac:dyDescent="0.35">
      <c r="H66" s="186" t="s">
        <v>43</v>
      </c>
      <c r="I66" s="188">
        <f>SUM(I65:I65)</f>
        <v>1</v>
      </c>
    </row>
  </sheetData>
  <hyperlinks>
    <hyperlink ref="C29" location="BOM!A1" display="Back to BOM" xr:uid="{069C7549-03C8-47C9-85BC-BA5A27C050E0}"/>
    <hyperlink ref="D1" location="BOM!A1" display="Back to BOM" xr:uid="{65FCA13F-22C8-4015-9A2E-4899797022F2}"/>
    <hyperlink ref="B9" location="EN_08001!A1" display="Radiator" xr:uid="{CD42A73A-570D-47CF-96A0-A7F8360F800E}"/>
    <hyperlink ref="B10" location="EN_08002!A1" display="Radiator lateral upper tab" xr:uid="{BD7AA3AF-2A8B-4705-B57B-37345D82C2A6}"/>
    <hyperlink ref="B11" location="EN_08003!A1" display="Radiator lateral lower tab" xr:uid="{6E3A6C8B-5390-42B6-976F-3A668F575C91}"/>
    <hyperlink ref="B12" location="EN_08004!A1" display="Radiator back tab" xr:uid="{98A7204D-B443-4907-94B4-3D23E8F7FC3D}"/>
    <hyperlink ref="B13" location="EN_08005!A1" display="Main Coolant Line " xr:uid="{9119711B-7E42-4BC9-A39B-38C9116762B4}"/>
    <hyperlink ref="B14" location="EN_08006!A1" display="Fan" xr:uid="{4A585966-60B6-4943-BEBA-09CB5977C51D}"/>
    <hyperlink ref="B15" location="EN_08007!A1" display="Expansion Tank" xr:uid="{16EBB87F-4067-446F-B107-90B6BE8CCCBA}"/>
    <hyperlink ref="B16" location="EN_08008!A1" display="Expansion Tank tabs" xr:uid="{A232BEB3-1AD1-486E-8B5C-E354C044E96C}"/>
    <hyperlink ref="B17" location="'EN 08009'!A1" display="Lateral Tube" xr:uid="{D6581DDD-3C26-40C0-8D19-A49BF9893294}"/>
    <hyperlink ref="B18" location="'EN 08011'!A1" display="Secondary Coolant Line" xr:uid="{0A463A7C-3847-4AFF-B2FD-139ADC175E21}"/>
  </hyperlinks>
  <printOptions horizontalCentered="1"/>
  <pageMargins left="0.3" right="0.3" top="0.3" bottom="0.4" header="0.2" footer="0.2"/>
  <pageSetup paperSize="9" scale="65" fitToHeight="2" orientation="landscape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6BFF-3F03-4C27-8657-2CF4D83CF196}">
  <sheetPr>
    <tabColor rgb="FFD8E4BC"/>
    <pageSetUpPr fitToPage="1"/>
  </sheetPr>
  <dimension ref="A1:O17"/>
  <sheetViews>
    <sheetView workbookViewId="0">
      <selection activeCell="A7" activeCellId="5" sqref="M4:N4 M1:N2 J3:J5 J1:K1 D2:D4 A1:A7"/>
    </sheetView>
  </sheetViews>
  <sheetFormatPr baseColWidth="10" defaultColWidth="7.6328125" defaultRowHeight="14.5" x14ac:dyDescent="0.35"/>
  <cols>
    <col min="1" max="1" width="10.453125" style="43" bestFit="1" customWidth="1"/>
    <col min="2" max="2" width="34.1796875" style="43" bestFit="1" customWidth="1"/>
    <col min="3" max="3" width="27.453125" style="43" bestFit="1" customWidth="1"/>
    <col min="4" max="4" width="11.81640625" style="43" customWidth="1"/>
    <col min="5" max="5" width="5.6328125" style="43" bestFit="1" customWidth="1"/>
    <col min="6" max="6" width="12.36328125" style="43" bestFit="1" customWidth="1"/>
    <col min="7" max="7" width="20.1796875" style="43" bestFit="1" customWidth="1"/>
    <col min="8" max="8" width="9.6328125" style="43" bestFit="1" customWidth="1"/>
    <col min="9" max="9" width="18.1796875" style="43" bestFit="1" customWidth="1"/>
    <col min="10" max="10" width="8.81640625" style="43" bestFit="1" customWidth="1"/>
    <col min="11" max="11" width="7.1796875" style="43" bestFit="1" customWidth="1"/>
    <col min="12" max="12" width="7.6328125" style="43" bestFit="1" customWidth="1"/>
    <col min="13" max="13" width="13.81640625" style="43" bestFit="1" customWidth="1"/>
    <col min="14" max="14" width="9.1796875" style="43" bestFit="1" customWidth="1"/>
    <col min="15" max="15" width="7.6328125" style="43"/>
    <col min="16" max="16" width="7.81640625" style="43" bestFit="1" customWidth="1"/>
    <col min="17" max="18" width="7.6328125" style="43"/>
    <col min="19" max="19" width="8.6328125" style="43" bestFit="1" customWidth="1"/>
    <col min="20" max="20" width="7.81640625" style="43" bestFit="1" customWidth="1"/>
    <col min="21" max="21" width="7.6328125" style="43"/>
    <col min="22" max="22" width="7.81640625" style="43" bestFit="1" customWidth="1"/>
    <col min="23" max="23" width="7.6328125" style="43"/>
    <col min="24" max="25" width="8.453125" style="43" bestFit="1" customWidth="1"/>
    <col min="26" max="28" width="7.81640625" style="43" bestFit="1" customWidth="1"/>
    <col min="29" max="16384" width="7.6328125" style="43"/>
  </cols>
  <sheetData>
    <row r="1" spans="1:15" x14ac:dyDescent="0.35">
      <c r="A1" s="174" t="s">
        <v>0</v>
      </c>
      <c r="B1" s="43" t="s">
        <v>1</v>
      </c>
      <c r="F1" s="44" t="s">
        <v>25</v>
      </c>
      <c r="J1" s="195" t="s">
        <v>6</v>
      </c>
      <c r="K1" s="196">
        <v>81</v>
      </c>
      <c r="M1" s="174" t="s">
        <v>42</v>
      </c>
      <c r="N1" s="193">
        <f>N12+I17</f>
        <v>189.3719449297335</v>
      </c>
    </row>
    <row r="2" spans="1:15" x14ac:dyDescent="0.35">
      <c r="A2" s="174" t="s">
        <v>27</v>
      </c>
      <c r="B2" s="43" t="s">
        <v>84</v>
      </c>
      <c r="C2" s="84" t="s">
        <v>211</v>
      </c>
      <c r="D2" s="192" t="s">
        <v>31</v>
      </c>
      <c r="M2" s="174" t="s">
        <v>28</v>
      </c>
      <c r="N2" s="194">
        <v>1</v>
      </c>
    </row>
    <row r="3" spans="1:15" x14ac:dyDescent="0.35">
      <c r="A3" s="174" t="s">
        <v>29</v>
      </c>
      <c r="B3" s="44" t="s">
        <v>30</v>
      </c>
      <c r="D3" s="174" t="s">
        <v>34</v>
      </c>
      <c r="J3" s="174" t="s">
        <v>31</v>
      </c>
    </row>
    <row r="4" spans="1:15" x14ac:dyDescent="0.35">
      <c r="A4" s="174" t="s">
        <v>41</v>
      </c>
      <c r="B4" s="48" t="s">
        <v>44</v>
      </c>
      <c r="D4" s="174" t="s">
        <v>37</v>
      </c>
      <c r="J4" s="174" t="s">
        <v>34</v>
      </c>
      <c r="M4" s="174" t="s">
        <v>35</v>
      </c>
      <c r="N4" s="193">
        <f>N1*N2</f>
        <v>189.3719449297335</v>
      </c>
    </row>
    <row r="5" spans="1:15" x14ac:dyDescent="0.35">
      <c r="A5" s="174" t="s">
        <v>32</v>
      </c>
      <c r="B5" s="48" t="s">
        <v>212</v>
      </c>
      <c r="J5" s="174" t="s">
        <v>37</v>
      </c>
    </row>
    <row r="6" spans="1:15" x14ac:dyDescent="0.35">
      <c r="A6" s="174" t="s">
        <v>36</v>
      </c>
      <c r="B6" s="43" t="s">
        <v>23</v>
      </c>
    </row>
    <row r="7" spans="1:15" x14ac:dyDescent="0.35">
      <c r="A7" s="174" t="s">
        <v>38</v>
      </c>
      <c r="B7" s="43" t="s">
        <v>122</v>
      </c>
    </row>
    <row r="9" spans="1:15" s="66" customFormat="1" x14ac:dyDescent="0.35">
      <c r="A9" s="177" t="s">
        <v>40</v>
      </c>
      <c r="B9" s="177" t="s">
        <v>52</v>
      </c>
      <c r="C9" s="177" t="s">
        <v>53</v>
      </c>
      <c r="D9" s="177" t="s">
        <v>54</v>
      </c>
      <c r="E9" s="177" t="s">
        <v>55</v>
      </c>
      <c r="F9" s="177" t="s">
        <v>56</v>
      </c>
      <c r="G9" s="177" t="s">
        <v>57</v>
      </c>
      <c r="H9" s="177" t="s">
        <v>58</v>
      </c>
      <c r="I9" s="177" t="s">
        <v>59</v>
      </c>
      <c r="J9" s="177" t="s">
        <v>60</v>
      </c>
      <c r="K9" s="177" t="s">
        <v>61</v>
      </c>
      <c r="L9" s="177" t="s">
        <v>62</v>
      </c>
      <c r="M9" s="177" t="s">
        <v>16</v>
      </c>
      <c r="N9" s="177" t="s">
        <v>43</v>
      </c>
    </row>
    <row r="10" spans="1:15" x14ac:dyDescent="0.35">
      <c r="A10" s="49">
        <v>10</v>
      </c>
      <c r="B10" s="49" t="s">
        <v>127</v>
      </c>
      <c r="C10" s="49" t="s">
        <v>44</v>
      </c>
      <c r="D10" s="144">
        <v>3.5000000000000001E-3</v>
      </c>
      <c r="E10" s="49">
        <v>4890</v>
      </c>
      <c r="F10" s="49" t="s">
        <v>123</v>
      </c>
      <c r="G10" s="49"/>
      <c r="H10" s="57"/>
      <c r="I10" s="87" t="s">
        <v>128</v>
      </c>
      <c r="J10" s="52"/>
      <c r="K10" s="57"/>
      <c r="L10" s="57"/>
      <c r="M10" s="88">
        <v>1</v>
      </c>
      <c r="N10" s="89">
        <f>D10*E10</f>
        <v>17.115000000000002</v>
      </c>
    </row>
    <row r="11" spans="1:15" s="66" customFormat="1" x14ac:dyDescent="0.35">
      <c r="A11" s="49">
        <v>20</v>
      </c>
      <c r="B11" s="49" t="s">
        <v>129</v>
      </c>
      <c r="C11" s="49" t="s">
        <v>130</v>
      </c>
      <c r="D11" s="69">
        <v>4.2</v>
      </c>
      <c r="E11" s="61">
        <f>J11*K11*L11</f>
        <v>9.851249163494194E-2</v>
      </c>
      <c r="F11" s="49" t="s">
        <v>131</v>
      </c>
      <c r="G11" s="49"/>
      <c r="H11" s="57"/>
      <c r="I11" s="87" t="s">
        <v>132</v>
      </c>
      <c r="J11" s="65">
        <f>PI()*12.5*12.5/1000000</f>
        <v>4.9087385212340522E-4</v>
      </c>
      <c r="K11" s="57">
        <f>74/1000</f>
        <v>7.3999999999999996E-2</v>
      </c>
      <c r="L11" s="88">
        <v>2712</v>
      </c>
      <c r="M11" s="88">
        <v>2</v>
      </c>
      <c r="N11" s="89">
        <f>D11*E11*M11</f>
        <v>0.82750492973351231</v>
      </c>
      <c r="O11" s="43"/>
    </row>
    <row r="12" spans="1:15" x14ac:dyDescent="0.3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181" t="s">
        <v>43</v>
      </c>
      <c r="N12" s="182">
        <f>SUM(N10:N11)</f>
        <v>17.942504929733513</v>
      </c>
      <c r="O12" s="66"/>
    </row>
    <row r="13" spans="1:15" x14ac:dyDescent="0.35">
      <c r="A13" s="177" t="s">
        <v>40</v>
      </c>
      <c r="B13" s="177" t="s">
        <v>67</v>
      </c>
      <c r="C13" s="177" t="s">
        <v>53</v>
      </c>
      <c r="D13" s="177" t="s">
        <v>54</v>
      </c>
      <c r="E13" s="177" t="s">
        <v>68</v>
      </c>
      <c r="F13" s="177" t="s">
        <v>16</v>
      </c>
      <c r="G13" s="177" t="s">
        <v>69</v>
      </c>
      <c r="H13" s="177" t="s">
        <v>70</v>
      </c>
      <c r="I13" s="177" t="s">
        <v>43</v>
      </c>
      <c r="J13" s="66"/>
      <c r="K13" s="66"/>
      <c r="L13" s="66"/>
      <c r="M13" s="66"/>
      <c r="N13" s="66"/>
      <c r="O13" s="66"/>
    </row>
    <row r="14" spans="1:15" x14ac:dyDescent="0.35">
      <c r="A14" s="49">
        <v>10</v>
      </c>
      <c r="B14" s="90" t="s">
        <v>133</v>
      </c>
      <c r="C14" s="90" t="s">
        <v>134</v>
      </c>
      <c r="D14" s="69">
        <v>1.3</v>
      </c>
      <c r="E14" s="49" t="s">
        <v>68</v>
      </c>
      <c r="F14" s="49">
        <v>2</v>
      </c>
      <c r="G14" s="49"/>
      <c r="H14" s="49"/>
      <c r="I14" s="69">
        <f>F14*D14</f>
        <v>2.6</v>
      </c>
    </row>
    <row r="15" spans="1:15" x14ac:dyDescent="0.35">
      <c r="A15" s="49">
        <v>20</v>
      </c>
      <c r="B15" s="67" t="s">
        <v>135</v>
      </c>
      <c r="C15" s="67" t="s">
        <v>136</v>
      </c>
      <c r="D15" s="69">
        <v>0.04</v>
      </c>
      <c r="E15" s="49" t="s">
        <v>123</v>
      </c>
      <c r="F15" s="145">
        <f>25.2*35.4*4.2</f>
        <v>3746.7359999999999</v>
      </c>
      <c r="G15" s="49" t="s">
        <v>137</v>
      </c>
      <c r="H15" s="49">
        <v>1</v>
      </c>
      <c r="I15" s="69">
        <f>F15*D15*H15</f>
        <v>149.86944</v>
      </c>
    </row>
    <row r="16" spans="1:15" x14ac:dyDescent="0.35">
      <c r="A16" s="49">
        <v>30</v>
      </c>
      <c r="B16" s="67" t="s">
        <v>71</v>
      </c>
      <c r="C16" s="67"/>
      <c r="D16" s="69">
        <v>0.15</v>
      </c>
      <c r="E16" s="49" t="s">
        <v>90</v>
      </c>
      <c r="F16" s="49">
        <f>27.4*4+4.2*4</f>
        <v>126.39999999999999</v>
      </c>
      <c r="G16" s="49"/>
      <c r="H16" s="49"/>
      <c r="I16" s="69">
        <f>D16*F16</f>
        <v>18.959999999999997</v>
      </c>
    </row>
    <row r="17" spans="1:15" x14ac:dyDescent="0.35">
      <c r="A17" s="66"/>
      <c r="B17" s="66"/>
      <c r="C17" s="66"/>
      <c r="D17" s="66"/>
      <c r="E17" s="66"/>
      <c r="F17" s="66"/>
      <c r="G17" s="66"/>
      <c r="H17" s="181" t="s">
        <v>43</v>
      </c>
      <c r="I17" s="183">
        <f>SUM(I14:I16)</f>
        <v>171.42944</v>
      </c>
      <c r="J17" s="66"/>
      <c r="K17" s="66"/>
      <c r="L17" s="66"/>
      <c r="M17" s="66"/>
      <c r="N17" s="66"/>
      <c r="O17" s="66"/>
    </row>
  </sheetData>
  <hyperlinks>
    <hyperlink ref="F1" location="BOM!A1" display="Back to BOM" xr:uid="{0D1B7550-A5EA-4FA9-96D8-40A97561F695}"/>
    <hyperlink ref="B3" location="'EN A0008'!A1" display="Cooling System" xr:uid="{EE973080-151F-4D06-9058-1D32CAF08864}"/>
    <hyperlink ref="D2" location="dEN_08001!A1" display="FileLink1" xr:uid="{0212945D-79AB-4636-9552-F183995D03F2}"/>
  </hyperlinks>
  <printOptions horizontalCentered="1"/>
  <pageMargins left="0.3" right="0.3" top="0.3" bottom="0.4" header="0.2" footer="0.2"/>
  <pageSetup paperSize="9" scale="68" orientation="landscape" r:id="rId1"/>
  <headerFoot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7DEA-A0CB-43C0-ABBD-EE2F11CF2514}">
  <sheetPr>
    <tabColor rgb="FFD8E4BC"/>
  </sheetPr>
  <dimension ref="A1"/>
  <sheetViews>
    <sheetView workbookViewId="0">
      <selection activeCell="C35" sqref="C35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0B4D-9554-4713-9700-8B860A45E140}">
  <sheetPr>
    <tabColor rgb="FFD8E4BC"/>
    <pageSetUpPr fitToPage="1"/>
  </sheetPr>
  <dimension ref="A1:N23"/>
  <sheetViews>
    <sheetView zoomScaleNormal="100" zoomScalePageLayoutView="49" workbookViewId="0">
      <selection activeCell="M4" sqref="M4"/>
    </sheetView>
  </sheetViews>
  <sheetFormatPr baseColWidth="10" defaultColWidth="7.6328125" defaultRowHeight="14.5" x14ac:dyDescent="0.35"/>
  <cols>
    <col min="1" max="1" width="10.453125" style="43" bestFit="1" customWidth="1"/>
    <col min="2" max="2" width="34.1796875" style="43" bestFit="1" customWidth="1"/>
    <col min="3" max="3" width="25.1796875" style="43" bestFit="1" customWidth="1"/>
    <col min="4" max="4" width="9" style="43" bestFit="1" customWidth="1"/>
    <col min="5" max="5" width="6.453125" style="43" bestFit="1" customWidth="1"/>
    <col min="6" max="6" width="12.36328125" style="43" bestFit="1" customWidth="1"/>
    <col min="7" max="7" width="14.453125" style="43" bestFit="1" customWidth="1"/>
    <col min="8" max="8" width="9.6328125" style="43" bestFit="1" customWidth="1"/>
    <col min="9" max="9" width="16.1796875" style="43" bestFit="1" customWidth="1"/>
    <col min="10" max="10" width="8.81640625" style="43" bestFit="1" customWidth="1"/>
    <col min="11" max="11" width="7.1796875" style="43" bestFit="1" customWidth="1"/>
    <col min="12" max="12" width="7.6328125" style="43" bestFit="1" customWidth="1"/>
    <col min="13" max="13" width="13.81640625" style="43" bestFit="1" customWidth="1"/>
    <col min="14" max="14" width="9.1796875" style="43" bestFit="1" customWidth="1"/>
    <col min="15" max="15" width="7.6328125" style="43"/>
    <col min="16" max="16" width="7.81640625" style="43" bestFit="1" customWidth="1"/>
    <col min="17" max="18" width="7.6328125" style="43"/>
    <col min="19" max="19" width="8.6328125" style="43" bestFit="1" customWidth="1"/>
    <col min="20" max="20" width="7.81640625" style="43" bestFit="1" customWidth="1"/>
    <col min="21" max="21" width="7.6328125" style="43"/>
    <col min="22" max="22" width="7.81640625" style="43" bestFit="1" customWidth="1"/>
    <col min="23" max="23" width="7.6328125" style="43"/>
    <col min="24" max="25" width="8.453125" style="43" bestFit="1" customWidth="1"/>
    <col min="26" max="28" width="7.81640625" style="43" bestFit="1" customWidth="1"/>
    <col min="29" max="16384" width="7.6328125" style="43"/>
  </cols>
  <sheetData>
    <row r="1" spans="1:14" x14ac:dyDescent="0.35">
      <c r="A1" s="174" t="s">
        <v>0</v>
      </c>
      <c r="B1" s="43" t="s">
        <v>1</v>
      </c>
      <c r="F1" s="44" t="s">
        <v>25</v>
      </c>
      <c r="J1" s="175" t="s">
        <v>6</v>
      </c>
      <c r="K1" s="45">
        <v>81</v>
      </c>
      <c r="M1" s="172" t="s">
        <v>42</v>
      </c>
      <c r="N1" s="86">
        <f>N11+I16</f>
        <v>1.7906290000000002</v>
      </c>
    </row>
    <row r="2" spans="1:14" x14ac:dyDescent="0.35">
      <c r="A2" s="174" t="s">
        <v>27</v>
      </c>
      <c r="B2" s="43" t="s">
        <v>84</v>
      </c>
      <c r="C2" s="91" t="s">
        <v>138</v>
      </c>
      <c r="D2" s="176" t="s">
        <v>31</v>
      </c>
      <c r="M2" s="172" t="s">
        <v>28</v>
      </c>
      <c r="N2" s="47">
        <v>1</v>
      </c>
    </row>
    <row r="3" spans="1:14" x14ac:dyDescent="0.35">
      <c r="A3" s="174" t="s">
        <v>29</v>
      </c>
      <c r="B3" s="44" t="s">
        <v>30</v>
      </c>
      <c r="D3" s="172" t="s">
        <v>34</v>
      </c>
      <c r="J3" s="172" t="s">
        <v>31</v>
      </c>
    </row>
    <row r="4" spans="1:14" x14ac:dyDescent="0.35">
      <c r="A4" s="174" t="s">
        <v>41</v>
      </c>
      <c r="B4" s="43" t="s">
        <v>45</v>
      </c>
      <c r="D4" s="172" t="s">
        <v>37</v>
      </c>
      <c r="J4" s="172" t="s">
        <v>34</v>
      </c>
      <c r="M4" s="172" t="s">
        <v>35</v>
      </c>
      <c r="N4" s="86">
        <f>N1*N2</f>
        <v>1.7906290000000002</v>
      </c>
    </row>
    <row r="5" spans="1:14" x14ac:dyDescent="0.35">
      <c r="A5" s="174" t="s">
        <v>32</v>
      </c>
      <c r="B5" s="48" t="s">
        <v>139</v>
      </c>
      <c r="J5" s="172" t="s">
        <v>37</v>
      </c>
    </row>
    <row r="6" spans="1:14" x14ac:dyDescent="0.35">
      <c r="A6" s="174" t="s">
        <v>36</v>
      </c>
      <c r="B6" s="43" t="s">
        <v>23</v>
      </c>
    </row>
    <row r="7" spans="1:14" x14ac:dyDescent="0.35">
      <c r="A7" s="174" t="s">
        <v>38</v>
      </c>
    </row>
    <row r="8" spans="1:14" x14ac:dyDescent="0.35">
      <c r="A8" s="173"/>
    </row>
    <row r="9" spans="1:14" s="66" customFormat="1" x14ac:dyDescent="0.35">
      <c r="A9" s="177" t="s">
        <v>40</v>
      </c>
      <c r="B9" s="177" t="s">
        <v>52</v>
      </c>
      <c r="C9" s="177" t="s">
        <v>53</v>
      </c>
      <c r="D9" s="177" t="s">
        <v>54</v>
      </c>
      <c r="E9" s="177" t="s">
        <v>55</v>
      </c>
      <c r="F9" s="177" t="s">
        <v>56</v>
      </c>
      <c r="G9" s="177" t="s">
        <v>57</v>
      </c>
      <c r="H9" s="177" t="s">
        <v>58</v>
      </c>
      <c r="I9" s="177" t="s">
        <v>59</v>
      </c>
      <c r="J9" s="177" t="s">
        <v>60</v>
      </c>
      <c r="K9" s="177" t="s">
        <v>61</v>
      </c>
      <c r="L9" s="177" t="s">
        <v>62</v>
      </c>
      <c r="M9" s="177" t="s">
        <v>16</v>
      </c>
      <c r="N9" s="177" t="s">
        <v>43</v>
      </c>
    </row>
    <row r="10" spans="1:14" x14ac:dyDescent="0.35">
      <c r="A10" s="49">
        <v>10</v>
      </c>
      <c r="B10" s="49" t="s">
        <v>140</v>
      </c>
      <c r="C10" s="49" t="s">
        <v>141</v>
      </c>
      <c r="D10" s="69">
        <v>2.25</v>
      </c>
      <c r="E10" s="92">
        <v>8.9999999999999993E-3</v>
      </c>
      <c r="F10" s="49" t="s">
        <v>131</v>
      </c>
      <c r="G10" s="49"/>
      <c r="H10" s="57"/>
      <c r="I10" s="87" t="s">
        <v>128</v>
      </c>
      <c r="J10" s="65">
        <v>8.8000000000000003E-4</v>
      </c>
      <c r="K10" s="93">
        <v>3.0000000000000001E-3</v>
      </c>
      <c r="L10" s="88">
        <v>7850</v>
      </c>
      <c r="M10" s="88">
        <v>1</v>
      </c>
      <c r="N10" s="89">
        <f>IF(J10="",D10*M10,D10*J10*K10*L10*M10)</f>
        <v>4.6628999999999997E-2</v>
      </c>
    </row>
    <row r="11" spans="1:14" s="66" customFormat="1" x14ac:dyDescent="0.35">
      <c r="M11" s="178" t="s">
        <v>43</v>
      </c>
      <c r="N11" s="179">
        <f>SUM(N10:N10)</f>
        <v>4.6628999999999997E-2</v>
      </c>
    </row>
    <row r="13" spans="1:14" s="66" customFormat="1" x14ac:dyDescent="0.35">
      <c r="A13" s="177" t="s">
        <v>40</v>
      </c>
      <c r="B13" s="177" t="s">
        <v>67</v>
      </c>
      <c r="C13" s="177" t="s">
        <v>53</v>
      </c>
      <c r="D13" s="177" t="s">
        <v>54</v>
      </c>
      <c r="E13" s="177" t="s">
        <v>68</v>
      </c>
      <c r="F13" s="177" t="s">
        <v>16</v>
      </c>
      <c r="G13" s="177" t="s">
        <v>69</v>
      </c>
      <c r="H13" s="177" t="s">
        <v>70</v>
      </c>
      <c r="I13" s="177" t="s">
        <v>43</v>
      </c>
    </row>
    <row r="14" spans="1:14" x14ac:dyDescent="0.35">
      <c r="A14" s="49">
        <v>10</v>
      </c>
      <c r="B14" s="90" t="s">
        <v>133</v>
      </c>
      <c r="C14" s="90" t="s">
        <v>142</v>
      </c>
      <c r="D14" s="69">
        <v>1.3</v>
      </c>
      <c r="E14" s="49" t="s">
        <v>68</v>
      </c>
      <c r="F14" s="49">
        <v>1</v>
      </c>
      <c r="G14" s="49"/>
      <c r="H14" s="49"/>
      <c r="I14" s="69">
        <f>F14*D14</f>
        <v>1.3</v>
      </c>
    </row>
    <row r="15" spans="1:14" x14ac:dyDescent="0.35">
      <c r="A15" s="49">
        <v>20</v>
      </c>
      <c r="B15" s="67" t="s">
        <v>125</v>
      </c>
      <c r="C15" s="67" t="s">
        <v>143</v>
      </c>
      <c r="D15" s="69">
        <v>0.01</v>
      </c>
      <c r="E15" s="49" t="s">
        <v>90</v>
      </c>
      <c r="F15" s="49">
        <v>14.8</v>
      </c>
      <c r="G15" s="49" t="s">
        <v>144</v>
      </c>
      <c r="H15" s="49">
        <v>3</v>
      </c>
      <c r="I15" s="69">
        <f>F15*D15*H15</f>
        <v>0.44400000000000006</v>
      </c>
    </row>
    <row r="16" spans="1:14" s="66" customFormat="1" x14ac:dyDescent="0.35">
      <c r="H16" s="178" t="s">
        <v>43</v>
      </c>
      <c r="I16" s="180">
        <f>SUM(I14:I15)</f>
        <v>1.7440000000000002</v>
      </c>
    </row>
    <row r="17" spans="5:9" x14ac:dyDescent="0.35">
      <c r="H17" s="84"/>
      <c r="I17" s="85"/>
    </row>
    <row r="23" spans="5:9" x14ac:dyDescent="0.35">
      <c r="E23" s="94"/>
    </row>
  </sheetData>
  <hyperlinks>
    <hyperlink ref="F1" location="BOM!A1" display="Back to BOM" xr:uid="{6361716B-7232-4FED-B67E-F908B0A8BD3C}"/>
    <hyperlink ref="B3" location="'EN A0008'!A1" display="Cooling System" xr:uid="{1313D7F1-77D0-48EC-8500-FCE50A3288A3}"/>
    <hyperlink ref="D2" location="dEN_08002!A1" display="FileLink1" xr:uid="{34CD335A-8B3E-4CEC-B247-B89CDA46D685}"/>
  </hyperlinks>
  <printOptions horizontalCentered="1"/>
  <pageMargins left="0.3" right="0.3" top="0.3" bottom="0.4" header="0.2" footer="0.2"/>
  <pageSetup paperSize="9" scale="72" orientation="landscape" r:id="rId1"/>
  <headerFoot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9C55-19FF-41E0-B171-96537141FF4E}">
  <sheetPr>
    <tabColor rgb="FFD8E4BC"/>
    <pageSetUpPr fitToPage="1"/>
  </sheetPr>
  <dimension ref="A1"/>
  <sheetViews>
    <sheetView zoomScale="49" zoomScaleNormal="49" zoomScalePageLayoutView="49" workbookViewId="0">
      <selection activeCell="C35" sqref="C35"/>
    </sheetView>
  </sheetViews>
  <sheetFormatPr baseColWidth="10" defaultRowHeight="14.5" x14ac:dyDescent="0.35"/>
  <cols>
    <col min="1" max="16384" width="10.90625" style="96"/>
  </cols>
  <sheetData>
    <row r="1" spans="1:1" x14ac:dyDescent="0.35">
      <c r="A1" s="95" t="s">
        <v>139</v>
      </c>
    </row>
  </sheetData>
  <hyperlinks>
    <hyperlink ref="A1" location="'EN 08002'!A1" display="Back to part" xr:uid="{3BFC61DE-BDB1-4F77-B307-16529F0C01DA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121A-E5ED-416B-844A-DA40D6B5081E}">
  <sheetPr>
    <tabColor rgb="FFD8E4BC"/>
    <pageSetUpPr fitToPage="1"/>
  </sheetPr>
  <dimension ref="A1:N18"/>
  <sheetViews>
    <sheetView zoomScale="90" zoomScaleNormal="90" zoomScalePageLayoutView="90" workbookViewId="0">
      <selection activeCell="I17" activeCellId="9" sqref="A1:A7 D2:D4 J1 J3:J5 M1:M2 M4 A9:N9 M11:N11 A13:I13 H17:I17"/>
    </sheetView>
  </sheetViews>
  <sheetFormatPr baseColWidth="10" defaultColWidth="7.6328125" defaultRowHeight="14.5" x14ac:dyDescent="0.35"/>
  <cols>
    <col min="1" max="1" width="10.453125" style="43" bestFit="1" customWidth="1"/>
    <col min="2" max="2" width="34.1796875" style="43" bestFit="1" customWidth="1"/>
    <col min="3" max="3" width="25" style="43" bestFit="1" customWidth="1"/>
    <col min="4" max="4" width="9" style="43" bestFit="1" customWidth="1"/>
    <col min="5" max="5" width="6.453125" style="43" bestFit="1" customWidth="1"/>
    <col min="6" max="6" width="12.36328125" style="43" bestFit="1" customWidth="1"/>
    <col min="7" max="7" width="14.453125" style="43" bestFit="1" customWidth="1"/>
    <col min="8" max="8" width="9.6328125" style="43" bestFit="1" customWidth="1"/>
    <col min="9" max="9" width="16" style="43" bestFit="1" customWidth="1"/>
    <col min="10" max="11" width="8.81640625" style="43" bestFit="1" customWidth="1"/>
    <col min="12" max="12" width="7.6328125" style="43" bestFit="1" customWidth="1"/>
    <col min="13" max="13" width="13.81640625" style="43" bestFit="1" customWidth="1"/>
    <col min="14" max="14" width="9.1796875" style="43" bestFit="1" customWidth="1"/>
    <col min="15" max="15" width="7.6328125" style="43"/>
    <col min="16" max="16" width="7.81640625" style="43" bestFit="1" customWidth="1"/>
    <col min="17" max="18" width="7.6328125" style="43"/>
    <col min="19" max="19" width="8.6328125" style="43" bestFit="1" customWidth="1"/>
    <col min="20" max="20" width="7.81640625" style="43" bestFit="1" customWidth="1"/>
    <col min="21" max="21" width="7.6328125" style="43"/>
    <col min="22" max="22" width="7.81640625" style="43" bestFit="1" customWidth="1"/>
    <col min="23" max="23" width="7.6328125" style="43"/>
    <col min="24" max="25" width="8.453125" style="43" bestFit="1" customWidth="1"/>
    <col min="26" max="28" width="7.81640625" style="43" bestFit="1" customWidth="1"/>
    <col min="29" max="16384" width="7.6328125" style="43"/>
  </cols>
  <sheetData>
    <row r="1" spans="1:14" x14ac:dyDescent="0.35">
      <c r="A1" s="174" t="s">
        <v>0</v>
      </c>
      <c r="B1" s="43" t="s">
        <v>1</v>
      </c>
      <c r="F1" s="44" t="s">
        <v>25</v>
      </c>
      <c r="J1" s="195" t="s">
        <v>6</v>
      </c>
      <c r="K1" s="45">
        <v>81</v>
      </c>
      <c r="M1" s="174" t="s">
        <v>42</v>
      </c>
      <c r="N1" s="86">
        <f>N11+I17</f>
        <v>2.5271720024703863</v>
      </c>
    </row>
    <row r="2" spans="1:14" x14ac:dyDescent="0.35">
      <c r="A2" s="174" t="s">
        <v>27</v>
      </c>
      <c r="B2" s="43" t="s">
        <v>84</v>
      </c>
      <c r="C2" s="91" t="s">
        <v>138</v>
      </c>
      <c r="D2" s="192" t="s">
        <v>31</v>
      </c>
      <c r="M2" s="174" t="s">
        <v>28</v>
      </c>
      <c r="N2" s="47">
        <v>1</v>
      </c>
    </row>
    <row r="3" spans="1:14" x14ac:dyDescent="0.35">
      <c r="A3" s="174" t="s">
        <v>29</v>
      </c>
      <c r="B3" s="44" t="s">
        <v>30</v>
      </c>
      <c r="D3" s="174" t="s">
        <v>34</v>
      </c>
      <c r="J3" s="174" t="s">
        <v>31</v>
      </c>
    </row>
    <row r="4" spans="1:14" x14ac:dyDescent="0.35">
      <c r="A4" s="174" t="s">
        <v>41</v>
      </c>
      <c r="B4" s="43" t="s">
        <v>46</v>
      </c>
      <c r="D4" s="174" t="s">
        <v>37</v>
      </c>
      <c r="J4" s="174" t="s">
        <v>34</v>
      </c>
      <c r="M4" s="174" t="s">
        <v>35</v>
      </c>
      <c r="N4" s="86">
        <f>N1*N2</f>
        <v>2.5271720024703863</v>
      </c>
    </row>
    <row r="5" spans="1:14" x14ac:dyDescent="0.35">
      <c r="A5" s="174" t="s">
        <v>32</v>
      </c>
      <c r="B5" s="48" t="s">
        <v>145</v>
      </c>
      <c r="J5" s="174" t="s">
        <v>37</v>
      </c>
    </row>
    <row r="6" spans="1:14" x14ac:dyDescent="0.35">
      <c r="A6" s="174" t="s">
        <v>36</v>
      </c>
      <c r="B6" s="43" t="s">
        <v>23</v>
      </c>
    </row>
    <row r="7" spans="1:14" x14ac:dyDescent="0.35">
      <c r="A7" s="174" t="s">
        <v>38</v>
      </c>
    </row>
    <row r="9" spans="1:14" s="66" customFormat="1" x14ac:dyDescent="0.35">
      <c r="A9" s="174" t="s">
        <v>40</v>
      </c>
      <c r="B9" s="174" t="s">
        <v>52</v>
      </c>
      <c r="C9" s="174" t="s">
        <v>53</v>
      </c>
      <c r="D9" s="174" t="s">
        <v>54</v>
      </c>
      <c r="E9" s="174" t="s">
        <v>55</v>
      </c>
      <c r="F9" s="174" t="s">
        <v>56</v>
      </c>
      <c r="G9" s="174" t="s">
        <v>57</v>
      </c>
      <c r="H9" s="174" t="s">
        <v>58</v>
      </c>
      <c r="I9" s="174" t="s">
        <v>59</v>
      </c>
      <c r="J9" s="174" t="s">
        <v>60</v>
      </c>
      <c r="K9" s="174" t="s">
        <v>61</v>
      </c>
      <c r="L9" s="174" t="s">
        <v>62</v>
      </c>
      <c r="M9" s="174" t="s">
        <v>16</v>
      </c>
      <c r="N9" s="174" t="s">
        <v>43</v>
      </c>
    </row>
    <row r="10" spans="1:14" x14ac:dyDescent="0.35">
      <c r="A10" s="198">
        <v>10</v>
      </c>
      <c r="B10" s="198" t="s">
        <v>140</v>
      </c>
      <c r="C10" s="198" t="s">
        <v>146</v>
      </c>
      <c r="D10" s="199">
        <v>2.25</v>
      </c>
      <c r="E10" s="200">
        <v>4.8000000000000001E-2</v>
      </c>
      <c r="F10" s="198" t="s">
        <v>131</v>
      </c>
      <c r="G10" s="198"/>
      <c r="H10" s="201"/>
      <c r="I10" s="202" t="s">
        <v>128</v>
      </c>
      <c r="J10" s="203">
        <v>5.0000000000000001E-3</v>
      </c>
      <c r="K10" s="203">
        <v>3.0000000000000001E-3</v>
      </c>
      <c r="L10" s="205">
        <v>7850</v>
      </c>
      <c r="M10" s="205">
        <v>1</v>
      </c>
      <c r="N10" s="206">
        <f>IF(J10="",D10*M10,D10*J10*K10*L10*M10)</f>
        <v>0.26493749999999999</v>
      </c>
    </row>
    <row r="11" spans="1:14" s="66" customFormat="1" x14ac:dyDescent="0.35">
      <c r="M11" s="208" t="s">
        <v>43</v>
      </c>
      <c r="N11" s="209">
        <f>SUM(N10:N10)</f>
        <v>0.26493749999999999</v>
      </c>
    </row>
    <row r="13" spans="1:14" s="66" customFormat="1" x14ac:dyDescent="0.35">
      <c r="A13" s="174" t="s">
        <v>40</v>
      </c>
      <c r="B13" s="174" t="s">
        <v>67</v>
      </c>
      <c r="C13" s="174" t="s">
        <v>53</v>
      </c>
      <c r="D13" s="174" t="s">
        <v>54</v>
      </c>
      <c r="E13" s="174" t="s">
        <v>68</v>
      </c>
      <c r="F13" s="174" t="s">
        <v>16</v>
      </c>
      <c r="G13" s="174" t="s">
        <v>69</v>
      </c>
      <c r="H13" s="174" t="s">
        <v>70</v>
      </c>
      <c r="I13" s="174" t="s">
        <v>43</v>
      </c>
    </row>
    <row r="14" spans="1:14" x14ac:dyDescent="0.35">
      <c r="A14" s="198">
        <v>10</v>
      </c>
      <c r="B14" s="207" t="s">
        <v>133</v>
      </c>
      <c r="C14" s="207" t="s">
        <v>142</v>
      </c>
      <c r="D14" s="199">
        <v>1.3</v>
      </c>
      <c r="E14" s="198" t="s">
        <v>68</v>
      </c>
      <c r="F14" s="198">
        <v>1</v>
      </c>
      <c r="G14" s="198"/>
      <c r="H14" s="198"/>
      <c r="I14" s="199">
        <v>1.3</v>
      </c>
    </row>
    <row r="15" spans="1:14" x14ac:dyDescent="0.35">
      <c r="A15" s="49">
        <v>20</v>
      </c>
      <c r="B15" s="67" t="s">
        <v>125</v>
      </c>
      <c r="C15" s="67" t="s">
        <v>143</v>
      </c>
      <c r="D15" s="69">
        <v>0.01</v>
      </c>
      <c r="E15" s="49" t="s">
        <v>90</v>
      </c>
      <c r="F15" s="146">
        <f>5.9+5.6+PI()*0.7/2+3*2+PI()+2</f>
        <v>23.74115008234622</v>
      </c>
      <c r="G15" s="49" t="s">
        <v>144</v>
      </c>
      <c r="H15" s="49">
        <v>3</v>
      </c>
      <c r="I15" s="69">
        <f>F15*D15*H15</f>
        <v>0.71223450247038667</v>
      </c>
    </row>
    <row r="16" spans="1:14" x14ac:dyDescent="0.35">
      <c r="A16" s="49">
        <v>30</v>
      </c>
      <c r="B16" s="67" t="s">
        <v>147</v>
      </c>
      <c r="C16" s="67" t="s">
        <v>148</v>
      </c>
      <c r="D16" s="69">
        <v>0.25</v>
      </c>
      <c r="E16" s="49" t="s">
        <v>68</v>
      </c>
      <c r="F16" s="49">
        <v>1</v>
      </c>
      <c r="G16" s="49"/>
      <c r="H16" s="49"/>
      <c r="I16" s="89">
        <f>D16*F16</f>
        <v>0.25</v>
      </c>
    </row>
    <row r="17" spans="8:9" s="66" customFormat="1" x14ac:dyDescent="0.35">
      <c r="H17" s="208" t="s">
        <v>43</v>
      </c>
      <c r="I17" s="210">
        <f>SUM(I14:I16)</f>
        <v>2.2622345024703865</v>
      </c>
    </row>
    <row r="18" spans="8:9" x14ac:dyDescent="0.35">
      <c r="H18" s="84"/>
      <c r="I18" s="85"/>
    </row>
  </sheetData>
  <hyperlinks>
    <hyperlink ref="F1" location="BOM!A1" display="Back to BOM" xr:uid="{383332F1-10BF-4E85-8505-B6F81723212A}"/>
    <hyperlink ref="B3" location="'EN A0008'!A1" display="Cooling System" xr:uid="{8E97BCB6-B5A2-4B3E-8487-E568E89B4F78}"/>
    <hyperlink ref="D2" location="dEN_08003!A1" display="FileLink1" xr:uid="{DFBEB89C-B285-46CC-A052-5E69DD2DE4D9}"/>
  </hyperlinks>
  <printOptions horizontalCentered="1"/>
  <pageMargins left="0.3" right="0.3" top="0.3" bottom="0.4" header="0.2" footer="0.2"/>
  <pageSetup paperSize="9" scale="73" orientation="landscape" r:id="rId1"/>
  <headerFoot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D9DF-BA32-4CA8-9FB5-B47A4749A765}">
  <sheetPr>
    <tabColor rgb="FFD8E4BC"/>
    <pageSetUpPr fitToPage="1"/>
  </sheetPr>
  <dimension ref="A1"/>
  <sheetViews>
    <sheetView zoomScale="40" zoomScaleNormal="40" zoomScalePageLayoutView="49" workbookViewId="0">
      <selection activeCell="C35" sqref="C35"/>
    </sheetView>
  </sheetViews>
  <sheetFormatPr baseColWidth="10" defaultRowHeight="14.5" x14ac:dyDescent="0.35"/>
  <cols>
    <col min="1" max="16384" width="10.90625" style="96"/>
  </cols>
  <sheetData>
    <row r="1" spans="1:1" x14ac:dyDescent="0.35">
      <c r="A1" s="95" t="s">
        <v>145</v>
      </c>
    </row>
  </sheetData>
  <hyperlinks>
    <hyperlink ref="A1" location="'EN 08003'!A1" display="Back to part" xr:uid="{E5D1FA11-6976-424C-8CA0-4CC366705836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FD37-8E76-4989-9FF2-12D1FF419C2B}">
  <sheetPr>
    <tabColor rgb="FFD8E4BC"/>
    <pageSetUpPr fitToPage="1"/>
  </sheetPr>
  <dimension ref="A1:N17"/>
  <sheetViews>
    <sheetView zoomScale="85" zoomScaleNormal="85" zoomScalePageLayoutView="49" workbookViewId="0">
      <selection activeCell="B23" sqref="B23"/>
    </sheetView>
  </sheetViews>
  <sheetFormatPr baseColWidth="10" defaultColWidth="7.6328125" defaultRowHeight="14.5" x14ac:dyDescent="0.35"/>
  <cols>
    <col min="1" max="1" width="10.453125" style="43" bestFit="1" customWidth="1"/>
    <col min="2" max="2" width="34.1796875" style="43" bestFit="1" customWidth="1"/>
    <col min="3" max="3" width="17.1796875" style="43" bestFit="1" customWidth="1"/>
    <col min="4" max="4" width="9" style="43" bestFit="1" customWidth="1"/>
    <col min="5" max="5" width="6.453125" style="43" bestFit="1" customWidth="1"/>
    <col min="6" max="6" width="12.36328125" style="43" bestFit="1" customWidth="1"/>
    <col min="7" max="7" width="14.453125" style="43" bestFit="1" customWidth="1"/>
    <col min="8" max="8" width="9.6328125" style="43" bestFit="1" customWidth="1"/>
    <col min="9" max="9" width="17.81640625" style="43" bestFit="1" customWidth="1"/>
    <col min="10" max="11" width="8.81640625" style="43" bestFit="1" customWidth="1"/>
    <col min="12" max="12" width="7.6328125" style="43" bestFit="1" customWidth="1"/>
    <col min="13" max="13" width="13.81640625" style="43" bestFit="1" customWidth="1"/>
    <col min="14" max="14" width="9.1796875" style="43" bestFit="1" customWidth="1"/>
    <col min="15" max="15" width="7.6328125" style="43"/>
    <col min="16" max="16" width="7.81640625" style="43" bestFit="1" customWidth="1"/>
    <col min="17" max="18" width="7.6328125" style="43"/>
    <col min="19" max="19" width="8.6328125" style="43" bestFit="1" customWidth="1"/>
    <col min="20" max="20" width="7.81640625" style="43" bestFit="1" customWidth="1"/>
    <col min="21" max="21" width="7.6328125" style="43"/>
    <col min="22" max="22" width="7.81640625" style="43" bestFit="1" customWidth="1"/>
    <col min="23" max="23" width="7.6328125" style="43"/>
    <col min="24" max="25" width="8.453125" style="43" bestFit="1" customWidth="1"/>
    <col min="26" max="28" width="7.81640625" style="43" bestFit="1" customWidth="1"/>
    <col min="29" max="16384" width="7.6328125" style="43"/>
  </cols>
  <sheetData>
    <row r="1" spans="1:14" x14ac:dyDescent="0.35">
      <c r="A1" s="174" t="s">
        <v>0</v>
      </c>
      <c r="B1" s="43" t="s">
        <v>1</v>
      </c>
      <c r="F1" s="44" t="s">
        <v>25</v>
      </c>
      <c r="J1" s="195" t="s">
        <v>6</v>
      </c>
      <c r="K1" s="45">
        <v>81</v>
      </c>
      <c r="M1" s="174" t="s">
        <v>42</v>
      </c>
      <c r="N1" s="86">
        <f>N11+I16</f>
        <v>1.614127375</v>
      </c>
    </row>
    <row r="2" spans="1:14" x14ac:dyDescent="0.35">
      <c r="A2" s="174" t="s">
        <v>27</v>
      </c>
      <c r="B2" s="43" t="s">
        <v>84</v>
      </c>
      <c r="C2" s="91" t="s">
        <v>138</v>
      </c>
      <c r="D2" s="192" t="s">
        <v>31</v>
      </c>
      <c r="M2" s="174" t="s">
        <v>28</v>
      </c>
      <c r="N2" s="47">
        <v>1</v>
      </c>
    </row>
    <row r="3" spans="1:14" x14ac:dyDescent="0.35">
      <c r="A3" s="174" t="s">
        <v>29</v>
      </c>
      <c r="B3" s="44" t="s">
        <v>30</v>
      </c>
      <c r="D3" s="174" t="s">
        <v>34</v>
      </c>
      <c r="J3" s="174" t="s">
        <v>31</v>
      </c>
    </row>
    <row r="4" spans="1:14" x14ac:dyDescent="0.35">
      <c r="A4" s="174" t="s">
        <v>41</v>
      </c>
      <c r="B4" s="43" t="s">
        <v>149</v>
      </c>
      <c r="D4" s="174" t="s">
        <v>37</v>
      </c>
      <c r="J4" s="174" t="s">
        <v>34</v>
      </c>
      <c r="M4" s="174" t="s">
        <v>35</v>
      </c>
      <c r="N4" s="86">
        <f>N1*N2</f>
        <v>1.614127375</v>
      </c>
    </row>
    <row r="5" spans="1:14" x14ac:dyDescent="0.35">
      <c r="A5" s="174" t="s">
        <v>32</v>
      </c>
      <c r="B5" s="48" t="s">
        <v>150</v>
      </c>
      <c r="J5" s="174" t="s">
        <v>37</v>
      </c>
    </row>
    <row r="6" spans="1:14" x14ac:dyDescent="0.35">
      <c r="A6" s="174" t="s">
        <v>36</v>
      </c>
      <c r="B6" s="43" t="s">
        <v>23</v>
      </c>
    </row>
    <row r="7" spans="1:14" x14ac:dyDescent="0.35">
      <c r="A7" s="174" t="s">
        <v>38</v>
      </c>
    </row>
    <row r="9" spans="1:14" s="66" customFormat="1" x14ac:dyDescent="0.35">
      <c r="A9" s="174" t="s">
        <v>40</v>
      </c>
      <c r="B9" s="174" t="s">
        <v>52</v>
      </c>
      <c r="C9" s="174" t="s">
        <v>53</v>
      </c>
      <c r="D9" s="174" t="s">
        <v>54</v>
      </c>
      <c r="E9" s="174" t="s">
        <v>55</v>
      </c>
      <c r="F9" s="174" t="s">
        <v>56</v>
      </c>
      <c r="G9" s="174" t="s">
        <v>57</v>
      </c>
      <c r="H9" s="174" t="s">
        <v>58</v>
      </c>
      <c r="I9" s="174" t="s">
        <v>59</v>
      </c>
      <c r="J9" s="174" t="s">
        <v>60</v>
      </c>
      <c r="K9" s="174" t="s">
        <v>61</v>
      </c>
      <c r="L9" s="174" t="s">
        <v>62</v>
      </c>
      <c r="M9" s="174" t="s">
        <v>16</v>
      </c>
      <c r="N9" s="174" t="s">
        <v>43</v>
      </c>
    </row>
    <row r="10" spans="1:14" x14ac:dyDescent="0.35">
      <c r="A10" s="198">
        <v>10</v>
      </c>
      <c r="B10" s="198" t="s">
        <v>140</v>
      </c>
      <c r="C10" s="198" t="s">
        <v>151</v>
      </c>
      <c r="D10" s="199">
        <v>2.25</v>
      </c>
      <c r="E10" s="200">
        <f>J10*K10*L10</f>
        <v>4.9455000000000002E-3</v>
      </c>
      <c r="F10" s="198" t="s">
        <v>131</v>
      </c>
      <c r="G10" s="198"/>
      <c r="H10" s="201"/>
      <c r="I10" s="202" t="s">
        <v>128</v>
      </c>
      <c r="J10" s="203">
        <v>4.2000000000000002E-4</v>
      </c>
      <c r="K10" s="203">
        <v>1.5E-3</v>
      </c>
      <c r="L10" s="205">
        <v>7850</v>
      </c>
      <c r="M10" s="205">
        <v>1</v>
      </c>
      <c r="N10" s="206">
        <f>IF(J10="",D10*M10,D10*J10*K10*L10*M10)</f>
        <v>1.1127375000000002E-2</v>
      </c>
    </row>
    <row r="11" spans="1:14" s="66" customFormat="1" x14ac:dyDescent="0.35">
      <c r="M11" s="208" t="s">
        <v>43</v>
      </c>
      <c r="N11" s="209">
        <f>SUM(N10:N10)</f>
        <v>1.1127375000000002E-2</v>
      </c>
    </row>
    <row r="13" spans="1:14" s="66" customFormat="1" x14ac:dyDescent="0.35">
      <c r="A13" s="174" t="s">
        <v>40</v>
      </c>
      <c r="B13" s="174" t="s">
        <v>67</v>
      </c>
      <c r="C13" s="174" t="s">
        <v>53</v>
      </c>
      <c r="D13" s="174" t="s">
        <v>54</v>
      </c>
      <c r="E13" s="174" t="s">
        <v>68</v>
      </c>
      <c r="F13" s="174" t="s">
        <v>16</v>
      </c>
      <c r="G13" s="174" t="s">
        <v>69</v>
      </c>
      <c r="H13" s="174" t="s">
        <v>70</v>
      </c>
      <c r="I13" s="174" t="s">
        <v>43</v>
      </c>
    </row>
    <row r="14" spans="1:14" x14ac:dyDescent="0.35">
      <c r="A14" s="198">
        <v>10</v>
      </c>
      <c r="B14" s="207" t="s">
        <v>133</v>
      </c>
      <c r="C14" s="207" t="s">
        <v>142</v>
      </c>
      <c r="D14" s="199">
        <v>1.3</v>
      </c>
      <c r="E14" s="198" t="s">
        <v>68</v>
      </c>
      <c r="F14" s="198">
        <v>1</v>
      </c>
      <c r="G14" s="198"/>
      <c r="H14" s="198"/>
      <c r="I14" s="199">
        <f>F14*D14</f>
        <v>1.3</v>
      </c>
    </row>
    <row r="15" spans="1:14" x14ac:dyDescent="0.35">
      <c r="A15" s="49">
        <v>20</v>
      </c>
      <c r="B15" s="67" t="s">
        <v>125</v>
      </c>
      <c r="C15" s="67" t="s">
        <v>143</v>
      </c>
      <c r="D15" s="69">
        <v>0.01</v>
      </c>
      <c r="E15" s="49" t="s">
        <v>90</v>
      </c>
      <c r="F15" s="49">
        <v>10.1</v>
      </c>
      <c r="G15" s="49" t="s">
        <v>144</v>
      </c>
      <c r="H15" s="49">
        <v>3</v>
      </c>
      <c r="I15" s="69">
        <f>F15*D15*H15</f>
        <v>0.30299999999999999</v>
      </c>
    </row>
    <row r="16" spans="1:14" s="66" customFormat="1" x14ac:dyDescent="0.35">
      <c r="H16" s="208" t="s">
        <v>43</v>
      </c>
      <c r="I16" s="210">
        <f>SUM(I14:I15)</f>
        <v>1.603</v>
      </c>
    </row>
    <row r="17" spans="8:9" x14ac:dyDescent="0.35">
      <c r="H17" s="84"/>
      <c r="I17" s="85"/>
    </row>
  </sheetData>
  <hyperlinks>
    <hyperlink ref="F1" location="BOM!A1" display="Back to BOM" xr:uid="{3286920C-23D3-4372-857E-AE22F6FB6D9D}"/>
    <hyperlink ref="B3" location="'EN A0008'!A1" display="Cooling System" xr:uid="{F55D7E2D-77D7-4F13-9114-523BBC43741C}"/>
    <hyperlink ref="D2" location="dEN_08004!A1" display="FileLink1" xr:uid="{B594A346-1E0B-44D5-A108-37F8EEA9C187}"/>
  </hyperlinks>
  <printOptions horizontalCentered="1"/>
  <pageMargins left="0.3" right="0.3" top="0.3" bottom="0.4" header="0.2" footer="0.2"/>
  <pageSetup paperSize="9" scale="76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7</vt:i4>
      </vt:variant>
    </vt:vector>
  </HeadingPairs>
  <TitlesOfParts>
    <vt:vector size="26" baseType="lpstr">
      <vt:lpstr>BOM</vt:lpstr>
      <vt:lpstr>EN A0800</vt:lpstr>
      <vt:lpstr>EN_08001</vt:lpstr>
      <vt:lpstr>dEN_08001</vt:lpstr>
      <vt:lpstr>EN_08002</vt:lpstr>
      <vt:lpstr>dEN_08002</vt:lpstr>
      <vt:lpstr>EN_08003</vt:lpstr>
      <vt:lpstr>dEN_08003</vt:lpstr>
      <vt:lpstr>EN_08004</vt:lpstr>
      <vt:lpstr>dEN_08004</vt:lpstr>
      <vt:lpstr>EN_08005</vt:lpstr>
      <vt:lpstr>EN_08006</vt:lpstr>
      <vt:lpstr>EN_08007</vt:lpstr>
      <vt:lpstr>pEN_08007</vt:lpstr>
      <vt:lpstr>EN_08008</vt:lpstr>
      <vt:lpstr>dEN_08008</vt:lpstr>
      <vt:lpstr>EN_08009</vt:lpstr>
      <vt:lpstr>dEN_08009</vt:lpstr>
      <vt:lpstr>EN_08010</vt:lpstr>
      <vt:lpstr>EN_0800_pa</vt:lpstr>
      <vt:lpstr>EN_A0800_f</vt:lpstr>
      <vt:lpstr>EN_A0800_m</vt:lpstr>
      <vt:lpstr>EN_A0800_p</vt:lpstr>
      <vt:lpstr>EN_A0800_pa</vt:lpstr>
      <vt:lpstr>EN_A0800_t</vt:lpstr>
      <vt:lpstr>'EN A0800'!Zone_d_impression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2018-04-30T16:12:07Z</dcterms:created>
  <dcterms:modified xsi:type="dcterms:W3CDTF">2018-05-01T15:22:51Z</dcterms:modified>
</cp:coreProperties>
</file>