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8DDF993-946E-48A5-BF83-05B10E836F7E}" xr6:coauthVersionLast="32" xr6:coauthVersionMax="32" xr10:uidLastSave="{00000000-0000-0000-0000-000000000000}"/>
  <bookViews>
    <workbookView xWindow="0" yWindow="0" windowWidth="20490" windowHeight="7545" firstSheet="17" activeTab="23" xr2:uid="{00000000-000D-0000-FFFF-FFFF00000000}"/>
  </bookViews>
  <sheets>
    <sheet name="BOM" sheetId="2" r:id="rId1"/>
    <sheet name="WT A0100" sheetId="3" r:id="rId2"/>
    <sheet name="WT A0200" sheetId="4" r:id="rId3"/>
    <sheet name="WT 02001" sheetId="5" r:id="rId4"/>
    <sheet name="dWT 02001" sheetId="6" r:id="rId5"/>
    <sheet name="WT 02002" sheetId="7" r:id="rId6"/>
    <sheet name="dWT 02002" sheetId="8" r:id="rId7"/>
    <sheet name="WT 02003" sheetId="9" r:id="rId8"/>
    <sheet name="dWT 02003" sheetId="10" r:id="rId9"/>
    <sheet name="WT 02004" sheetId="11" r:id="rId10"/>
    <sheet name="dWT 02004" sheetId="12" r:id="rId11"/>
    <sheet name="WT 02005" sheetId="13" r:id="rId12"/>
    <sheet name="dWT 02005" sheetId="14" r:id="rId13"/>
    <sheet name="WT A0300" sheetId="15" r:id="rId14"/>
    <sheet name="WT 03001" sheetId="16" r:id="rId15"/>
    <sheet name="dWT 03001" sheetId="17" r:id="rId16"/>
    <sheet name="WT 03002" sheetId="18" r:id="rId17"/>
    <sheet name="dWT 03002" sheetId="19" r:id="rId18"/>
    <sheet name="WT 03003" sheetId="20" r:id="rId19"/>
    <sheet name="dWT 03003" sheetId="21" r:id="rId20"/>
    <sheet name="WT 03004" sheetId="22" r:id="rId21"/>
    <sheet name="dWT 03004" sheetId="23" r:id="rId22"/>
    <sheet name="WT 03005" sheetId="24" r:id="rId23"/>
    <sheet name="dWT 03005" sheetId="25" r:id="rId24"/>
  </sheets>
  <definedNames>
    <definedName name="dWT_02001">'dWT 02001'!$A$1</definedName>
    <definedName name="dWT_02002">'dWT 02002'!$A$1</definedName>
    <definedName name="dWT_02003">'dWT 02003'!$A$1</definedName>
    <definedName name="dWT_02004">'dWT 02004'!$A$1</definedName>
    <definedName name="dWT_02005">'dWT 02005'!$A$1</definedName>
    <definedName name="dWT_03001">'dWT 03001'!$A$1</definedName>
    <definedName name="dWT_03002">'dWT 03002'!$A$1</definedName>
    <definedName name="dWT_03003">'dWT 03003'!$A$1</definedName>
    <definedName name="dWT_03004">'dWT 03004'!$A$1</definedName>
    <definedName name="dWT_03005">'dWT 03005'!$A$1</definedName>
    <definedName name="WT_02001">'WT 02001'!$B$6</definedName>
    <definedName name="WT_02001_m">'WT 02001'!$N$12</definedName>
    <definedName name="WT_02001_p">'WT 02001'!$I$25</definedName>
    <definedName name="WT_02001_q">'WT 02001'!$N$3</definedName>
    <definedName name="WT_02002">'WT 02002'!$B$6</definedName>
    <definedName name="WT_02002_m">'WT 02002'!$N$12</definedName>
    <definedName name="WT_02002_p">'WT 02002'!$I$19</definedName>
    <definedName name="WT_02002_q">'WT 02002'!$N$3</definedName>
    <definedName name="WT_02003">'WT 02003'!$B$6</definedName>
    <definedName name="WT_02003_m">'WT 02003'!$N$12</definedName>
    <definedName name="WT_02003_p">'WT 02003'!$I$21</definedName>
    <definedName name="WT_02003_q">'WT 02003'!$N$3</definedName>
    <definedName name="WT_02004">'WT 02004'!$B$6</definedName>
    <definedName name="WT_02004_m">'WT 02004'!$N$12</definedName>
    <definedName name="WT_02004_p">'WT 02004'!$I$17</definedName>
    <definedName name="WT_02004_q">'WT 02004'!$N$3</definedName>
    <definedName name="WT_02005">'WT 02005'!$B$6</definedName>
    <definedName name="WT_02005_m">'WT 02005'!$N$12</definedName>
    <definedName name="WT_02005_p">'WT 02005'!$I$17</definedName>
    <definedName name="WT_02005_q">'WT 02005'!$N$3</definedName>
    <definedName name="WT_03001">'WT 03001'!$B$6</definedName>
    <definedName name="WT_03001_m">'WT 03001'!$N$12</definedName>
    <definedName name="WT_03001_p">'WT 03001'!$I$24</definedName>
    <definedName name="WT_03001_q">'WT 03001'!$N$3</definedName>
    <definedName name="WT_03002">'WT 03002'!$B$6</definedName>
    <definedName name="WT_03002_m">'WT 03002'!$N$12</definedName>
    <definedName name="WT_03002_p">'WT 03002'!$I$19</definedName>
    <definedName name="WT_03002_q">'WT 03002'!$N$3</definedName>
    <definedName name="WT_03003">'WT 03003'!$B$6</definedName>
    <definedName name="WT_03003_m">'WT 03003'!$N$12</definedName>
    <definedName name="WT_03003_p">'WT 03003'!$I$21</definedName>
    <definedName name="WT_03003_q">'WT 03003'!$N$3</definedName>
    <definedName name="WT_03004">'WT 03004'!$B$6</definedName>
    <definedName name="WT_03004_m">'WT 03004'!$N$12</definedName>
    <definedName name="WT_03004_p">'WT 03004'!$I$19</definedName>
    <definedName name="WT_03004_q">'WT 03004'!$N$3</definedName>
    <definedName name="WT_03005">'WT 03005'!$B$6</definedName>
    <definedName name="WT_03005_m">'WT 03005'!$N$12</definedName>
    <definedName name="WT_03005_p">'WT 03005'!$I$17</definedName>
    <definedName name="WT_03005_q">'WT 03005'!$N$3</definedName>
    <definedName name="WT_A0100">'WT A0100'!$B$5</definedName>
    <definedName name="WT_A0100_BOM">BOM!$C$7</definedName>
    <definedName name="WT_A0100_f">'WT A0100'!$J$24</definedName>
    <definedName name="WT_A0100_m">'WT A0100'!$N$15</definedName>
    <definedName name="WT_A0100_p">'WT A0100'!$I$20</definedName>
    <definedName name="WT_A0100_q">'WT A0100'!$N$3</definedName>
    <definedName name="WT_A0200">'WT A0200'!$B$5</definedName>
    <definedName name="WT_A0200_BOM">BOM!$C$8</definedName>
    <definedName name="WT_A0200_f">'WT A0200'!$J$37</definedName>
    <definedName name="WT_A0200_m">'WT A0200'!$N$21</definedName>
    <definedName name="WT_A0200_p">'WT A0200'!$I$33</definedName>
    <definedName name="WT_A0200_pa">'WT A0200'!$E$15</definedName>
    <definedName name="WT_A0200_q">'WT A0200'!$N$3</definedName>
    <definedName name="WT_A0300">'WT A0300'!$B$5</definedName>
    <definedName name="WT_A0300_BOM">BOM!$C$14</definedName>
    <definedName name="WT_A0300_f">'WT A0300'!$J$34</definedName>
    <definedName name="WT_A0300_m">'WT A0300'!$N$20</definedName>
    <definedName name="WT_A0300_p">'WT A0300'!$I$30</definedName>
    <definedName name="WT_A0300_q">'WT A0300'!$N$3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1" l="1"/>
  <c r="N2" i="11" s="1"/>
  <c r="F19" i="2"/>
  <c r="F18" i="2"/>
  <c r="F17" i="2"/>
  <c r="F16" i="2"/>
  <c r="F15" i="2"/>
  <c r="F13" i="2"/>
  <c r="F12" i="2"/>
  <c r="F11" i="2"/>
  <c r="F10" i="2"/>
  <c r="F9" i="2"/>
  <c r="E10" i="2"/>
  <c r="E11" i="2"/>
  <c r="E12" i="2"/>
  <c r="E13" i="2"/>
  <c r="E9" i="2"/>
  <c r="F8" i="2"/>
  <c r="F14" i="2"/>
  <c r="E17" i="2" s="1"/>
  <c r="F7" i="2"/>
  <c r="B20" i="2"/>
  <c r="K19" i="2"/>
  <c r="K17" i="2"/>
  <c r="K16" i="2"/>
  <c r="J19" i="2"/>
  <c r="J17" i="2"/>
  <c r="J16" i="2"/>
  <c r="I19" i="2"/>
  <c r="I18" i="2"/>
  <c r="I17" i="2"/>
  <c r="I16" i="2"/>
  <c r="I15" i="2"/>
  <c r="C19" i="2"/>
  <c r="C18" i="2"/>
  <c r="C17" i="2"/>
  <c r="C16" i="2"/>
  <c r="C15" i="2"/>
  <c r="N2" i="13"/>
  <c r="N2" i="7"/>
  <c r="N2" i="5"/>
  <c r="N2" i="24"/>
  <c r="N2" i="20"/>
  <c r="N2" i="18"/>
  <c r="I19" i="18"/>
  <c r="I19" i="7"/>
  <c r="I25" i="5"/>
  <c r="I33" i="4"/>
  <c r="N21" i="4"/>
  <c r="E15" i="2" l="1"/>
  <c r="E16" i="2"/>
  <c r="E19" i="2"/>
  <c r="E18" i="2"/>
  <c r="H17" i="2"/>
  <c r="N17" i="2" s="1"/>
  <c r="H16" i="2"/>
  <c r="N16" i="2" s="1"/>
  <c r="H19" i="2"/>
  <c r="N19" i="2" s="1"/>
  <c r="I16" i="24"/>
  <c r="I15" i="24"/>
  <c r="I17" i="24" s="1"/>
  <c r="J11" i="24"/>
  <c r="E11" i="24"/>
  <c r="N11" i="24" s="1"/>
  <c r="N12" i="24" s="1"/>
  <c r="B4" i="24"/>
  <c r="B3" i="24"/>
  <c r="N5" i="24"/>
  <c r="I18" i="22"/>
  <c r="I17" i="22"/>
  <c r="I16" i="22"/>
  <c r="I15" i="22"/>
  <c r="J11" i="22"/>
  <c r="E11" i="22" s="1"/>
  <c r="N11" i="22" s="1"/>
  <c r="N12" i="22" s="1"/>
  <c r="B4" i="22"/>
  <c r="B3" i="22"/>
  <c r="I20" i="20"/>
  <c r="I19" i="20"/>
  <c r="I18" i="20"/>
  <c r="I17" i="20"/>
  <c r="I16" i="20"/>
  <c r="I15" i="20"/>
  <c r="J11" i="20"/>
  <c r="E11" i="20" s="1"/>
  <c r="N11" i="20" s="1"/>
  <c r="N12" i="20" s="1"/>
  <c r="B4" i="20"/>
  <c r="B3" i="20"/>
  <c r="N5" i="20"/>
  <c r="I18" i="18"/>
  <c r="I17" i="18"/>
  <c r="I16" i="18"/>
  <c r="I15" i="18"/>
  <c r="J11" i="18"/>
  <c r="E11" i="18" s="1"/>
  <c r="N11" i="18" s="1"/>
  <c r="N12" i="18" s="1"/>
  <c r="B4" i="18"/>
  <c r="B3" i="18"/>
  <c r="N5" i="18"/>
  <c r="I23" i="16"/>
  <c r="I22" i="16"/>
  <c r="I21" i="16"/>
  <c r="I20" i="16"/>
  <c r="I19" i="16"/>
  <c r="F18" i="16"/>
  <c r="I18" i="16" s="1"/>
  <c r="I17" i="16"/>
  <c r="I16" i="16"/>
  <c r="I15" i="16"/>
  <c r="K11" i="16"/>
  <c r="J11" i="16"/>
  <c r="E11" i="16" s="1"/>
  <c r="N11" i="16" s="1"/>
  <c r="N12" i="16" s="1"/>
  <c r="B4" i="16"/>
  <c r="B3" i="16"/>
  <c r="D33" i="15"/>
  <c r="J33" i="15" s="1"/>
  <c r="J34" i="15" s="1"/>
  <c r="I29" i="15"/>
  <c r="I28" i="15"/>
  <c r="I27" i="15"/>
  <c r="I26" i="15"/>
  <c r="I25" i="15"/>
  <c r="I24" i="15"/>
  <c r="I23" i="15"/>
  <c r="N19" i="15"/>
  <c r="D18" i="15"/>
  <c r="N18" i="15" s="1"/>
  <c r="D14" i="15"/>
  <c r="C14" i="15"/>
  <c r="D13" i="15"/>
  <c r="D12" i="15"/>
  <c r="C12" i="15"/>
  <c r="D11" i="15"/>
  <c r="D10" i="15"/>
  <c r="B10" i="15"/>
  <c r="J15" i="2" l="1"/>
  <c r="N2" i="16"/>
  <c r="I24" i="16"/>
  <c r="K15" i="2" s="1"/>
  <c r="I30" i="15"/>
  <c r="K14" i="2" s="1"/>
  <c r="J18" i="2"/>
  <c r="I19" i="22"/>
  <c r="K18" i="2" s="1"/>
  <c r="I21" i="20"/>
  <c r="E12" i="15"/>
  <c r="E14" i="15"/>
  <c r="N20" i="15"/>
  <c r="C11" i="15"/>
  <c r="E11" i="15" s="1"/>
  <c r="I9" i="2"/>
  <c r="C10" i="15" l="1"/>
  <c r="E10" i="15" s="1"/>
  <c r="N5" i="16"/>
  <c r="N2" i="22"/>
  <c r="H18" i="2"/>
  <c r="N18" i="2" s="1"/>
  <c r="B3" i="13"/>
  <c r="B4" i="13"/>
  <c r="J11" i="13"/>
  <c r="E11" i="13" s="1"/>
  <c r="N11" i="13" s="1"/>
  <c r="N12" i="13" s="1"/>
  <c r="I15" i="13"/>
  <c r="I17" i="13" s="1"/>
  <c r="I16" i="13"/>
  <c r="B3" i="11"/>
  <c r="B4" i="11"/>
  <c r="J11" i="11"/>
  <c r="E11" i="11" s="1"/>
  <c r="N11" i="11" s="1"/>
  <c r="N12" i="11" s="1"/>
  <c r="I15" i="11"/>
  <c r="I16" i="11"/>
  <c r="B3" i="9"/>
  <c r="B4" i="9"/>
  <c r="J11" i="9"/>
  <c r="E11" i="9" s="1"/>
  <c r="N11" i="9" s="1"/>
  <c r="N12" i="9" s="1"/>
  <c r="I15" i="9"/>
  <c r="I21" i="9" s="1"/>
  <c r="I16" i="9"/>
  <c r="I17" i="9"/>
  <c r="I18" i="9"/>
  <c r="I19" i="9"/>
  <c r="I20" i="9"/>
  <c r="B3" i="7"/>
  <c r="B4" i="7"/>
  <c r="J11" i="7"/>
  <c r="E11" i="7" s="1"/>
  <c r="N11" i="7" s="1"/>
  <c r="N12" i="7" s="1"/>
  <c r="I15" i="7"/>
  <c r="I16" i="7"/>
  <c r="I17" i="7"/>
  <c r="I18" i="7"/>
  <c r="B1" i="6"/>
  <c r="B3" i="5"/>
  <c r="B4" i="5"/>
  <c r="J11" i="5"/>
  <c r="E11" i="5" s="1"/>
  <c r="N11" i="5" s="1"/>
  <c r="N12" i="5" s="1"/>
  <c r="I15" i="5"/>
  <c r="F16" i="5"/>
  <c r="I16" i="5" s="1"/>
  <c r="I17" i="5"/>
  <c r="F18" i="5"/>
  <c r="I18" i="5" s="1"/>
  <c r="I19" i="5"/>
  <c r="I20" i="5"/>
  <c r="I21" i="5"/>
  <c r="F22" i="5"/>
  <c r="I22" i="5" s="1"/>
  <c r="I23" i="5"/>
  <c r="I24" i="5"/>
  <c r="B10" i="4"/>
  <c r="D10" i="4"/>
  <c r="D11" i="4"/>
  <c r="D12" i="4"/>
  <c r="D13" i="4"/>
  <c r="D14" i="4"/>
  <c r="D18" i="4"/>
  <c r="N18" i="4" s="1"/>
  <c r="D19" i="4"/>
  <c r="N19" i="4" s="1"/>
  <c r="N20" i="4"/>
  <c r="I24" i="4"/>
  <c r="I25" i="4"/>
  <c r="I26" i="4"/>
  <c r="I27" i="4"/>
  <c r="I28" i="4"/>
  <c r="I29" i="4"/>
  <c r="I30" i="4"/>
  <c r="I31" i="4"/>
  <c r="I32" i="4"/>
  <c r="D36" i="4"/>
  <c r="J36" i="4" s="1"/>
  <c r="J37" i="4" s="1"/>
  <c r="C7" i="2"/>
  <c r="J23" i="3"/>
  <c r="J24" i="3" s="1"/>
  <c r="I19" i="3"/>
  <c r="I18" i="3"/>
  <c r="N14" i="3"/>
  <c r="N13" i="3"/>
  <c r="N12" i="3"/>
  <c r="N11" i="3"/>
  <c r="N2" i="9" l="1"/>
  <c r="N15" i="3"/>
  <c r="I20" i="3"/>
  <c r="C13" i="15"/>
  <c r="E13" i="15" s="1"/>
  <c r="E15" i="15" s="1"/>
  <c r="N5" i="22"/>
  <c r="C10" i="4"/>
  <c r="C11" i="4"/>
  <c r="E11" i="4" s="1"/>
  <c r="C12" i="4"/>
  <c r="E12" i="4" s="1"/>
  <c r="N2" i="3" l="1"/>
  <c r="N5" i="3" s="1"/>
  <c r="N5" i="9"/>
  <c r="C14" i="4"/>
  <c r="E14" i="4" s="1"/>
  <c r="N5" i="13"/>
  <c r="N5" i="7"/>
  <c r="E10" i="4"/>
  <c r="N5" i="5"/>
  <c r="N5" i="11"/>
  <c r="C13" i="4"/>
  <c r="E13" i="4" s="1"/>
  <c r="E15" i="4" l="1"/>
  <c r="N2" i="4" s="1"/>
  <c r="L14" i="2"/>
  <c r="J14" i="2"/>
  <c r="I14" i="2"/>
  <c r="K10" i="2"/>
  <c r="L8" i="2"/>
  <c r="K8" i="2"/>
  <c r="K13" i="2"/>
  <c r="K12" i="2"/>
  <c r="K11" i="2"/>
  <c r="K9" i="2"/>
  <c r="J13" i="2"/>
  <c r="J12" i="2"/>
  <c r="J11" i="2"/>
  <c r="J10" i="2"/>
  <c r="J9" i="2"/>
  <c r="J8" i="2"/>
  <c r="I13" i="2"/>
  <c r="I12" i="2"/>
  <c r="I11" i="2"/>
  <c r="I10" i="2"/>
  <c r="I8" i="2"/>
  <c r="L7" i="2"/>
  <c r="K7" i="2"/>
  <c r="J7" i="2"/>
  <c r="I7" i="2"/>
  <c r="O1" i="2"/>
  <c r="H15" i="2"/>
  <c r="N15" i="2" s="1"/>
  <c r="L20" i="2" l="1"/>
  <c r="M20" i="2"/>
  <c r="K20" i="2"/>
  <c r="J20" i="2"/>
  <c r="H12" i="2"/>
  <c r="N12" i="2" s="1"/>
  <c r="H14" i="2"/>
  <c r="N14" i="2" s="1"/>
  <c r="N5" i="4"/>
  <c r="N2" i="15"/>
  <c r="N5" i="15" s="1"/>
  <c r="H8" i="2"/>
  <c r="N8" i="2" s="1"/>
  <c r="H13" i="2"/>
  <c r="H11" i="2"/>
  <c r="N11" i="2" s="1"/>
  <c r="H10" i="2"/>
  <c r="N10" i="2" s="1"/>
  <c r="H9" i="2"/>
  <c r="N9" i="2" s="1"/>
  <c r="H7" i="2"/>
  <c r="N7" i="2" s="1"/>
  <c r="N13" i="2"/>
  <c r="N20" i="2" l="1"/>
</calcChain>
</file>

<file path=xl/sharedStrings.xml><?xml version="1.0" encoding="utf-8"?>
<sst xmlns="http://schemas.openxmlformats.org/spreadsheetml/2006/main" count="1038" uniqueCount="168">
  <si>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</si>
  <si>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</si>
  <si>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</si>
  <si>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</si>
  <si>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</si>
  <si>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</si>
  <si>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</si>
  <si>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</si>
  <si>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</si>
  <si>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</si>
  <si>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</si>
  <si>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</si>
  <si>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</si>
  <si>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</si>
  <si>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</si>
  <si>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</si>
  <si>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</si>
  <si>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</si>
  <si>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</si>
  <si>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</si>
  <si>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</si>
  <si>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</si>
  <si>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</si>
  <si>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</si>
  <si>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</si>
  <si>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WT A0200</t>
  </si>
  <si>
    <t>WT 02001</t>
  </si>
  <si>
    <t>WT 02002</t>
  </si>
  <si>
    <t>WT 02003</t>
  </si>
  <si>
    <t>WT 02004</t>
  </si>
  <si>
    <t>WT 02005</t>
  </si>
  <si>
    <t>WT A0300</t>
  </si>
  <si>
    <t>Back to BOM</t>
  </si>
  <si>
    <t>Asm Cost</t>
  </si>
  <si>
    <t>System</t>
  </si>
  <si>
    <t>Wheels &amp; Tires</t>
  </si>
  <si>
    <t>Qty</t>
  </si>
  <si>
    <t>Assembly</t>
  </si>
  <si>
    <t>Wheel Assembly</t>
  </si>
  <si>
    <t>FileLink1</t>
  </si>
  <si>
    <t>P/N Base</t>
  </si>
  <si>
    <t>WT A0100</t>
  </si>
  <si>
    <t>FileLink2</t>
  </si>
  <si>
    <t>Extended Cost</t>
  </si>
  <si>
    <t>Suffix</t>
  </si>
  <si>
    <t>FileLink3</t>
  </si>
  <si>
    <t>Details</t>
  </si>
  <si>
    <t>Complete Wheel Assembly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</si>
  <si>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</si>
  <si>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</si>
  <si>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</si>
  <si>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</si>
  <si>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</si>
  <si>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</si>
  <si>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</si>
  <si>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</si>
  <si>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</si>
  <si>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</si>
  <si>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</si>
  <si>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</si>
  <si>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Sub Total</t>
  </si>
  <si>
    <t>Wheel, 13", 1 Piece OZ, Aluminum</t>
  </si>
  <si>
    <t>Rim</t>
  </si>
  <si>
    <t>unit</t>
  </si>
  <si>
    <t>Tire, Hoosier, R25B, 13"-20.5 x 7.0</t>
  </si>
  <si>
    <t>Tire</t>
  </si>
  <si>
    <t>Valve Stem (and Tire Inflation)</t>
  </si>
  <si>
    <t>Wheel Weights (and Balancing)</t>
  </si>
  <si>
    <t>Balancing and set up the wheel</t>
  </si>
  <si>
    <t>Process</t>
  </si>
  <si>
    <t>Unit</t>
  </si>
  <si>
    <t>Multiplier</t>
  </si>
  <si>
    <t>Mult. Val.</t>
  </si>
  <si>
    <t>Assemble, 5kg, Line-on-Line</t>
  </si>
  <si>
    <t>Fix Wheel on Hubs</t>
  </si>
  <si>
    <t>Ratchet &lt;= 25.4 mm</t>
  </si>
  <si>
    <t>Tighten Lug Nuts</t>
  </si>
  <si>
    <t>Fastener</t>
  </si>
  <si>
    <t>Nut, Lug</t>
  </si>
  <si>
    <t>cm</t>
  </si>
  <si>
    <t>Wheels, Wheel Bearings and Tires</t>
  </si>
  <si>
    <t>mm</t>
  </si>
  <si>
    <t>Wheel Studs</t>
  </si>
  <si>
    <t>Stud, Grade 12.9</t>
  </si>
  <si>
    <t>Front Wheel Spacer on hub</t>
  </si>
  <si>
    <t>Assemble, 1 kg, Loose</t>
  </si>
  <si>
    <t>Wheel studs and hub assemble</t>
  </si>
  <si>
    <t>Assemble, 1 kg, Line-on-Line</t>
  </si>
  <si>
    <t>Liquid Applicator Gun</t>
  </si>
  <si>
    <t>Locknut on hub</t>
  </si>
  <si>
    <t>Lock nut washer assemble on the hub</t>
  </si>
  <si>
    <t>Assemble, 1kg, Loose</t>
  </si>
  <si>
    <t>Speed sensor disc assemble on the hub</t>
  </si>
  <si>
    <t>Speed sensor spacer assemble on the hub</t>
  </si>
  <si>
    <t>Bearings Assemble</t>
  </si>
  <si>
    <t>Assemble, 1 kg, Interference</t>
  </si>
  <si>
    <t>Bearing spacer assemble on the hub</t>
  </si>
  <si>
    <t>Wheel studs and hub assemble, cost included in process</t>
  </si>
  <si>
    <t>Adhesive</t>
  </si>
  <si>
    <t>Bearing Nuts</t>
  </si>
  <si>
    <t>Locknut/L.P.///Steel/</t>
  </si>
  <si>
    <t>Wheel Bearing, Ball, Angular Contact</t>
  </si>
  <si>
    <t>Speed Sensor Disc</t>
  </si>
  <si>
    <t>Speed Sensor Spacer</t>
  </si>
  <si>
    <t>Front Wheel Spacer</t>
  </si>
  <si>
    <t>Front Bearing Spacer</t>
  </si>
  <si>
    <t>Part Cost</t>
  </si>
  <si>
    <t>Part</t>
  </si>
  <si>
    <t>Assembly of a part of the wheel with the hub, bearings and a part to mesure the speed of the wheel</t>
  </si>
  <si>
    <t>Front Hubs</t>
  </si>
  <si>
    <t>Material - Aluminium</t>
  </si>
  <si>
    <t>For locknut</t>
  </si>
  <si>
    <t>Threading, External (machining)</t>
  </si>
  <si>
    <t>For wheel studs</t>
  </si>
  <si>
    <t>Threading, Internal (machining)</t>
  </si>
  <si>
    <t>cm^3</t>
  </si>
  <si>
    <t>Milling</t>
  </si>
  <si>
    <t>Machining</t>
  </si>
  <si>
    <t>Machining Setup, Change</t>
  </si>
  <si>
    <t>Machining Setup, Install and Remove</t>
  </si>
  <si>
    <t>Turning</t>
  </si>
  <si>
    <t>Change the turning setup</t>
  </si>
  <si>
    <t>Setup for turning</t>
  </si>
  <si>
    <t>round area, 130mm diameter</t>
  </si>
  <si>
    <t>kg</t>
  </si>
  <si>
    <t>Aluminium, Premium</t>
  </si>
  <si>
    <t>Main part of the assembly</t>
  </si>
  <si>
    <t>Front Hub</t>
  </si>
  <si>
    <t>Drawing</t>
  </si>
  <si>
    <t>Drawing part :</t>
  </si>
  <si>
    <t>round area, 55mm diameter</t>
  </si>
  <si>
    <t>Part to let a space beetween the hub and the first bearing</t>
  </si>
  <si>
    <t>Wheel bearing spacer</t>
  </si>
  <si>
    <t>Part to position the wheel on the good position relative to the hub and upright assembly</t>
  </si>
  <si>
    <t>Laser cut</t>
  </si>
  <si>
    <t>one setup for 2 pieces</t>
  </si>
  <si>
    <t>Square area 45x45mm</t>
  </si>
  <si>
    <t>Aluminum, Normal</t>
  </si>
  <si>
    <t>Part to avoid the speed sensor disc to interfere with the Upright</t>
  </si>
  <si>
    <t>Speed sensor spacer</t>
  </si>
  <si>
    <t>rectangular area, 160mm*160mm</t>
  </si>
  <si>
    <t>Steel, Mild</t>
  </si>
  <si>
    <t>Disc use in combination with a sensor to obtain the speed of a wheel</t>
  </si>
  <si>
    <t>WT_02002</t>
  </si>
  <si>
    <t>WT_02003</t>
  </si>
  <si>
    <t>WT_02004</t>
  </si>
  <si>
    <t>WT_02005</t>
  </si>
  <si>
    <t>Rear Hubs</t>
  </si>
  <si>
    <t>Rear Bearing Spacer</t>
  </si>
  <si>
    <t>Rear Wheel Spacer</t>
  </si>
  <si>
    <t>Tripod Housing Spacer</t>
  </si>
  <si>
    <t>Tripod housing spacer assemble on the hub</t>
  </si>
  <si>
    <t>Rear Hub</t>
  </si>
  <si>
    <t>WT 03001</t>
  </si>
  <si>
    <t>EDM - Wire</t>
  </si>
  <si>
    <t>For tripod housing</t>
  </si>
  <si>
    <t>Comment : Drawing before the EDM process for spline at the center</t>
  </si>
  <si>
    <t>WT 03002</t>
  </si>
  <si>
    <t>WT 03003</t>
  </si>
  <si>
    <t>Tripod housing spacer</t>
  </si>
  <si>
    <t>WT 03004</t>
  </si>
  <si>
    <t>Part to allow the tripod housing to be used as locknut to prestress the bearings. Also used to separate the speedsensor disc from the upright</t>
  </si>
  <si>
    <t>WT 03005</t>
  </si>
  <si>
    <t>WT_03001</t>
  </si>
  <si>
    <t>WT_03002</t>
  </si>
  <si>
    <t>WT_03003</t>
  </si>
  <si>
    <t>WT_03004</t>
  </si>
  <si>
    <t>WT_03005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</si>
</sst>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\ _€_-;\-* #,##0.00\ _€_-;_-* &quot;-&quot;??\ _€_-;_-@_-"/>
    <numFmt numFmtId="164" formatCode="_(* #,##0.00_);_(* \(#,##0.00\);_(* &quot;-&quot;??_);_(@_)"/>
    <numFmt numFmtId="165" formatCode="_-[$$-409]* #,##0.00_ ;_-[$$-409]* \-#,##0.00\ ;_-[$$-409]* &quot;-&quot;??_ ;_-@_ "/>
    <numFmt numFmtId="166" formatCode="\$#,##0.00_);&quot;($&quot;#,##0.00\)"/>
    <numFmt numFmtId="167" formatCode="_(&quot;$&quot;* #,##0.00_);_(&quot;$&quot;* \(#,##0.00\);_(&quot;$&quot;* &quot;-&quot;??_);_(@_)"/>
    <numFmt numFmtId="168" formatCode="_(\$* #,##0.00_);_(\$* \(#,##0.00\);_(\$* \-??_);_(@_)"/>
    <numFmt numFmtId="169" formatCode="_(* #,##0_);_(* \(#,##0\);_(* &quot;-&quot;??_);_(@_)"/>
    <numFmt numFmtId="170" formatCode="_(* #,##0.00_);_(* \(#,##0.00\);_(* \-??_);_(@_)"/>
    <numFmt numFmtId="171" formatCode="#,##0.0000"/>
    <numFmt numFmtId="172" formatCode="_(* #,##0.000_);_(* \(#,##0.000\);_(* \-??_);_(@_)"/>
    <numFmt numFmtId="173" formatCode="0.000"/>
    <numFmt numFmtId="174" formatCode="_(* #,##0_);_(* \(#,##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6" fontId="13" fillId="0" borderId="11">
      <alignment vertical="center" wrapText="1"/>
    </xf>
    <xf numFmtId="167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4" fontId="2" fillId="0" borderId="0" xfId="2" applyFont="1"/>
    <xf numFmtId="164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4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 applyProtection="1">
      <alignment horizontal="center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65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5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2" xfId="3" applyFill="1" applyBorder="1" applyAlignment="1">
      <alignment horizontal="left"/>
    </xf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4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2" fontId="1" fillId="6" borderId="8" xfId="4" quotePrefix="1" applyNumberFormat="1" applyFill="1" applyBorder="1" applyAlignment="1">
      <alignment horizontal="right"/>
    </xf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" fillId="4" borderId="9" xfId="4" applyFont="1" applyFill="1" applyBorder="1"/>
    <xf numFmtId="0" fontId="12" fillId="5" borderId="10" xfId="4" applyFont="1" applyFill="1" applyBorder="1"/>
    <xf numFmtId="18" fontId="6" fillId="3" borderId="2" xfId="1" applyNumberFormat="1" applyFont="1" applyFill="1" applyBorder="1" applyAlignment="1" applyProtection="1">
      <alignment horizontal="left"/>
      <protection locked="0"/>
    </xf>
    <xf numFmtId="11" fontId="6" fillId="3" borderId="2" xfId="1" applyNumberFormat="1" applyFont="1" applyFill="1" applyBorder="1" applyAlignment="1" applyProtection="1">
      <protection locked="0"/>
    </xf>
    <xf numFmtId="0" fontId="6" fillId="3" borderId="2" xfId="1" applyFont="1" applyFill="1" applyBorder="1" applyAlignment="1" applyProtection="1">
      <alignment horizontal="center"/>
      <protection locked="0"/>
    </xf>
    <xf numFmtId="0" fontId="13" fillId="0" borderId="12" xfId="5" applyBorder="1"/>
    <xf numFmtId="0" fontId="13" fillId="0" borderId="13" xfId="5" applyBorder="1"/>
    <xf numFmtId="0" fontId="13" fillId="0" borderId="14" xfId="5" applyBorder="1"/>
    <xf numFmtId="0" fontId="13" fillId="0" borderId="0" xfId="5"/>
    <xf numFmtId="0" fontId="16" fillId="8" borderId="15" xfId="5" applyFont="1" applyFill="1" applyBorder="1"/>
    <xf numFmtId="0" fontId="17" fillId="0" borderId="0" xfId="5" applyFont="1" applyBorder="1"/>
    <xf numFmtId="0" fontId="13" fillId="0" borderId="0" xfId="5" applyBorder="1"/>
    <xf numFmtId="0" fontId="17" fillId="0" borderId="15" xfId="5" applyFont="1" applyBorder="1" applyAlignment="1">
      <alignment horizontal="right"/>
    </xf>
    <xf numFmtId="165" fontId="17" fillId="0" borderId="15" xfId="6" applyNumberFormat="1" applyFont="1" applyBorder="1" applyAlignment="1" applyProtection="1"/>
    <xf numFmtId="0" fontId="13" fillId="0" borderId="16" xfId="5" applyBorder="1"/>
    <xf numFmtId="37" fontId="17" fillId="0" borderId="15" xfId="6" applyNumberFormat="1" applyFont="1" applyBorder="1" applyAlignment="1" applyProtection="1"/>
    <xf numFmtId="0" fontId="13" fillId="0" borderId="0" xfId="5" applyFont="1" applyBorder="1"/>
    <xf numFmtId="0" fontId="16" fillId="8" borderId="0" xfId="5" applyFont="1" applyFill="1" applyBorder="1"/>
    <xf numFmtId="0" fontId="17" fillId="0" borderId="0" xfId="5" applyFont="1" applyBorder="1" applyAlignment="1">
      <alignment horizontal="left"/>
    </xf>
    <xf numFmtId="168" fontId="17" fillId="0" borderId="15" xfId="6" applyNumberFormat="1" applyFont="1" applyBorder="1" applyAlignment="1" applyProtection="1"/>
    <xf numFmtId="0" fontId="13" fillId="0" borderId="17" xfId="5" applyBorder="1"/>
    <xf numFmtId="0" fontId="18" fillId="0" borderId="18" xfId="5" applyFont="1" applyFill="1" applyBorder="1"/>
    <xf numFmtId="0" fontId="18" fillId="0" borderId="18" xfId="5" applyFont="1" applyFill="1" applyBorder="1" applyAlignment="1" applyProtection="1">
      <alignment vertical="center" wrapText="1"/>
    </xf>
    <xf numFmtId="167" fontId="18" fillId="0" borderId="18" xfId="7" applyFont="1" applyFill="1" applyBorder="1"/>
    <xf numFmtId="164" fontId="18" fillId="0" borderId="18" xfId="8" applyFont="1" applyFill="1" applyBorder="1"/>
    <xf numFmtId="11" fontId="18" fillId="0" borderId="18" xfId="5" applyNumberFormat="1" applyFont="1" applyFill="1" applyBorder="1"/>
    <xf numFmtId="169" fontId="18" fillId="0" borderId="18" xfId="8" applyNumberFormat="1" applyFont="1" applyFill="1" applyBorder="1"/>
    <xf numFmtId="1" fontId="18" fillId="0" borderId="18" xfId="8" applyNumberFormat="1" applyFont="1" applyFill="1" applyBorder="1"/>
    <xf numFmtId="167" fontId="18" fillId="0" borderId="18" xfId="7" applyNumberFormat="1" applyFont="1" applyFill="1" applyBorder="1"/>
    <xf numFmtId="0" fontId="13" fillId="0" borderId="16" xfId="5" applyBorder="1" applyAlignment="1"/>
    <xf numFmtId="0" fontId="13" fillId="0" borderId="0" xfId="5" applyAlignment="1"/>
    <xf numFmtId="2" fontId="18" fillId="0" borderId="18" xfId="7" applyNumberFormat="1" applyFont="1" applyFill="1" applyBorder="1"/>
    <xf numFmtId="11" fontId="18" fillId="0" borderId="18" xfId="8" applyNumberFormat="1" applyFont="1" applyFill="1" applyBorder="1"/>
    <xf numFmtId="0" fontId="18" fillId="0" borderId="18" xfId="8" applyNumberFormat="1" applyFont="1" applyFill="1" applyBorder="1"/>
    <xf numFmtId="0" fontId="16" fillId="0" borderId="17" xfId="5" applyFont="1" applyBorder="1"/>
    <xf numFmtId="0" fontId="16" fillId="0" borderId="0" xfId="5" applyFont="1" applyBorder="1"/>
    <xf numFmtId="168" fontId="16" fillId="8" borderId="15" xfId="5" applyNumberFormat="1" applyFont="1" applyFill="1" applyBorder="1"/>
    <xf numFmtId="0" fontId="13" fillId="0" borderId="16" xfId="5" applyBorder="1" applyAlignment="1">
      <alignment wrapText="1"/>
    </xf>
    <xf numFmtId="0" fontId="13" fillId="0" borderId="0" xfId="5" applyAlignment="1">
      <alignment wrapText="1"/>
    </xf>
    <xf numFmtId="0" fontId="18" fillId="0" borderId="18" xfId="5" applyNumberFormat="1" applyFont="1" applyFill="1" applyBorder="1"/>
    <xf numFmtId="0" fontId="14" fillId="0" borderId="18" xfId="9" applyFont="1" applyFill="1" applyBorder="1" applyAlignment="1">
      <alignment wrapText="1"/>
    </xf>
    <xf numFmtId="0" fontId="16" fillId="8" borderId="15" xfId="5" applyFont="1" applyFill="1" applyBorder="1" applyAlignment="1">
      <alignment horizontal="right"/>
    </xf>
    <xf numFmtId="39" fontId="18" fillId="0" borderId="18" xfId="7" applyNumberFormat="1" applyFont="1" applyFill="1" applyBorder="1"/>
    <xf numFmtId="37" fontId="18" fillId="0" borderId="18" xfId="7" applyNumberFormat="1" applyFont="1" applyFill="1" applyBorder="1"/>
    <xf numFmtId="0" fontId="13" fillId="0" borderId="19" xfId="5" applyBorder="1"/>
    <xf numFmtId="0" fontId="13" fillId="0" borderId="20" xfId="5" applyBorder="1"/>
    <xf numFmtId="0" fontId="13" fillId="0" borderId="21" xfId="5" applyBorder="1"/>
    <xf numFmtId="0" fontId="7" fillId="0" borderId="0" xfId="3" applyBorder="1"/>
    <xf numFmtId="0" fontId="18" fillId="0" borderId="18" xfId="5" applyFont="1" applyFill="1" applyBorder="1" applyAlignment="1">
      <alignment wrapText="1"/>
    </xf>
    <xf numFmtId="0" fontId="18" fillId="0" borderId="18" xfId="5" applyFont="1" applyBorder="1" applyAlignment="1">
      <alignment wrapText="1"/>
    </xf>
    <xf numFmtId="0" fontId="13" fillId="0" borderId="16" xfId="5" applyFont="1" applyBorder="1"/>
    <xf numFmtId="0" fontId="13" fillId="0" borderId="0" xfId="5" applyFont="1"/>
    <xf numFmtId="0" fontId="18" fillId="0" borderId="18" xfId="12" applyFont="1" applyFill="1" applyBorder="1" applyAlignment="1" applyProtection="1">
      <alignment vertical="center" wrapText="1"/>
    </xf>
    <xf numFmtId="0" fontId="17" fillId="0" borderId="15" xfId="5" applyFont="1" applyBorder="1"/>
    <xf numFmtId="0" fontId="18" fillId="0" borderId="0" xfId="5" applyFont="1" applyFill="1" applyBorder="1" applyAlignment="1" applyProtection="1">
      <alignment vertical="center" wrapText="1"/>
    </xf>
    <xf numFmtId="37" fontId="17" fillId="0" borderId="15" xfId="5" applyNumberFormat="1" applyFont="1" applyBorder="1"/>
    <xf numFmtId="0" fontId="7" fillId="0" borderId="15" xfId="3" applyNumberFormat="1" applyBorder="1" applyAlignment="1" applyProtection="1"/>
    <xf numFmtId="0" fontId="17" fillId="0" borderId="16" xfId="6" applyNumberFormat="1" applyFont="1" applyBorder="1" applyAlignment="1"/>
    <xf numFmtId="0" fontId="7" fillId="0" borderId="0" xfId="3"/>
    <xf numFmtId="0" fontId="7" fillId="0" borderId="15" xfId="3" applyBorder="1"/>
    <xf numFmtId="168" fontId="16" fillId="9" borderId="23" xfId="5" applyNumberFormat="1" applyFont="1" applyFill="1" applyBorder="1"/>
    <xf numFmtId="0" fontId="16" fillId="9" borderId="23" xfId="5" applyFont="1" applyFill="1" applyBorder="1" applyAlignment="1">
      <alignment horizontal="right"/>
    </xf>
    <xf numFmtId="168" fontId="17" fillId="0" borderId="18" xfId="6" applyNumberFormat="1" applyFont="1" applyBorder="1" applyAlignment="1" applyProtection="1"/>
    <xf numFmtId="0" fontId="13" fillId="0" borderId="0" xfId="5" applyBorder="1" applyAlignment="1">
      <alignment wrapText="1"/>
    </xf>
    <xf numFmtId="168" fontId="17" fillId="0" borderId="18" xfId="6" applyNumberFormat="1" applyFont="1" applyBorder="1" applyAlignment="1" applyProtection="1">
      <alignment wrapText="1"/>
    </xf>
    <xf numFmtId="0" fontId="16" fillId="9" borderId="18" xfId="5" applyFont="1" applyFill="1" applyBorder="1"/>
    <xf numFmtId="0" fontId="16" fillId="9" borderId="24" xfId="5" applyFont="1" applyFill="1" applyBorder="1"/>
    <xf numFmtId="0" fontId="16" fillId="9" borderId="18" xfId="5" applyFont="1" applyFill="1" applyBorder="1" applyAlignment="1">
      <alignment horizontal="right"/>
    </xf>
    <xf numFmtId="2" fontId="17" fillId="0" borderId="18" xfId="6" applyNumberFormat="1" applyFont="1" applyBorder="1" applyAlignment="1" applyProtection="1"/>
    <xf numFmtId="3" fontId="13" fillId="0" borderId="18" xfId="5" applyNumberFormat="1" applyBorder="1" applyAlignment="1"/>
    <xf numFmtId="172" fontId="17" fillId="0" borderId="18" xfId="6" applyNumberFormat="1" applyFont="1" applyBorder="1" applyAlignment="1" applyProtection="1"/>
    <xf numFmtId="173" fontId="17" fillId="0" borderId="18" xfId="6" applyNumberFormat="1" applyFont="1" applyBorder="1" applyAlignment="1" applyProtection="1"/>
    <xf numFmtId="11" fontId="17" fillId="0" borderId="18" xfId="5" applyNumberFormat="1" applyFont="1" applyBorder="1" applyAlignment="1"/>
    <xf numFmtId="170" fontId="17" fillId="0" borderId="18" xfId="6" applyNumberFormat="1" applyFont="1" applyBorder="1" applyAlignment="1" applyProtection="1"/>
    <xf numFmtId="0" fontId="17" fillId="0" borderId="18" xfId="5" applyFont="1" applyBorder="1" applyAlignment="1"/>
    <xf numFmtId="43" fontId="17" fillId="0" borderId="18" xfId="5" applyNumberFormat="1" applyFont="1" applyBorder="1" applyAlignment="1"/>
    <xf numFmtId="0" fontId="17" fillId="0" borderId="18" xfId="5" applyFont="1" applyBorder="1" applyAlignment="1" applyProtection="1"/>
    <xf numFmtId="0" fontId="17" fillId="0" borderId="24" xfId="5" applyFont="1" applyBorder="1" applyAlignment="1"/>
    <xf numFmtId="0" fontId="16" fillId="9" borderId="23" xfId="5" applyFont="1" applyFill="1" applyBorder="1"/>
    <xf numFmtId="0" fontId="16" fillId="9" borderId="25" xfId="5" applyFont="1" applyFill="1" applyBorder="1"/>
    <xf numFmtId="0" fontId="16" fillId="0" borderId="26" xfId="5" applyFont="1" applyBorder="1"/>
    <xf numFmtId="0" fontId="16" fillId="0" borderId="27" xfId="5" applyFont="1" applyBorder="1"/>
    <xf numFmtId="0" fontId="16" fillId="9" borderId="15" xfId="5" applyFont="1" applyFill="1" applyBorder="1"/>
    <xf numFmtId="0" fontId="16" fillId="9" borderId="28" xfId="5" applyFont="1" applyFill="1" applyBorder="1"/>
    <xf numFmtId="49" fontId="17" fillId="0" borderId="0" xfId="5" applyNumberFormat="1" applyFont="1" applyBorder="1" applyAlignment="1">
      <alignment horizontal="left"/>
    </xf>
    <xf numFmtId="0" fontId="7" fillId="0" borderId="0" xfId="3" applyFill="1"/>
    <xf numFmtId="0" fontId="16" fillId="9" borderId="15" xfId="5" applyFont="1" applyFill="1" applyBorder="1" applyAlignment="1">
      <alignment horizontal="left"/>
    </xf>
    <xf numFmtId="0" fontId="17" fillId="0" borderId="15" xfId="5" applyFont="1" applyBorder="1" applyAlignment="1">
      <alignment wrapText="1"/>
    </xf>
    <xf numFmtId="168" fontId="17" fillId="0" borderId="15" xfId="6" applyNumberFormat="1" applyFont="1" applyBorder="1" applyAlignment="1" applyProtection="1">
      <alignment wrapText="1"/>
    </xf>
    <xf numFmtId="170" fontId="17" fillId="0" borderId="15" xfId="6" applyNumberFormat="1" applyFont="1" applyBorder="1" applyAlignment="1" applyProtection="1">
      <alignment wrapText="1"/>
    </xf>
    <xf numFmtId="11" fontId="17" fillId="0" borderId="15" xfId="5" applyNumberFormat="1" applyFont="1" applyBorder="1" applyAlignment="1">
      <alignment wrapText="1"/>
    </xf>
    <xf numFmtId="171" fontId="17" fillId="0" borderId="15" xfId="6" applyNumberFormat="1" applyFont="1" applyBorder="1" applyAlignment="1" applyProtection="1">
      <alignment wrapText="1"/>
    </xf>
    <xf numFmtId="0" fontId="18" fillId="0" borderId="18" xfId="12" applyFont="1" applyFill="1" applyBorder="1" applyAlignment="1">
      <alignment wrapText="1"/>
    </xf>
    <xf numFmtId="167" fontId="18" fillId="0" borderId="18" xfId="7" applyFont="1" applyFill="1" applyBorder="1" applyAlignment="1">
      <alignment wrapText="1"/>
    </xf>
    <xf numFmtId="43" fontId="18" fillId="0" borderId="18" xfId="11" applyFont="1" applyFill="1" applyBorder="1" applyAlignment="1">
      <alignment wrapText="1"/>
    </xf>
    <xf numFmtId="11" fontId="18" fillId="0" borderId="18" xfId="12" applyNumberFormat="1" applyFont="1" applyFill="1" applyBorder="1" applyAlignment="1">
      <alignment wrapText="1"/>
    </xf>
    <xf numFmtId="169" fontId="18" fillId="0" borderId="18" xfId="11" applyNumberFormat="1" applyFont="1" applyFill="1" applyBorder="1" applyAlignment="1">
      <alignment wrapText="1"/>
    </xf>
    <xf numFmtId="1" fontId="18" fillId="0" borderId="18" xfId="11" applyNumberFormat="1" applyFont="1" applyFill="1" applyBorder="1" applyAlignment="1">
      <alignment wrapText="1"/>
    </xf>
    <xf numFmtId="0" fontId="18" fillId="0" borderId="22" xfId="5" applyFont="1" applyFill="1" applyBorder="1" applyAlignment="1">
      <alignment wrapText="1"/>
    </xf>
    <xf numFmtId="0" fontId="18" fillId="0" borderId="18" xfId="5" applyNumberFormat="1" applyFont="1" applyFill="1" applyBorder="1" applyAlignment="1">
      <alignment wrapText="1"/>
    </xf>
    <xf numFmtId="167" fontId="18" fillId="0" borderId="22" xfId="10" applyFont="1" applyFill="1" applyBorder="1" applyAlignment="1">
      <alignment wrapText="1"/>
    </xf>
    <xf numFmtId="167" fontId="18" fillId="0" borderId="18" xfId="10" applyFont="1" applyFill="1" applyBorder="1" applyAlignment="1">
      <alignment wrapText="1"/>
    </xf>
    <xf numFmtId="168" fontId="18" fillId="0" borderId="18" xfId="6" applyNumberFormat="1" applyFont="1" applyBorder="1" applyAlignment="1" applyProtection="1">
      <alignment wrapText="1"/>
    </xf>
    <xf numFmtId="0" fontId="13" fillId="0" borderId="18" xfId="5" applyBorder="1" applyAlignment="1">
      <alignment wrapText="1"/>
    </xf>
    <xf numFmtId="0" fontId="18" fillId="0" borderId="18" xfId="5" applyNumberFormat="1" applyFont="1" applyFill="1" applyBorder="1" applyAlignment="1"/>
    <xf numFmtId="0" fontId="18" fillId="0" borderId="18" xfId="5" applyFont="1" applyFill="1" applyBorder="1" applyAlignment="1"/>
    <xf numFmtId="167" fontId="18" fillId="0" borderId="18" xfId="10" applyFont="1" applyFill="1" applyBorder="1" applyAlignment="1"/>
    <xf numFmtId="0" fontId="18" fillId="0" borderId="18" xfId="5" applyFont="1" applyFill="1" applyBorder="1" applyAlignment="1" applyProtection="1">
      <alignment vertical="center"/>
    </xf>
    <xf numFmtId="39" fontId="18" fillId="0" borderId="18" xfId="10" applyNumberFormat="1" applyFont="1" applyFill="1" applyBorder="1" applyAlignment="1"/>
    <xf numFmtId="37" fontId="18" fillId="0" borderId="18" xfId="10" applyNumberFormat="1" applyFont="1" applyFill="1" applyBorder="1" applyAlignment="1"/>
    <xf numFmtId="174" fontId="17" fillId="0" borderId="15" xfId="6" applyNumberFormat="1" applyFont="1" applyBorder="1" applyAlignment="1" applyProtection="1">
      <alignment wrapText="1"/>
    </xf>
    <xf numFmtId="0" fontId="17" fillId="0" borderId="24" xfId="5" applyFont="1" applyBorder="1" applyAlignment="1">
      <alignment wrapText="1"/>
    </xf>
    <xf numFmtId="0" fontId="17" fillId="0" borderId="18" xfId="5" applyFont="1" applyBorder="1" applyAlignment="1" applyProtection="1">
      <alignment wrapText="1"/>
    </xf>
    <xf numFmtId="0" fontId="17" fillId="0" borderId="18" xfId="5" applyFont="1" applyBorder="1" applyAlignment="1">
      <alignment wrapText="1"/>
    </xf>
    <xf numFmtId="43" fontId="17" fillId="0" borderId="18" xfId="5" applyNumberFormat="1" applyFont="1" applyBorder="1" applyAlignment="1">
      <alignment wrapText="1"/>
    </xf>
    <xf numFmtId="170" fontId="17" fillId="0" borderId="18" xfId="6" applyNumberFormat="1" applyFont="1" applyBorder="1" applyAlignment="1" applyProtection="1">
      <alignment wrapText="1"/>
    </xf>
    <xf numFmtId="11" fontId="17" fillId="0" borderId="18" xfId="5" applyNumberFormat="1" applyFont="1" applyBorder="1" applyAlignment="1">
      <alignment wrapText="1"/>
    </xf>
    <xf numFmtId="173" fontId="17" fillId="0" borderId="18" xfId="6" applyNumberFormat="1" applyFont="1" applyBorder="1" applyAlignment="1" applyProtection="1">
      <alignment wrapText="1"/>
    </xf>
    <xf numFmtId="172" fontId="17" fillId="0" borderId="18" xfId="6" applyNumberFormat="1" applyFont="1" applyBorder="1" applyAlignment="1" applyProtection="1">
      <alignment wrapText="1"/>
    </xf>
    <xf numFmtId="3" fontId="13" fillId="0" borderId="18" xfId="5" applyNumberFormat="1" applyBorder="1" applyAlignment="1">
      <alignment wrapText="1"/>
    </xf>
    <xf numFmtId="2" fontId="17" fillId="0" borderId="18" xfId="6" applyNumberFormat="1" applyFont="1" applyBorder="1" applyAlignment="1" applyProtection="1">
      <alignment wrapText="1"/>
    </xf>
    <xf numFmtId="0" fontId="18" fillId="0" borderId="2" xfId="12" applyFont="1" applyFill="1" applyBorder="1" applyAlignment="1" applyProtection="1">
      <alignment vertical="center" wrapText="1"/>
    </xf>
    <xf numFmtId="0" fontId="18" fillId="0" borderId="2" xfId="5" applyFont="1" applyBorder="1" applyAlignment="1">
      <alignment wrapText="1"/>
    </xf>
    <xf numFmtId="168" fontId="18" fillId="0" borderId="2" xfId="6" applyNumberFormat="1" applyFont="1" applyBorder="1" applyAlignment="1" applyProtection="1"/>
    <xf numFmtId="0" fontId="18" fillId="0" borderId="2" xfId="5" applyFont="1" applyFill="1" applyBorder="1" applyAlignment="1" applyProtection="1">
      <alignment vertical="center" wrapText="1"/>
    </xf>
    <xf numFmtId="0" fontId="16" fillId="9" borderId="2" xfId="5" applyFont="1" applyFill="1" applyBorder="1"/>
    <xf numFmtId="0" fontId="17" fillId="0" borderId="29" xfId="5" applyFont="1" applyBorder="1" applyAlignment="1"/>
    <xf numFmtId="0" fontId="17" fillId="0" borderId="2" xfId="5" applyFont="1" applyBorder="1" applyAlignment="1" applyProtection="1"/>
    <xf numFmtId="0" fontId="17" fillId="0" borderId="2" xfId="5" applyFont="1" applyBorder="1" applyAlignment="1"/>
    <xf numFmtId="168" fontId="17" fillId="0" borderId="2" xfId="6" applyNumberFormat="1" applyFont="1" applyBorder="1" applyAlignment="1" applyProtection="1"/>
    <xf numFmtId="43" fontId="17" fillId="0" borderId="2" xfId="5" applyNumberFormat="1" applyFont="1" applyBorder="1" applyAlignment="1"/>
    <xf numFmtId="170" fontId="17" fillId="0" borderId="2" xfId="6" applyNumberFormat="1" applyFont="1" applyBorder="1" applyAlignment="1" applyProtection="1"/>
    <xf numFmtId="173" fontId="17" fillId="0" borderId="2" xfId="6" applyNumberFormat="1" applyFont="1" applyBorder="1" applyAlignment="1" applyProtection="1"/>
    <xf numFmtId="172" fontId="17" fillId="0" borderId="2" xfId="6" applyNumberFormat="1" applyFont="1" applyBorder="1" applyAlignment="1" applyProtection="1"/>
    <xf numFmtId="3" fontId="13" fillId="0" borderId="2" xfId="5" applyNumberFormat="1" applyBorder="1" applyAlignment="1"/>
    <xf numFmtId="2" fontId="17" fillId="0" borderId="2" xfId="6" applyNumberFormat="1" applyFont="1" applyBorder="1" applyAlignment="1" applyProtection="1"/>
    <xf numFmtId="0" fontId="16" fillId="9" borderId="2" xfId="5" applyFont="1" applyFill="1" applyBorder="1" applyAlignment="1">
      <alignment horizontal="right"/>
    </xf>
    <xf numFmtId="0" fontId="16" fillId="9" borderId="29" xfId="5" applyFont="1" applyFill="1" applyBorder="1"/>
    <xf numFmtId="168" fontId="17" fillId="0" borderId="2" xfId="6" applyNumberFormat="1" applyFont="1" applyBorder="1" applyAlignment="1" applyProtection="1">
      <alignment wrapText="1"/>
    </xf>
    <xf numFmtId="0" fontId="18" fillId="0" borderId="2" xfId="9" applyFont="1" applyFill="1" applyBorder="1" applyAlignment="1">
      <alignment wrapText="1"/>
    </xf>
    <xf numFmtId="0" fontId="18" fillId="0" borderId="2" xfId="12" applyFont="1" applyFill="1" applyBorder="1" applyAlignment="1">
      <alignment wrapText="1"/>
    </xf>
    <xf numFmtId="167" fontId="18" fillId="0" borderId="2" xfId="7" applyFont="1" applyFill="1" applyBorder="1" applyAlignment="1">
      <alignment wrapText="1"/>
    </xf>
    <xf numFmtId="43" fontId="18" fillId="0" borderId="2" xfId="11" applyFont="1" applyFill="1" applyBorder="1" applyAlignment="1">
      <alignment wrapText="1"/>
    </xf>
    <xf numFmtId="11" fontId="18" fillId="0" borderId="2" xfId="12" applyNumberFormat="1" applyFont="1" applyFill="1" applyBorder="1" applyAlignment="1">
      <alignment wrapText="1"/>
    </xf>
    <xf numFmtId="169" fontId="18" fillId="0" borderId="2" xfId="11" applyNumberFormat="1" applyFont="1" applyFill="1" applyBorder="1" applyAlignment="1">
      <alignment wrapText="1"/>
    </xf>
    <xf numFmtId="1" fontId="18" fillId="0" borderId="2" xfId="11" applyNumberFormat="1" applyFont="1" applyFill="1" applyBorder="1" applyAlignment="1">
      <alignment wrapText="1"/>
    </xf>
    <xf numFmtId="0" fontId="18" fillId="0" borderId="2" xfId="5" applyFont="1" applyBorder="1" applyAlignment="1"/>
    <xf numFmtId="0" fontId="18" fillId="0" borderId="2" xfId="5" applyNumberFormat="1" applyFont="1" applyFill="1" applyBorder="1" applyAlignment="1">
      <alignment wrapText="1"/>
    </xf>
    <xf numFmtId="0" fontId="18" fillId="0" borderId="2" xfId="5" applyFont="1" applyFill="1" applyBorder="1" applyAlignment="1">
      <alignment wrapText="1"/>
    </xf>
    <xf numFmtId="167" fontId="18" fillId="0" borderId="2" xfId="10" applyFont="1" applyFill="1" applyBorder="1" applyAlignment="1">
      <alignment wrapText="1"/>
    </xf>
    <xf numFmtId="0" fontId="18" fillId="0" borderId="22" xfId="5" applyFont="1" applyFill="1" applyBorder="1" applyAlignment="1"/>
    <xf numFmtId="0" fontId="18" fillId="0" borderId="2" xfId="5" applyNumberFormat="1" applyFont="1" applyFill="1" applyBorder="1" applyAlignment="1"/>
    <xf numFmtId="167" fontId="18" fillId="0" borderId="22" xfId="10" applyFont="1" applyFill="1" applyBorder="1" applyAlignment="1"/>
    <xf numFmtId="0" fontId="18" fillId="0" borderId="2" xfId="5" applyFont="1" applyFill="1" applyBorder="1" applyAlignment="1"/>
    <xf numFmtId="167" fontId="18" fillId="0" borderId="2" xfId="10" applyFont="1" applyFill="1" applyBorder="1" applyAlignment="1"/>
    <xf numFmtId="0" fontId="13" fillId="0" borderId="2" xfId="5" applyBorder="1" applyAlignment="1"/>
    <xf numFmtId="0" fontId="14" fillId="0" borderId="2" xfId="9" applyFont="1" applyFill="1" applyBorder="1" applyAlignment="1"/>
    <xf numFmtId="0" fontId="18" fillId="0" borderId="2" xfId="5" applyFont="1" applyFill="1" applyBorder="1" applyAlignment="1" applyProtection="1">
      <alignment vertical="center"/>
    </xf>
    <xf numFmtId="39" fontId="18" fillId="0" borderId="2" xfId="10" applyNumberFormat="1" applyFont="1" applyFill="1" applyBorder="1" applyAlignment="1"/>
    <xf numFmtId="37" fontId="18" fillId="0" borderId="2" xfId="10" applyNumberFormat="1" applyFont="1" applyFill="1" applyBorder="1" applyAlignment="1"/>
    <xf numFmtId="0" fontId="17" fillId="0" borderId="29" xfId="5" applyFont="1" applyBorder="1" applyAlignment="1">
      <alignment wrapText="1"/>
    </xf>
    <xf numFmtId="0" fontId="17" fillId="0" borderId="2" xfId="5" applyFont="1" applyBorder="1" applyAlignment="1" applyProtection="1">
      <alignment wrapText="1"/>
    </xf>
    <xf numFmtId="0" fontId="17" fillId="0" borderId="2" xfId="5" applyFont="1" applyBorder="1" applyAlignment="1">
      <alignment wrapText="1"/>
    </xf>
    <xf numFmtId="43" fontId="17" fillId="0" borderId="2" xfId="5" applyNumberFormat="1" applyFont="1" applyBorder="1" applyAlignment="1">
      <alignment wrapText="1"/>
    </xf>
    <xf numFmtId="170" fontId="17" fillId="0" borderId="2" xfId="6" applyNumberFormat="1" applyFont="1" applyBorder="1" applyAlignment="1" applyProtection="1">
      <alignment wrapText="1"/>
    </xf>
    <xf numFmtId="11" fontId="17" fillId="0" borderId="2" xfId="5" applyNumberFormat="1" applyFont="1" applyBorder="1" applyAlignment="1">
      <alignment wrapText="1"/>
    </xf>
    <xf numFmtId="173" fontId="17" fillId="0" borderId="2" xfId="6" applyNumberFormat="1" applyFont="1" applyBorder="1" applyAlignment="1" applyProtection="1">
      <alignment wrapText="1"/>
    </xf>
    <xf numFmtId="172" fontId="17" fillId="0" borderId="2" xfId="6" applyNumberFormat="1" applyFont="1" applyBorder="1" applyAlignment="1" applyProtection="1">
      <alignment wrapText="1"/>
    </xf>
    <xf numFmtId="3" fontId="13" fillId="0" borderId="2" xfId="5" applyNumberFormat="1" applyBorder="1" applyAlignment="1">
      <alignment wrapText="1"/>
    </xf>
    <xf numFmtId="2" fontId="17" fillId="0" borderId="2" xfId="6" applyNumberFormat="1" applyFont="1" applyBorder="1" applyAlignment="1" applyProtection="1">
      <alignment wrapText="1"/>
    </xf>
    <xf numFmtId="0" fontId="7" fillId="2" borderId="2" xfId="3" applyFill="1" applyBorder="1" applyAlignment="1">
      <alignment horizontal="left"/>
    </xf>
  </cellXfs>
  <cellStyles count="13">
    <cellStyle name="Comma 2" xfId="2" xr:uid="{00000000-0005-0000-0000-000000000000}"/>
    <cellStyle name="Lien hypertexte" xfId="3" builtinId="8"/>
    <cellStyle name="Milliers 2" xfId="8" xr:uid="{00000000-0005-0000-0000-000002000000}"/>
    <cellStyle name="Milliers 2 2" xfId="11" xr:uid="{00000000-0005-0000-0000-000003000000}"/>
    <cellStyle name="Monétaire 10" xfId="10" xr:uid="{00000000-0005-0000-0000-000004000000}"/>
    <cellStyle name="Monétaire 2" xfId="7" xr:uid="{00000000-0005-0000-0000-000005000000}"/>
    <cellStyle name="Normal" xfId="0" builtinId="0"/>
    <cellStyle name="Normal 2" xfId="1" xr:uid="{00000000-0005-0000-0000-000007000000}"/>
    <cellStyle name="Normal 3" xfId="4" xr:uid="{00000000-0005-0000-0000-000008000000}"/>
    <cellStyle name="Normal 4" xfId="5" xr:uid="{00000000-0005-0000-0000-000009000000}"/>
    <cellStyle name="Normal 5" xfId="12" xr:uid="{00000000-0005-0000-0000-00000A000000}"/>
    <cellStyle name="Normal_Sheet1" xfId="9" xr:uid="{00000000-0005-0000-0000-00000B000000}"/>
    <cellStyle name="TableStyleLight1" xfId="6" xr:uid="{00000000-0005-0000-0000-00000C000000}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449580</xdr:colOff>
      <xdr:row>15</xdr:row>
      <xdr:rowOff>139701</xdr:rowOff>
    </xdr:from>
    <xdr:to>
      <xdr:col>13</xdr:col>
      <xdr:colOff>414418</xdr:colOff>
      <xdr:row>24</xdr:row>
      <xdr:rowOff>203200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8E01EE-D5C9-4656-995C-562BE1FC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31580" y="3187701"/>
          <a:ext cx="1793638" cy="1777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518583</xdr:colOff>
      <xdr:row>12</xdr:row>
      <xdr:rowOff>95250</xdr:rowOff>
    </xdr:from>
    <xdr:ext cx="1050227" cy="113876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2143" y="2289810"/>
          <a:ext cx="1050227" cy="11387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67376</xdr:rowOff>
    </xdr:from>
    <xdr:ext cx="7724777" cy="5873717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020780" y="-667654"/>
          <a:ext cx="5873717" cy="772477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455813</xdr:colOff>
      <xdr:row>13</xdr:row>
      <xdr:rowOff>340</xdr:rowOff>
    </xdr:from>
    <xdr:to>
      <xdr:col>13</xdr:col>
      <xdr:colOff>266589</xdr:colOff>
      <xdr:row>24</xdr:row>
      <xdr:rowOff>72887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73987" y="2412236"/>
          <a:ext cx="2302185" cy="28289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114301</xdr:rowOff>
    </xdr:from>
    <xdr:to>
      <xdr:col>9</xdr:col>
      <xdr:colOff>645360</xdr:colOff>
      <xdr:row>29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97181"/>
          <a:ext cx="7831020" cy="512063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443948</xdr:colOff>
      <xdr:row>12</xdr:row>
      <xdr:rowOff>159025</xdr:rowOff>
    </xdr:from>
    <xdr:to>
      <xdr:col>13</xdr:col>
      <xdr:colOff>374246</xdr:colOff>
      <xdr:row>19</xdr:row>
      <xdr:rowOff>53008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3461" y="2385390"/>
          <a:ext cx="2421707" cy="17294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769739</xdr:colOff>
      <xdr:row>30</xdr:row>
      <xdr:rowOff>160021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1"/>
          <a:ext cx="8069699" cy="52806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390940</xdr:colOff>
      <xdr:row>12</xdr:row>
      <xdr:rowOff>152400</xdr:rowOff>
    </xdr:from>
    <xdr:to>
      <xdr:col>13</xdr:col>
      <xdr:colOff>141461</xdr:colOff>
      <xdr:row>21</xdr:row>
      <xdr:rowOff>139148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3427" y="2378765"/>
          <a:ext cx="2241930" cy="201433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160020</xdr:rowOff>
    </xdr:from>
    <xdr:to>
      <xdr:col>10</xdr:col>
      <xdr:colOff>119687</xdr:colOff>
      <xdr:row>30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7160" y="342900"/>
          <a:ext cx="8074967" cy="528828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389468</xdr:colOff>
      <xdr:row>12</xdr:row>
      <xdr:rowOff>143899</xdr:rowOff>
    </xdr:from>
    <xdr:to>
      <xdr:col>12</xdr:col>
      <xdr:colOff>339473</xdr:colOff>
      <xdr:row>19</xdr:row>
      <xdr:rowOff>33866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0335" y="2379099"/>
          <a:ext cx="1829605" cy="154943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55246</xdr:rowOff>
    </xdr:from>
    <xdr:to>
      <xdr:col>10</xdr:col>
      <xdr:colOff>14014</xdr:colOff>
      <xdr:row>30</xdr:row>
      <xdr:rowOff>9526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45746"/>
          <a:ext cx="7843564" cy="5478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13</xdr:row>
      <xdr:rowOff>175986</xdr:rowOff>
    </xdr:from>
    <xdr:ext cx="2819187" cy="287201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0714" y="2766786"/>
          <a:ext cx="2819187" cy="287201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349250</xdr:colOff>
      <xdr:row>11</xdr:row>
      <xdr:rowOff>67734</xdr:rowOff>
    </xdr:from>
    <xdr:to>
      <xdr:col>11</xdr:col>
      <xdr:colOff>545095</xdr:colOff>
      <xdr:row>17</xdr:row>
      <xdr:rowOff>182034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0" y="2353734"/>
          <a:ext cx="1423512" cy="1447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147800</xdr:colOff>
      <xdr:row>1</xdr:row>
      <xdr:rowOff>97951</xdr:rowOff>
    </xdr:from>
    <xdr:to>
      <xdr:col>9</xdr:col>
      <xdr:colOff>320136</xdr:colOff>
      <xdr:row>32</xdr:row>
      <xdr:rowOff>123829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21104" y="-384853"/>
          <a:ext cx="5931378" cy="7277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7789083" cy="5053693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1950"/>
          <a:ext cx="7789083" cy="505369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262466</xdr:colOff>
      <xdr:row>11</xdr:row>
      <xdr:rowOff>174413</xdr:rowOff>
    </xdr:from>
    <xdr:ext cx="1854664" cy="176445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866" y="2223346"/>
          <a:ext cx="1854664" cy="176445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131445</xdr:colOff>
      <xdr:row>1</xdr:row>
      <xdr:rowOff>160019</xdr:rowOff>
    </xdr:from>
    <xdr:ext cx="7694696" cy="5002531"/>
    <xdr:pic>
      <xdr:nvPicPr>
        <xdr:cNvPr id="2" name="Image 1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1445" y="340994"/>
          <a:ext cx="7694696" cy="500253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238538</xdr:colOff>
      <xdr:row>12</xdr:row>
      <xdr:rowOff>75712</xdr:rowOff>
    </xdr:from>
    <xdr:ext cx="1961323" cy="1859056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0" y="2302077"/>
          <a:ext cx="1961323" cy="185905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76201</xdr:colOff>
      <xdr:row>1</xdr:row>
      <xdr:rowOff>163287</xdr:rowOff>
    </xdr:from>
    <xdr:ext cx="7564966" cy="4941108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1" y="353787"/>
          <a:ext cx="7564966" cy="494110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355601</xdr:colOff>
      <xdr:row>11</xdr:row>
      <xdr:rowOff>67735</xdr:rowOff>
    </xdr:from>
    <xdr:ext cx="1205322" cy="131233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0734" y="2116668"/>
          <a:ext cx="1205322" cy="1312332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104775</xdr:rowOff>
    </xdr:from>
    <xdr:ext cx="7597775" cy="4955711"/>
    <xdr:pic>
      <xdr:nvPicPr>
        <xdr:cNvPr id="2" name="Image 1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5725" y="295275"/>
          <a:ext cx="7597775" cy="49557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6"/>
  <sheetViews>
    <sheetView zoomScale="70" zoomScaleNormal="70" workbookViewId="0">
      <pane xSplit="3" ySplit="6" topLeftCell="D7" activePane="bottomRight" state="frozen"/>
      <selection activeCell="B40" sqref="B40"/>
      <selection pane="topRight" activeCell="B40" sqref="B40"/>
      <selection pane="bottomLeft" activeCell="B40" sqref="B40"/>
      <selection pane="bottomRight" activeCell="C14" sqref="C14"/>
    </sheetView>
  </sheetViews>
  <sheetFormatPr baseColWidth="10" defaultColWidth="9.140625" defaultRowHeight="12.75" x14ac:dyDescent="0.2"/>
  <cols>
    <col min="1" max="1" width="17.42578125" style="2" bestFit="1" customWidth="1"/>
    <col min="2" max="2" width="33.5703125" style="1" customWidth="1"/>
    <col min="3" max="3" width="13.5703125" style="2" customWidth="1"/>
    <col min="4" max="4" width="10" style="2" bestFit="1" customWidth="1"/>
    <col min="5" max="5" width="11.85546875" style="2" customWidth="1"/>
    <col min="6" max="6" width="39.140625" style="4" customWidth="1"/>
    <col min="7" max="7" width="13" style="2" customWidth="1"/>
    <col min="8" max="8" width="11" style="2" bestFit="1" customWidth="1"/>
    <col min="9" max="9" width="10.42578125" style="3" customWidth="1"/>
    <col min="10" max="10" width="11.85546875" style="3" customWidth="1"/>
    <col min="11" max="13" width="10.42578125" style="3" customWidth="1"/>
    <col min="14" max="14" width="11.140625" style="2" customWidth="1"/>
    <col min="15" max="15" width="11.140625" style="1" customWidth="1"/>
    <col min="16" max="16384" width="9.140625" style="1"/>
  </cols>
  <sheetData>
    <row r="1" spans="1:15" ht="15.75" thickBot="1" x14ac:dyDescent="0.3">
      <c r="A1" s="60" t="s">
        <v>24</v>
      </c>
      <c r="B1" s="59" t="s">
        <v>23</v>
      </c>
      <c r="D1" s="48"/>
      <c r="M1" s="58" t="s">
        <v>22</v>
      </c>
      <c r="N1" s="57"/>
      <c r="O1" s="56" t="e">
        <f>#REF!</f>
        <v>#REF!</v>
      </c>
    </row>
    <row r="2" spans="1:15" s="46" customFormat="1" ht="15.75" thickBot="1" x14ac:dyDescent="0.3">
      <c r="A2" s="55" t="s">
        <v>21</v>
      </c>
      <c r="B2" s="54" t="s">
        <v>20</v>
      </c>
      <c r="C2" s="49"/>
      <c r="F2" s="47"/>
    </row>
    <row r="3" spans="1:15" s="46" customFormat="1" ht="16.5" thickTop="1" thickBot="1" x14ac:dyDescent="0.3">
      <c r="A3" s="53" t="s">
        <v>19</v>
      </c>
      <c r="B3" s="52">
        <v>2018</v>
      </c>
      <c r="C3" s="49"/>
      <c r="F3" s="47"/>
    </row>
    <row r="4" spans="1:15" s="46" customFormat="1" ht="16.5" thickTop="1" thickBot="1" x14ac:dyDescent="0.3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.75" thickTop="1" x14ac:dyDescent="0.25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5" x14ac:dyDescent="0.25">
      <c r="A7" s="35"/>
      <c r="B7" s="34" t="s">
        <v>80</v>
      </c>
      <c r="C7" s="32" t="str">
        <f>WT_A0100</f>
        <v>WT A0100</v>
      </c>
      <c r="D7" s="32" t="s">
        <v>1</v>
      </c>
      <c r="E7" s="32"/>
      <c r="F7" s="33" t="str">
        <f>'WT A0100'!B4</f>
        <v>Wheel Assembly</v>
      </c>
      <c r="G7" s="32"/>
      <c r="H7" s="31">
        <f t="shared" ref="H7:H19" si="0">SUM(J7:M7)</f>
        <v>175.23</v>
      </c>
      <c r="I7" s="30">
        <f>WT_A0100_q</f>
        <v>4</v>
      </c>
      <c r="J7" s="29">
        <f>WT_A0100_m</f>
        <v>170</v>
      </c>
      <c r="K7" s="29">
        <f>WT_A0100_p</f>
        <v>3.63</v>
      </c>
      <c r="L7" s="29">
        <f>WT_A0100_f</f>
        <v>1.6</v>
      </c>
      <c r="M7" s="29">
        <v>0</v>
      </c>
      <c r="N7" s="28">
        <f t="shared" ref="N7:N13" si="1">H7*I7</f>
        <v>700.92</v>
      </c>
      <c r="O7" s="27"/>
    </row>
    <row r="8" spans="1:15" ht="15" x14ac:dyDescent="0.25">
      <c r="A8" s="35"/>
      <c r="B8" s="34" t="s">
        <v>80</v>
      </c>
      <c r="C8" s="61" t="s">
        <v>25</v>
      </c>
      <c r="D8" s="32" t="s">
        <v>1</v>
      </c>
      <c r="E8" s="32"/>
      <c r="F8" s="33" t="str">
        <f>'WT A0200'!B4</f>
        <v>Front Hubs</v>
      </c>
      <c r="G8" s="32"/>
      <c r="H8" s="31">
        <f t="shared" si="0"/>
        <v>249.36436975382847</v>
      </c>
      <c r="I8" s="30">
        <f>WT_A0200_q</f>
        <v>2</v>
      </c>
      <c r="J8" s="29">
        <f>WT_A0200_m</f>
        <v>243.47088403557726</v>
      </c>
      <c r="K8" s="29">
        <f>WT_A0200_p</f>
        <v>1.6314000000000002</v>
      </c>
      <c r="L8" s="29">
        <f>WT_A0200_f</f>
        <v>4.2620857182511926</v>
      </c>
      <c r="M8" s="29">
        <v>0</v>
      </c>
      <c r="N8" s="28">
        <f t="shared" si="1"/>
        <v>498.72873950765694</v>
      </c>
      <c r="O8" s="27"/>
    </row>
    <row r="9" spans="1:15" ht="15" x14ac:dyDescent="0.25">
      <c r="A9" s="25"/>
      <c r="B9" s="24" t="s">
        <v>80</v>
      </c>
      <c r="C9" s="26" t="s">
        <v>26</v>
      </c>
      <c r="D9" s="23" t="s">
        <v>1</v>
      </c>
      <c r="E9" s="23" t="str">
        <f>F$8</f>
        <v>Front Hubs</v>
      </c>
      <c r="F9" s="229" t="str">
        <f>'WT 02001'!B5</f>
        <v>Front Hub</v>
      </c>
      <c r="G9" s="23"/>
      <c r="H9" s="22">
        <f t="shared" si="0"/>
        <v>64.158517485600001</v>
      </c>
      <c r="I9" s="21">
        <f>WT_A0200_q*WT_02001_q</f>
        <v>2</v>
      </c>
      <c r="J9" s="20">
        <f>WT_02001_m</f>
        <v>13.751077485600002</v>
      </c>
      <c r="K9" s="20">
        <f>WT_02001_p</f>
        <v>50.407440000000001</v>
      </c>
      <c r="L9" s="20">
        <v>0</v>
      </c>
      <c r="M9" s="20">
        <v>0</v>
      </c>
      <c r="N9" s="19">
        <f t="shared" si="1"/>
        <v>128.3170349712</v>
      </c>
      <c r="O9" s="18"/>
    </row>
    <row r="10" spans="1:15" ht="15" x14ac:dyDescent="0.25">
      <c r="A10" s="25"/>
      <c r="B10" s="24" t="s">
        <v>80</v>
      </c>
      <c r="C10" s="26" t="s">
        <v>27</v>
      </c>
      <c r="D10" s="23" t="s">
        <v>1</v>
      </c>
      <c r="E10" s="23" t="str">
        <f t="shared" ref="E10:E13" si="2">F$8</f>
        <v>Front Hubs</v>
      </c>
      <c r="F10" s="229" t="str">
        <f>'WT 02002'!B5</f>
        <v>Wheel bearing spacer</v>
      </c>
      <c r="G10" s="23"/>
      <c r="H10" s="22">
        <f t="shared" si="0"/>
        <v>2.6214313574000001</v>
      </c>
      <c r="I10" s="21">
        <f>WT_A0200_q*WT_02002_q</f>
        <v>2</v>
      </c>
      <c r="J10" s="20">
        <f>WT_02002_m</f>
        <v>0.24343135739999999</v>
      </c>
      <c r="K10" s="20">
        <f>WT_02002_p</f>
        <v>2.3780000000000001</v>
      </c>
      <c r="L10" s="20">
        <v>0</v>
      </c>
      <c r="M10" s="20">
        <v>0</v>
      </c>
      <c r="N10" s="19">
        <f t="shared" si="1"/>
        <v>5.2428627148000002</v>
      </c>
      <c r="O10" s="18"/>
    </row>
    <row r="11" spans="1:15" ht="15" x14ac:dyDescent="0.25">
      <c r="A11" s="25"/>
      <c r="B11" s="24" t="s">
        <v>80</v>
      </c>
      <c r="C11" s="26" t="s">
        <v>28</v>
      </c>
      <c r="D11" s="23" t="s">
        <v>1</v>
      </c>
      <c r="E11" s="23" t="str">
        <f t="shared" si="2"/>
        <v>Front Hubs</v>
      </c>
      <c r="F11" s="229" t="str">
        <f>'WT 02003'!B5</f>
        <v>Front Wheel Spacer</v>
      </c>
      <c r="G11" s="23"/>
      <c r="H11" s="22">
        <f t="shared" si="0"/>
        <v>20.676657798400001</v>
      </c>
      <c r="I11" s="21">
        <f>WT_A0200_q*WT_02003_q</f>
        <v>2</v>
      </c>
      <c r="J11" s="20">
        <f>WT_02003_m</f>
        <v>3.626657798400001</v>
      </c>
      <c r="K11" s="20">
        <f>WT_02003_p</f>
        <v>17.05</v>
      </c>
      <c r="L11" s="20">
        <v>0</v>
      </c>
      <c r="M11" s="20">
        <v>0</v>
      </c>
      <c r="N11" s="19">
        <f t="shared" si="1"/>
        <v>41.353315596800002</v>
      </c>
      <c r="O11" s="18"/>
    </row>
    <row r="12" spans="1:15" ht="15" x14ac:dyDescent="0.25">
      <c r="A12" s="25"/>
      <c r="B12" s="24" t="s">
        <v>80</v>
      </c>
      <c r="C12" s="26" t="s">
        <v>29</v>
      </c>
      <c r="D12" s="23" t="s">
        <v>1</v>
      </c>
      <c r="E12" s="23" t="str">
        <f t="shared" si="2"/>
        <v>Front Hubs</v>
      </c>
      <c r="F12" s="229" t="str">
        <f>'WT 02004'!B5</f>
        <v>Speed sensor spacer</v>
      </c>
      <c r="G12" s="23"/>
      <c r="H12" s="22">
        <f t="shared" si="0"/>
        <v>0.95013112</v>
      </c>
      <c r="I12" s="21">
        <f>WT_A0200_q*WT_02004_q</f>
        <v>2</v>
      </c>
      <c r="J12" s="20">
        <f>WT_02004_m</f>
        <v>4.6131120000000005E-2</v>
      </c>
      <c r="K12" s="20">
        <f>WT_02004_p</f>
        <v>0.90400000000000003</v>
      </c>
      <c r="L12" s="20">
        <v>0</v>
      </c>
      <c r="M12" s="20">
        <v>0</v>
      </c>
      <c r="N12" s="19">
        <f t="shared" si="1"/>
        <v>1.90026224</v>
      </c>
      <c r="O12" s="18"/>
    </row>
    <row r="13" spans="1:15" ht="15" x14ac:dyDescent="0.25">
      <c r="A13" s="25"/>
      <c r="B13" s="24" t="s">
        <v>80</v>
      </c>
      <c r="C13" s="26" t="s">
        <v>30</v>
      </c>
      <c r="D13" s="23" t="s">
        <v>1</v>
      </c>
      <c r="E13" s="23" t="str">
        <f t="shared" si="2"/>
        <v>Front Hubs</v>
      </c>
      <c r="F13" s="229" t="str">
        <f>'WT 02005'!B5</f>
        <v>Speed Sensor Disc</v>
      </c>
      <c r="G13" s="23"/>
      <c r="H13" s="22">
        <f t="shared" si="0"/>
        <v>3.9701600000000004</v>
      </c>
      <c r="I13" s="21">
        <f>WT_A0200_q*WT_02005_q</f>
        <v>2</v>
      </c>
      <c r="J13" s="20">
        <f>WT_02005_m</f>
        <v>0.45216000000000006</v>
      </c>
      <c r="K13" s="20">
        <f>WT_02005_p</f>
        <v>3.5180000000000002</v>
      </c>
      <c r="L13" s="20">
        <v>0</v>
      </c>
      <c r="M13" s="20">
        <v>0</v>
      </c>
      <c r="N13" s="19">
        <f t="shared" si="1"/>
        <v>7.9403200000000007</v>
      </c>
      <c r="O13" s="18"/>
    </row>
    <row r="14" spans="1:15" ht="15" x14ac:dyDescent="0.25">
      <c r="A14" s="35"/>
      <c r="B14" s="34" t="s">
        <v>80</v>
      </c>
      <c r="C14" s="32" t="s">
        <v>31</v>
      </c>
      <c r="D14" s="32" t="s">
        <v>1</v>
      </c>
      <c r="E14" s="32"/>
      <c r="F14" s="33" t="str">
        <f>'WT A0300'!B4</f>
        <v>Rear Hubs</v>
      </c>
      <c r="G14" s="62"/>
      <c r="H14" s="31">
        <f t="shared" si="0"/>
        <v>205.23573875018587</v>
      </c>
      <c r="I14" s="63">
        <f>WT_A0300_q</f>
        <v>2</v>
      </c>
      <c r="J14" s="29">
        <f>WT_A0300_m</f>
        <v>199.53225303193469</v>
      </c>
      <c r="K14" s="29">
        <f>WT_A0300_p</f>
        <v>1.4414000000000002</v>
      </c>
      <c r="L14" s="29">
        <f>WT_A0300_f</f>
        <v>4.2620857182511926</v>
      </c>
      <c r="M14" s="29">
        <v>0</v>
      </c>
      <c r="N14" s="28">
        <f t="shared" ref="N14:N19" si="3">H14*I14</f>
        <v>410.47147750037175</v>
      </c>
      <c r="O14" s="29"/>
    </row>
    <row r="15" spans="1:15" ht="15" x14ac:dyDescent="0.25">
      <c r="A15" s="25"/>
      <c r="B15" s="24" t="s">
        <v>80</v>
      </c>
      <c r="C15" s="26" t="str">
        <f>WT_03001</f>
        <v>WT 03001</v>
      </c>
      <c r="D15" s="23" t="s">
        <v>1</v>
      </c>
      <c r="E15" s="23" t="str">
        <f>F$14</f>
        <v>Rear Hubs</v>
      </c>
      <c r="F15" s="229" t="str">
        <f>'WT 03001'!B5</f>
        <v>Rear Hub</v>
      </c>
      <c r="G15" s="23"/>
      <c r="H15" s="22">
        <f t="shared" si="0"/>
        <v>52.730637179680002</v>
      </c>
      <c r="I15" s="21">
        <f>WT_A0300_q*WT_03001_q</f>
        <v>2</v>
      </c>
      <c r="J15" s="20">
        <f>WT_03001_m</f>
        <v>12.058637179680003</v>
      </c>
      <c r="K15" s="20">
        <f>WT_03001_p</f>
        <v>40.671999999999997</v>
      </c>
      <c r="L15" s="20">
        <v>0</v>
      </c>
      <c r="M15" s="20">
        <v>0</v>
      </c>
      <c r="N15" s="19">
        <f t="shared" si="3"/>
        <v>105.46127435936</v>
      </c>
      <c r="O15" s="18"/>
    </row>
    <row r="16" spans="1:15" ht="15" x14ac:dyDescent="0.25">
      <c r="A16" s="25"/>
      <c r="B16" s="24" t="s">
        <v>80</v>
      </c>
      <c r="C16" s="26" t="str">
        <f>WT_03002</f>
        <v>WT 03002</v>
      </c>
      <c r="D16" s="23" t="s">
        <v>1</v>
      </c>
      <c r="E16" s="23" t="str">
        <f t="shared" ref="E16:E19" si="4">F$14</f>
        <v>Rear Hubs</v>
      </c>
      <c r="F16" s="229" t="str">
        <f>'WT 03002'!B5</f>
        <v>Wheel bearing spacer</v>
      </c>
      <c r="G16" s="23"/>
      <c r="H16" s="22">
        <f t="shared" si="0"/>
        <v>3.9690868631840006</v>
      </c>
      <c r="I16" s="21">
        <f>WT_A0300_q*WT_03002_q</f>
        <v>2</v>
      </c>
      <c r="J16" s="20">
        <f>WT_03002_m</f>
        <v>0.66708686318400001</v>
      </c>
      <c r="K16" s="20">
        <f>WT_03002_p</f>
        <v>3.3020000000000005</v>
      </c>
      <c r="L16" s="20">
        <v>0</v>
      </c>
      <c r="M16" s="20">
        <v>0</v>
      </c>
      <c r="N16" s="19">
        <f t="shared" si="3"/>
        <v>7.9381737263680012</v>
      </c>
      <c r="O16" s="18"/>
    </row>
    <row r="17" spans="1:15" ht="15" x14ac:dyDescent="0.25">
      <c r="A17" s="25"/>
      <c r="B17" s="24" t="s">
        <v>80</v>
      </c>
      <c r="C17" s="26" t="str">
        <f>WT_03003</f>
        <v>WT 03003</v>
      </c>
      <c r="D17" s="23" t="s">
        <v>1</v>
      </c>
      <c r="E17" s="23" t="str">
        <f t="shared" si="4"/>
        <v>Rear Hubs</v>
      </c>
      <c r="F17" s="229" t="str">
        <f>'WT 03003'!B5</f>
        <v>Rear Wheel Spacer</v>
      </c>
      <c r="G17" s="23"/>
      <c r="H17" s="22">
        <f t="shared" si="0"/>
        <v>22.316657798400001</v>
      </c>
      <c r="I17" s="21">
        <f>WT_A0300_q*WT_03003_q</f>
        <v>2</v>
      </c>
      <c r="J17" s="20">
        <f>WT_03003_m</f>
        <v>3.626657798400001</v>
      </c>
      <c r="K17" s="20">
        <f>WT_03003_p</f>
        <v>18.690000000000001</v>
      </c>
      <c r="L17" s="20">
        <v>0</v>
      </c>
      <c r="M17" s="20">
        <v>0</v>
      </c>
      <c r="N17" s="19">
        <f t="shared" si="3"/>
        <v>44.633315596800003</v>
      </c>
      <c r="O17" s="18"/>
    </row>
    <row r="18" spans="1:15" ht="15" x14ac:dyDescent="0.25">
      <c r="A18" s="25"/>
      <c r="B18" s="24" t="s">
        <v>80</v>
      </c>
      <c r="C18" s="26" t="str">
        <f>WT_03004</f>
        <v>WT 03004</v>
      </c>
      <c r="D18" s="23" t="s">
        <v>1</v>
      </c>
      <c r="E18" s="23" t="str">
        <f t="shared" si="4"/>
        <v>Rear Hubs</v>
      </c>
      <c r="F18" s="229" t="str">
        <f>'WT 03004'!B5</f>
        <v>Tripod housing spacer</v>
      </c>
      <c r="G18" s="23"/>
      <c r="H18" s="22">
        <f t="shared" si="0"/>
        <v>3.9037398677120008</v>
      </c>
      <c r="I18" s="21">
        <f>WT_A0300_q*WT_03004_q</f>
        <v>2</v>
      </c>
      <c r="J18" s="20">
        <f>WT_03004_m</f>
        <v>0.66173986771200011</v>
      </c>
      <c r="K18" s="20">
        <f>WT_03004_p</f>
        <v>3.2420000000000004</v>
      </c>
      <c r="L18" s="20">
        <v>0</v>
      </c>
      <c r="M18" s="20">
        <v>0</v>
      </c>
      <c r="N18" s="19">
        <f t="shared" si="3"/>
        <v>7.8074797354240015</v>
      </c>
      <c r="O18" s="18"/>
    </row>
    <row r="19" spans="1:15" ht="15.75" thickBot="1" x14ac:dyDescent="0.3">
      <c r="A19" s="25"/>
      <c r="B19" s="24" t="s">
        <v>80</v>
      </c>
      <c r="C19" s="26" t="str">
        <f>WT_03005</f>
        <v>WT 03005</v>
      </c>
      <c r="D19" s="23" t="s">
        <v>1</v>
      </c>
      <c r="E19" s="23" t="str">
        <f t="shared" si="4"/>
        <v>Rear Hubs</v>
      </c>
      <c r="F19" s="229" t="str">
        <f>'WT 03005'!B5</f>
        <v>Speed Sensor Disc</v>
      </c>
      <c r="G19" s="23"/>
      <c r="H19" s="22">
        <f t="shared" si="0"/>
        <v>3.2261850000000001</v>
      </c>
      <c r="I19" s="21">
        <f>WT_A0300_q*WT_03005_q</f>
        <v>2</v>
      </c>
      <c r="J19" s="20">
        <f>WT_03005_m</f>
        <v>0.34618500000000008</v>
      </c>
      <c r="K19" s="20">
        <f>WT_03005_p</f>
        <v>2.88</v>
      </c>
      <c r="L19" s="20">
        <v>0</v>
      </c>
      <c r="M19" s="20">
        <v>0</v>
      </c>
      <c r="N19" s="19">
        <f t="shared" si="3"/>
        <v>6.4523700000000002</v>
      </c>
      <c r="O19" s="18"/>
    </row>
    <row r="20" spans="1:15" s="10" customFormat="1" ht="15.75" thickTop="1" thickBot="1" x14ac:dyDescent="0.25">
      <c r="A20" s="17"/>
      <c r="B20" s="16" t="str">
        <f>B18</f>
        <v>Wheels, Wheel Bearings and Tires</v>
      </c>
      <c r="C20" s="15"/>
      <c r="D20" s="15"/>
      <c r="E20" s="15"/>
      <c r="F20" s="16" t="s">
        <v>0</v>
      </c>
      <c r="G20" s="15"/>
      <c r="H20" s="14"/>
      <c r="I20" s="13"/>
      <c r="J20" s="12">
        <f>SUMPRODUCT($I7:$I19,J7:J19)</f>
        <v>1636.9658030757757</v>
      </c>
      <c r="K20" s="12">
        <f>SUMPRODUCT($I7:$I19,K7:K19)</f>
        <v>306.75247999999993</v>
      </c>
      <c r="L20" s="12">
        <f>SUMPRODUCT($I7:$I19,L7:L19)</f>
        <v>23.448342873004769</v>
      </c>
      <c r="M20" s="12">
        <f>SUMPRODUCT($I7:$I19,M7:M19)</f>
        <v>0</v>
      </c>
      <c r="N20" s="12">
        <f>SUM(N7:N19)</f>
        <v>1967.1666259487806</v>
      </c>
      <c r="O20" s="11"/>
    </row>
    <row r="21" spans="1:15" ht="13.5" thickTop="1" x14ac:dyDescent="0.2">
      <c r="A21" s="6"/>
      <c r="B21" s="4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</row>
    <row r="22" spans="1:15" x14ac:dyDescent="0.2">
      <c r="A22" s="6"/>
      <c r="B22" s="4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</row>
    <row r="23" spans="1:15" x14ac:dyDescent="0.2">
      <c r="A23" s="6"/>
      <c r="B23" s="6"/>
      <c r="D23" s="1"/>
      <c r="E23" s="1"/>
      <c r="G23" s="1"/>
      <c r="H23" s="1"/>
      <c r="I23" s="8"/>
      <c r="J23" s="8"/>
      <c r="K23" s="8"/>
      <c r="L23" s="8"/>
      <c r="M23" s="8"/>
      <c r="N23" s="1"/>
    </row>
    <row r="24" spans="1:15" x14ac:dyDescent="0.2">
      <c r="A24" s="6"/>
      <c r="B24" s="6"/>
      <c r="D24" s="1"/>
      <c r="E24" s="1"/>
      <c r="G24" s="1"/>
      <c r="H24" s="1"/>
      <c r="I24" s="8"/>
      <c r="J24" s="8"/>
      <c r="K24" s="8"/>
      <c r="L24" s="8"/>
      <c r="M24" s="8"/>
      <c r="N24" s="9"/>
    </row>
    <row r="25" spans="1:15" x14ac:dyDescent="0.2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9"/>
    </row>
    <row r="27" spans="1:15" x14ac:dyDescent="0.2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1"/>
    </row>
    <row r="29" spans="1:15" x14ac:dyDescent="0.2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x14ac:dyDescent="0.2">
      <c r="A49" s="6"/>
      <c r="B49" s="6"/>
      <c r="D49" s="1"/>
      <c r="E49" s="1"/>
      <c r="G49" s="1"/>
      <c r="H49" s="1"/>
      <c r="I49" s="8"/>
      <c r="J49" s="8"/>
      <c r="K49" s="8"/>
      <c r="L49" s="8"/>
      <c r="M49" s="8"/>
      <c r="N49" s="1"/>
    </row>
    <row r="50" spans="1:14" x14ac:dyDescent="0.2">
      <c r="A50" s="6"/>
      <c r="B50" s="6"/>
      <c r="D50" s="1"/>
      <c r="E50" s="1"/>
      <c r="G50" s="1"/>
      <c r="H50" s="1"/>
      <c r="I50" s="8"/>
      <c r="J50" s="8"/>
      <c r="K50" s="8"/>
      <c r="L50" s="8"/>
      <c r="M50" s="8"/>
      <c r="N50" s="1"/>
    </row>
    <row r="51" spans="1:14" s="2" customFormat="1" x14ac:dyDescent="0.2">
      <c r="A51" s="7"/>
      <c r="B51" s="6"/>
      <c r="F51" s="4"/>
      <c r="I51" s="3"/>
      <c r="J51" s="3"/>
      <c r="K51" s="3"/>
      <c r="L51" s="3"/>
      <c r="M51" s="3"/>
    </row>
    <row r="52" spans="1:14" s="2" customFormat="1" x14ac:dyDescent="0.2">
      <c r="A52" s="7"/>
      <c r="B52" s="6"/>
      <c r="F52" s="4"/>
      <c r="I52" s="3"/>
      <c r="J52" s="3"/>
      <c r="K52" s="3"/>
      <c r="L52" s="3"/>
      <c r="M52" s="3"/>
    </row>
    <row r="53" spans="1:14" s="2" customFormat="1" x14ac:dyDescent="0.2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">
      <c r="A58" s="7"/>
      <c r="B58" s="6"/>
      <c r="F58" s="4"/>
      <c r="I58" s="3"/>
      <c r="J58" s="3"/>
      <c r="K58" s="3"/>
      <c r="L58" s="3"/>
      <c r="M58" s="3"/>
    </row>
    <row r="59" spans="1:14" s="2" customFormat="1" x14ac:dyDescent="0.2">
      <c r="A59" s="7"/>
      <c r="B59" s="6"/>
      <c r="F59" s="4"/>
      <c r="I59" s="3"/>
      <c r="J59" s="3"/>
      <c r="K59" s="3"/>
      <c r="L59" s="3"/>
      <c r="M59" s="3"/>
    </row>
    <row r="60" spans="1:14" s="2" customFormat="1" x14ac:dyDescent="0.2">
      <c r="A60" s="7"/>
      <c r="B60" s="6"/>
      <c r="F60" s="4"/>
      <c r="I60" s="3"/>
      <c r="J60" s="3"/>
      <c r="K60" s="3"/>
      <c r="L60" s="3"/>
      <c r="M60" s="3"/>
    </row>
    <row r="61" spans="1:14" s="5" customFormat="1" x14ac:dyDescent="0.2">
      <c r="A61" s="7"/>
      <c r="B61" s="6"/>
      <c r="C61" s="2"/>
      <c r="D61" s="2"/>
      <c r="E61" s="2"/>
      <c r="F61" s="4"/>
      <c r="G61" s="2"/>
      <c r="H61" s="2"/>
      <c r="I61" s="3"/>
      <c r="J61" s="3"/>
      <c r="K61" s="3"/>
      <c r="L61" s="3"/>
      <c r="M61" s="3"/>
      <c r="N61" s="2"/>
    </row>
    <row r="62" spans="1:14" s="5" customFormat="1" x14ac:dyDescent="0.2">
      <c r="A62" s="7"/>
      <c r="B62" s="6"/>
      <c r="C62" s="2"/>
      <c r="D62" s="2"/>
      <c r="E62" s="2"/>
      <c r="F62" s="4"/>
      <c r="G62" s="2"/>
      <c r="H62" s="2"/>
      <c r="I62" s="3"/>
      <c r="J62" s="3"/>
      <c r="K62" s="3"/>
      <c r="L62" s="3"/>
      <c r="M62" s="3"/>
      <c r="N62" s="2"/>
    </row>
    <row r="63" spans="1:14" s="5" customFormat="1" x14ac:dyDescent="0.2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  <row r="165" spans="1:14" s="5" customFormat="1" x14ac:dyDescent="0.2">
      <c r="A165" s="7"/>
      <c r="B165" s="6"/>
      <c r="C165" s="2"/>
      <c r="D165" s="2"/>
      <c r="E165" s="2"/>
      <c r="F165" s="4"/>
      <c r="G165" s="2"/>
      <c r="H165" s="2"/>
      <c r="I165" s="3"/>
      <c r="J165" s="3"/>
      <c r="K165" s="3"/>
      <c r="L165" s="3"/>
      <c r="M165" s="3"/>
      <c r="N165" s="2"/>
    </row>
    <row r="166" spans="1:14" s="5" customFormat="1" x14ac:dyDescent="0.2">
      <c r="A166" s="7"/>
      <c r="B166" s="6"/>
      <c r="C166" s="2"/>
      <c r="D166" s="2"/>
      <c r="E166" s="2"/>
      <c r="F166" s="4"/>
      <c r="G166" s="2"/>
      <c r="H166" s="2"/>
      <c r="I166" s="3"/>
      <c r="J166" s="3"/>
      <c r="K166" s="3"/>
      <c r="L166" s="3"/>
      <c r="M166" s="3"/>
      <c r="N166" s="2"/>
    </row>
  </sheetData>
  <hyperlinks>
    <hyperlink ref="F7" location="WT_A0100" display="WT_A0100" xr:uid="{00000000-0004-0000-0000-000000000000}"/>
    <hyperlink ref="F8" location="WT_A0200" display="WT_A0200" xr:uid="{BAEC5A39-631A-40E2-A75C-F692094721B9}"/>
    <hyperlink ref="F9" location="WT_02001" display="WT_02001" xr:uid="{D4FA3865-AAC9-4C3E-80A9-04A5FDAF77D6}"/>
    <hyperlink ref="F10" location="WT_02002" display="WT_02002" xr:uid="{DF127777-6502-4F46-A8BD-0215CD21697C}"/>
    <hyperlink ref="F11" location="WT_02003" display="WT_02003" xr:uid="{3FCEAECA-A42B-477E-8ED0-ECEBB8428CAD}"/>
    <hyperlink ref="F12" location="WT_02004" display="WT_02004" xr:uid="{629327B7-53E5-40CB-805A-31DA226BBA32}"/>
    <hyperlink ref="F13" location="WT_02005" display="WT_02005" xr:uid="{CE0A9E82-ECFB-4A19-86FF-D95BF4614645}"/>
    <hyperlink ref="F14" location="WT_A0300" display="WT_A0300" xr:uid="{7DDFF379-13E1-4E8D-979E-F57A98B9A6F3}"/>
    <hyperlink ref="F15" location="WT_03001" display="WT_03001" xr:uid="{116932A1-B65F-4F15-83D3-52E49769EEDF}"/>
    <hyperlink ref="F16" location="WT_03002" display="WT_03002" xr:uid="{C33E2C8C-569F-41AE-B327-7C721DD1BC65}"/>
    <hyperlink ref="F17" location="WT_03003" display="WT_03003" xr:uid="{C1611E6D-8BF5-4B9C-A54C-5A3C71F05A13}"/>
    <hyperlink ref="F18" location="WT_03004" display="WT_03004" xr:uid="{7A5AC075-183A-4245-A5F9-444881AF988F}"/>
    <hyperlink ref="F19" location="WT_03005" display="WT_03005" xr:uid="{1DC48EDA-E7B4-4BC2-944D-A02ED7A3E97F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FFCC"/>
    <pageSetUpPr fitToPage="1"/>
  </sheetPr>
  <dimension ref="A1:O19"/>
  <sheetViews>
    <sheetView zoomScale="90" zoomScaleNormal="90" workbookViewId="0">
      <selection activeCell="I18" sqref="I18"/>
    </sheetView>
  </sheetViews>
  <sheetFormatPr baseColWidth="10" defaultColWidth="9.140625" defaultRowHeight="15" x14ac:dyDescent="0.25"/>
  <cols>
    <col min="1" max="1" width="9.140625" style="67"/>
    <col min="2" max="2" width="25.140625" style="67" customWidth="1"/>
    <col min="3" max="3" width="13.42578125" style="67" customWidth="1"/>
    <col min="4" max="6" width="9.140625" style="67"/>
    <col min="7" max="7" width="20.5703125" style="67" customWidth="1"/>
    <col min="8" max="8" width="9.140625" style="67"/>
    <col min="9" max="9" width="20.5703125" style="67" bestFit="1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N12+I17</f>
        <v>0.95013112</v>
      </c>
      <c r="O2" s="73"/>
    </row>
    <row r="3" spans="1:15" x14ac:dyDescent="0.25">
      <c r="A3" s="141" t="s">
        <v>34</v>
      </c>
      <c r="B3" s="69" t="str">
        <f>'WT A0200'!B3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139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0.95013112</v>
      </c>
      <c r="O5" s="73"/>
    </row>
    <row r="6" spans="1:15" x14ac:dyDescent="0.25">
      <c r="A6" s="141" t="s">
        <v>40</v>
      </c>
      <c r="B6" s="143" t="s">
        <v>29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138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x14ac:dyDescent="0.25">
      <c r="A11" s="136">
        <v>10</v>
      </c>
      <c r="B11" s="135" t="s">
        <v>137</v>
      </c>
      <c r="C11" s="133"/>
      <c r="D11" s="121">
        <v>4.2</v>
      </c>
      <c r="E11" s="134">
        <f>J11*K11*L11</f>
        <v>1.0983600000000001E-2</v>
      </c>
      <c r="F11" s="133" t="s">
        <v>124</v>
      </c>
      <c r="G11" s="133"/>
      <c r="H11" s="132"/>
      <c r="I11" s="131" t="s">
        <v>136</v>
      </c>
      <c r="J11" s="130">
        <f>(45*10^(-3))^2</f>
        <v>2.0249999999999999E-3</v>
      </c>
      <c r="K11" s="129">
        <v>2E-3</v>
      </c>
      <c r="L11" s="128">
        <v>2712</v>
      </c>
      <c r="M11" s="127">
        <v>1</v>
      </c>
      <c r="N11" s="121">
        <f>D11*E11</f>
        <v>4.6131120000000005E-2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4.6131120000000005E-2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30" x14ac:dyDescent="0.25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 t="s">
        <v>135</v>
      </c>
      <c r="H15" s="107">
        <v>0.5</v>
      </c>
      <c r="I15" s="123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25">
      <c r="A16" s="107">
        <v>20</v>
      </c>
      <c r="B16" s="158" t="s">
        <v>134</v>
      </c>
      <c r="C16" s="158"/>
      <c r="D16" s="152">
        <v>0.01</v>
      </c>
      <c r="E16" s="107" t="s">
        <v>79</v>
      </c>
      <c r="F16" s="107">
        <v>25.4</v>
      </c>
      <c r="G16" s="107"/>
      <c r="H16" s="107">
        <v>1</v>
      </c>
      <c r="I16" s="123">
        <f>F16*D16</f>
        <v>0.254</v>
      </c>
      <c r="J16" s="70"/>
      <c r="K16" s="70"/>
      <c r="L16" s="70"/>
      <c r="M16" s="70"/>
      <c r="N16" s="70"/>
      <c r="O16" s="73"/>
    </row>
    <row r="17" spans="1:15" x14ac:dyDescent="0.25">
      <c r="A17" s="93"/>
      <c r="B17" s="94"/>
      <c r="C17" s="94"/>
      <c r="D17" s="94"/>
      <c r="E17" s="94"/>
      <c r="F17" s="94"/>
      <c r="G17" s="94"/>
      <c r="H17" s="120" t="s">
        <v>60</v>
      </c>
      <c r="I17" s="119">
        <f>SUM(I15:I16)</f>
        <v>0.90400000000000003</v>
      </c>
      <c r="J17" s="94"/>
      <c r="K17" s="94"/>
      <c r="L17" s="94"/>
      <c r="M17" s="94"/>
      <c r="N17" s="94"/>
      <c r="O17" s="73"/>
    </row>
    <row r="18" spans="1:15" x14ac:dyDescent="0.25">
      <c r="A18" s="79"/>
      <c r="B18" s="70"/>
      <c r="C18" s="70"/>
      <c r="D18" s="70"/>
      <c r="E18" s="70"/>
      <c r="F18" s="70"/>
      <c r="G18" s="70"/>
      <c r="H18" s="70"/>
      <c r="I18" s="75"/>
      <c r="J18" s="70"/>
      <c r="K18" s="70"/>
      <c r="L18" s="70"/>
      <c r="M18" s="70"/>
      <c r="N18" s="70"/>
      <c r="O18" s="73"/>
    </row>
    <row r="19" spans="1:15" ht="15.75" thickBot="1" x14ac:dyDescent="0.3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</sheetData>
  <hyperlinks>
    <hyperlink ref="E3" location="dWT_02004" display="Drawing" xr:uid="{00000000-0004-0000-0900-000000000000}"/>
    <hyperlink ref="B4" location="'WT A0200'!A1" display="'WT A0200'!A1" xr:uid="{00000000-0004-0000-0900-000001000000}"/>
    <hyperlink ref="G2" location="WT_A0200_BOM" display="Back to BOM" xr:uid="{1FA79900-0BDE-40C6-9404-989645D5978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FFCC"/>
    <pageSetUpPr fitToPage="1"/>
  </sheetPr>
  <dimension ref="A1:B1"/>
  <sheetViews>
    <sheetView zoomScale="90" zoomScaleNormal="90"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145</v>
      </c>
    </row>
  </sheetData>
  <hyperlinks>
    <hyperlink ref="B1" location="WT_02004" display="WT_02004" xr:uid="{00000000-0004-0000-0A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CC"/>
    <pageSetUpPr fitToPage="1"/>
  </sheetPr>
  <dimension ref="A1:O18"/>
  <sheetViews>
    <sheetView zoomScale="90" zoomScaleNormal="90" workbookViewId="0">
      <selection activeCell="G2" sqref="G2"/>
    </sheetView>
  </sheetViews>
  <sheetFormatPr baseColWidth="10" defaultColWidth="9.140625" defaultRowHeight="15" x14ac:dyDescent="0.25"/>
  <cols>
    <col min="1" max="1" width="9.140625" style="67"/>
    <col min="2" max="2" width="33.42578125" style="67" customWidth="1"/>
    <col min="3" max="6" width="9.140625" style="67"/>
    <col min="7" max="7" width="10.85546875" style="67" customWidth="1"/>
    <col min="8" max="8" width="9.140625" style="67"/>
    <col min="9" max="9" width="15.7109375" style="67" bestFit="1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WT_02005_m+WT_02005_p</f>
        <v>3.9701600000000004</v>
      </c>
      <c r="O2" s="73"/>
    </row>
    <row r="3" spans="1:15" x14ac:dyDescent="0.25">
      <c r="A3" s="141" t="s">
        <v>34</v>
      </c>
      <c r="B3" s="69" t="str">
        <f>'WT A0200'!B3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102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3.9701600000000004</v>
      </c>
      <c r="O5" s="73"/>
    </row>
    <row r="6" spans="1:15" x14ac:dyDescent="0.25">
      <c r="A6" s="141" t="s">
        <v>40</v>
      </c>
      <c r="B6" s="143" t="s">
        <v>30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142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45" x14ac:dyDescent="0.25">
      <c r="A11" s="170">
        <v>10</v>
      </c>
      <c r="B11" s="81" t="s">
        <v>141</v>
      </c>
      <c r="C11" s="107"/>
      <c r="D11" s="152">
        <v>2.25</v>
      </c>
      <c r="E11" s="173">
        <f>J11*K11*L11</f>
        <v>0.20096000000000003</v>
      </c>
      <c r="F11" s="172" t="s">
        <v>124</v>
      </c>
      <c r="G11" s="172"/>
      <c r="H11" s="174"/>
      <c r="I11" s="175" t="s">
        <v>140</v>
      </c>
      <c r="J11" s="176">
        <f>0.16*0.16</f>
        <v>2.5600000000000001E-2</v>
      </c>
      <c r="K11" s="177">
        <v>1E-3</v>
      </c>
      <c r="L11" s="178">
        <v>7850</v>
      </c>
      <c r="M11" s="179">
        <v>1</v>
      </c>
      <c r="N11" s="123">
        <f>D11*E11</f>
        <v>0.45216000000000006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0.45216000000000006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45" x14ac:dyDescent="0.25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 t="s">
        <v>135</v>
      </c>
      <c r="H15" s="107">
        <v>0.5</v>
      </c>
      <c r="I15" s="123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25">
      <c r="A16" s="107">
        <v>20</v>
      </c>
      <c r="B16" s="158" t="s">
        <v>134</v>
      </c>
      <c r="C16" s="158"/>
      <c r="D16" s="152">
        <v>0.01</v>
      </c>
      <c r="E16" s="107" t="s">
        <v>79</v>
      </c>
      <c r="F16" s="107">
        <v>286.8</v>
      </c>
      <c r="G16" s="107"/>
      <c r="H16" s="107">
        <v>1</v>
      </c>
      <c r="I16" s="123">
        <f>F16*D16</f>
        <v>2.8680000000000003</v>
      </c>
      <c r="J16" s="70"/>
      <c r="K16" s="70"/>
      <c r="L16" s="70"/>
      <c r="M16" s="70"/>
      <c r="N16" s="70"/>
      <c r="O16" s="73"/>
    </row>
    <row r="17" spans="1:15" x14ac:dyDescent="0.25">
      <c r="A17" s="93"/>
      <c r="B17" s="94"/>
      <c r="C17" s="94"/>
      <c r="D17" s="94"/>
      <c r="E17" s="94"/>
      <c r="F17" s="94"/>
      <c r="G17" s="94"/>
      <c r="H17" s="120" t="s">
        <v>60</v>
      </c>
      <c r="I17" s="119">
        <f>SUM(I15:I16)</f>
        <v>3.5180000000000002</v>
      </c>
      <c r="J17" s="94"/>
      <c r="K17" s="94"/>
      <c r="L17" s="94"/>
      <c r="M17" s="94"/>
      <c r="N17" s="94"/>
      <c r="O17" s="73"/>
    </row>
    <row r="18" spans="1:15" ht="15.75" thickBot="1" x14ac:dyDescent="0.3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</sheetData>
  <hyperlinks>
    <hyperlink ref="B4" location="'WT A0200'!A1" display="'WT A0200'!A1" xr:uid="{00000000-0004-0000-0B00-000000000000}"/>
    <hyperlink ref="E3" location="dWT_02005" display="Drawing" xr:uid="{00000000-0004-0000-0B00-000001000000}"/>
    <hyperlink ref="G2" location="WT_A0200_BOM" display="Back to BOM" xr:uid="{9A789D97-F6D6-456A-9545-D61001807B3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FFCC"/>
    <pageSetUpPr fitToPage="1"/>
  </sheetPr>
  <dimension ref="A1:B1"/>
  <sheetViews>
    <sheetView workbookViewId="0">
      <selection activeCell="L19" sqref="L19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146</v>
      </c>
    </row>
  </sheetData>
  <hyperlinks>
    <hyperlink ref="B1" location="WT_02005" display="WT_02005" xr:uid="{00000000-0004-0000-0C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3CCFF"/>
    <pageSetUpPr fitToPage="1"/>
  </sheetPr>
  <dimension ref="A1:P36"/>
  <sheetViews>
    <sheetView topLeftCell="A16" zoomScale="75" zoomScaleNormal="75" zoomScaleSheetLayoutView="80" workbookViewId="0">
      <selection activeCell="G40" sqref="G40"/>
    </sheetView>
  </sheetViews>
  <sheetFormatPr baseColWidth="10" defaultColWidth="9.140625" defaultRowHeight="15" x14ac:dyDescent="0.25"/>
  <cols>
    <col min="1" max="1" width="9.140625" style="67"/>
    <col min="2" max="2" width="26.28515625" style="67" customWidth="1"/>
    <col min="3" max="3" width="36.85546875" style="67" customWidth="1"/>
    <col min="4" max="13" width="9.140625" style="67"/>
    <col min="14" max="14" width="10.42578125" style="67" customWidth="1"/>
    <col min="15" max="15" width="5.28515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68" t="s">
        <v>24</v>
      </c>
      <c r="B2" s="69" t="s">
        <v>23</v>
      </c>
      <c r="C2" s="70"/>
      <c r="D2" s="70"/>
      <c r="E2" s="106" t="s">
        <v>32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33</v>
      </c>
      <c r="N2" s="72">
        <f>WT_A0200_pa+WT_A0200_m+WT_A0200_p+WT_A0200_f</f>
        <v>341.7412675152284</v>
      </c>
      <c r="O2" s="73"/>
    </row>
    <row r="3" spans="1:15" x14ac:dyDescent="0.25">
      <c r="A3" s="68" t="s">
        <v>34</v>
      </c>
      <c r="B3" s="69" t="s">
        <v>35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36</v>
      </c>
      <c r="N3" s="74">
        <v>2</v>
      </c>
      <c r="O3" s="73"/>
    </row>
    <row r="4" spans="1:15" x14ac:dyDescent="0.25">
      <c r="A4" s="68" t="s">
        <v>37</v>
      </c>
      <c r="B4" s="75" t="s">
        <v>147</v>
      </c>
      <c r="C4" s="70"/>
      <c r="D4" s="70"/>
      <c r="E4" s="70"/>
      <c r="F4" s="70"/>
      <c r="G4" s="70"/>
      <c r="H4" s="70"/>
      <c r="I4" s="70"/>
      <c r="J4" s="76" t="s">
        <v>39</v>
      </c>
      <c r="K4" s="70"/>
      <c r="L4" s="70"/>
      <c r="M4" s="70"/>
      <c r="N4" s="70"/>
      <c r="O4" s="73"/>
    </row>
    <row r="5" spans="1:15" x14ac:dyDescent="0.25">
      <c r="A5" s="68" t="s">
        <v>40</v>
      </c>
      <c r="B5" s="77" t="s">
        <v>31</v>
      </c>
      <c r="C5" s="70"/>
      <c r="D5" s="70"/>
      <c r="E5" s="70"/>
      <c r="F5" s="70"/>
      <c r="G5" s="70"/>
      <c r="H5" s="70"/>
      <c r="I5" s="70"/>
      <c r="J5" s="76" t="s">
        <v>42</v>
      </c>
      <c r="K5" s="70"/>
      <c r="L5" s="70"/>
      <c r="M5" s="68" t="s">
        <v>43</v>
      </c>
      <c r="N5" s="78">
        <f>N2*N3</f>
        <v>683.4825350304568</v>
      </c>
      <c r="O5" s="73"/>
    </row>
    <row r="6" spans="1:15" x14ac:dyDescent="0.25">
      <c r="A6" s="68" t="s">
        <v>44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45</v>
      </c>
      <c r="K6" s="70"/>
      <c r="L6" s="70"/>
      <c r="M6" s="70"/>
      <c r="N6" s="70"/>
      <c r="O6" s="73"/>
    </row>
    <row r="7" spans="1:15" x14ac:dyDescent="0.25">
      <c r="A7" s="68" t="s">
        <v>46</v>
      </c>
      <c r="B7" s="69" t="s">
        <v>108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68" t="s">
        <v>48</v>
      </c>
      <c r="B9" s="68" t="s">
        <v>107</v>
      </c>
      <c r="C9" s="68" t="s">
        <v>106</v>
      </c>
      <c r="D9" s="68" t="s">
        <v>8</v>
      </c>
      <c r="E9" s="68" t="s">
        <v>60</v>
      </c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12">
        <v>10</v>
      </c>
      <c r="B10" s="115" t="str">
        <f>'WT 03001'!B5</f>
        <v>Rear Hub</v>
      </c>
      <c r="C10" s="78">
        <f>'WT 03001'!N2</f>
        <v>52.730637179680002</v>
      </c>
      <c r="D10" s="114">
        <f>'WT 03001'!N3</f>
        <v>1</v>
      </c>
      <c r="E10" s="78">
        <f>C10*D10</f>
        <v>52.730637179680002</v>
      </c>
      <c r="F10" s="70"/>
      <c r="G10" s="70"/>
      <c r="H10" s="70"/>
      <c r="I10" s="70"/>
      <c r="J10" s="70"/>
      <c r="K10" s="70"/>
      <c r="L10" s="70"/>
      <c r="M10" s="70"/>
      <c r="N10" s="70"/>
      <c r="O10" s="73"/>
    </row>
    <row r="11" spans="1:15" x14ac:dyDescent="0.25">
      <c r="A11" s="112">
        <v>20</v>
      </c>
      <c r="B11" s="118" t="s">
        <v>148</v>
      </c>
      <c r="C11" s="78">
        <f>'WT 03002'!N2</f>
        <v>3.9690868631840006</v>
      </c>
      <c r="D11" s="114">
        <f>'WT 03002'!N3</f>
        <v>1</v>
      </c>
      <c r="E11" s="78">
        <f>C11*D11</f>
        <v>3.9690868631840006</v>
      </c>
      <c r="F11" s="75"/>
      <c r="G11" s="75"/>
      <c r="H11" s="75"/>
      <c r="I11" s="75"/>
      <c r="J11" s="75"/>
      <c r="K11" s="75"/>
      <c r="L11" s="75"/>
      <c r="M11" s="75"/>
      <c r="N11" s="75"/>
      <c r="O11" s="73"/>
    </row>
    <row r="12" spans="1:15" x14ac:dyDescent="0.25">
      <c r="A12" s="112">
        <v>30</v>
      </c>
      <c r="B12" s="117" t="s">
        <v>149</v>
      </c>
      <c r="C12" s="78">
        <f>'WT 03003'!N2</f>
        <v>22.316657798400001</v>
      </c>
      <c r="D12" s="114">
        <f>'WT 03003'!N3</f>
        <v>1</v>
      </c>
      <c r="E12" s="78">
        <f>C12*D12</f>
        <v>22.316657798400001</v>
      </c>
      <c r="F12" s="75"/>
      <c r="G12" s="75"/>
      <c r="H12" s="75"/>
      <c r="I12" s="75"/>
      <c r="J12" s="75"/>
      <c r="K12" s="75"/>
      <c r="L12" s="75"/>
      <c r="M12" s="75"/>
      <c r="N12" s="75"/>
      <c r="O12" s="116"/>
    </row>
    <row r="13" spans="1:15" s="110" customFormat="1" x14ac:dyDescent="0.25">
      <c r="A13" s="112">
        <v>40</v>
      </c>
      <c r="B13" s="115" t="s">
        <v>150</v>
      </c>
      <c r="C13" s="78">
        <f>'WT 03004'!N2</f>
        <v>3.9037398677120008</v>
      </c>
      <c r="D13" s="114">
        <f>'WT 03004'!N3</f>
        <v>1</v>
      </c>
      <c r="E13" s="78">
        <f>C13*D13</f>
        <v>3.9037398677120008</v>
      </c>
      <c r="F13" s="75"/>
      <c r="G13" s="75"/>
      <c r="H13" s="75"/>
      <c r="I13" s="75"/>
      <c r="J13" s="75"/>
      <c r="K13" s="75"/>
      <c r="L13" s="75"/>
      <c r="M13" s="75"/>
      <c r="N13" s="75"/>
      <c r="O13" s="116"/>
    </row>
    <row r="14" spans="1:15" s="110" customFormat="1" x14ac:dyDescent="0.25">
      <c r="A14" s="112">
        <v>50</v>
      </c>
      <c r="B14" s="115" t="s">
        <v>102</v>
      </c>
      <c r="C14" s="78">
        <f>'WT 03005'!N2</f>
        <v>3.2261850000000001</v>
      </c>
      <c r="D14" s="114">
        <f>'WT 03005'!N3</f>
        <v>1</v>
      </c>
      <c r="E14" s="78">
        <f>C14*D14</f>
        <v>3.2261850000000001</v>
      </c>
      <c r="F14" s="75"/>
      <c r="G14" s="75"/>
      <c r="H14" s="75"/>
      <c r="I14" s="75"/>
      <c r="J14" s="75"/>
      <c r="K14" s="75"/>
      <c r="L14" s="75"/>
      <c r="M14" s="75"/>
      <c r="N14" s="75"/>
      <c r="O14" s="109"/>
    </row>
    <row r="15" spans="1:15" x14ac:dyDescent="0.25">
      <c r="A15" s="79"/>
      <c r="B15" s="70"/>
      <c r="C15" s="70"/>
      <c r="D15" s="100" t="s">
        <v>60</v>
      </c>
      <c r="E15" s="95">
        <f>SUM(E10:E14)</f>
        <v>86.146306708976013</v>
      </c>
      <c r="F15" s="75"/>
      <c r="G15" s="75"/>
      <c r="H15" s="75"/>
      <c r="I15" s="75"/>
      <c r="J15" s="75"/>
      <c r="K15" s="75"/>
      <c r="L15" s="75"/>
      <c r="M15" s="75"/>
      <c r="N15" s="75"/>
      <c r="O15" s="73"/>
    </row>
    <row r="16" spans="1:15" x14ac:dyDescent="0.25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6" x14ac:dyDescent="0.25">
      <c r="A17" s="68" t="s">
        <v>48</v>
      </c>
      <c r="B17" s="68" t="s">
        <v>49</v>
      </c>
      <c r="C17" s="68" t="s">
        <v>50</v>
      </c>
      <c r="D17" s="68" t="s">
        <v>51</v>
      </c>
      <c r="E17" s="68" t="s">
        <v>52</v>
      </c>
      <c r="F17" s="68" t="s">
        <v>53</v>
      </c>
      <c r="G17" s="68" t="s">
        <v>54</v>
      </c>
      <c r="H17" s="68" t="s">
        <v>55</v>
      </c>
      <c r="I17" s="68" t="s">
        <v>56</v>
      </c>
      <c r="J17" s="68" t="s">
        <v>57</v>
      </c>
      <c r="K17" s="68" t="s">
        <v>58</v>
      </c>
      <c r="L17" s="68" t="s">
        <v>59</v>
      </c>
      <c r="M17" s="68" t="s">
        <v>8</v>
      </c>
      <c r="N17" s="68" t="s">
        <v>60</v>
      </c>
      <c r="O17" s="73"/>
    </row>
    <row r="18" spans="1:16" ht="30" x14ac:dyDescent="0.25">
      <c r="A18" s="146">
        <v>10</v>
      </c>
      <c r="B18" s="113" t="s">
        <v>101</v>
      </c>
      <c r="C18" s="146"/>
      <c r="D18" s="147">
        <f>0.4*((E18^2*G18))^0.5</f>
        <v>99.766126515967343</v>
      </c>
      <c r="E18" s="146">
        <v>72</v>
      </c>
      <c r="F18" s="146" t="s">
        <v>81</v>
      </c>
      <c r="G18" s="146">
        <v>12</v>
      </c>
      <c r="H18" s="148" t="s">
        <v>81</v>
      </c>
      <c r="I18" s="149"/>
      <c r="J18" s="150"/>
      <c r="K18" s="148"/>
      <c r="L18" s="148"/>
      <c r="M18" s="148">
        <v>2</v>
      </c>
      <c r="N18" s="147">
        <f>M18*D18</f>
        <v>199.53225303193469</v>
      </c>
      <c r="O18" s="73"/>
    </row>
    <row r="19" spans="1:16" s="89" customFormat="1" ht="30" x14ac:dyDescent="0.25">
      <c r="A19" s="199">
        <v>20</v>
      </c>
      <c r="B19" s="180" t="s">
        <v>98</v>
      </c>
      <c r="C19" s="181" t="s">
        <v>97</v>
      </c>
      <c r="D19" s="200">
        <v>0</v>
      </c>
      <c r="E19" s="199"/>
      <c r="F19" s="199"/>
      <c r="G19" s="199"/>
      <c r="H19" s="201"/>
      <c r="I19" s="202"/>
      <c r="J19" s="203"/>
      <c r="K19" s="201"/>
      <c r="L19" s="201"/>
      <c r="M19" s="204"/>
      <c r="N19" s="147">
        <f>M19*D19</f>
        <v>0</v>
      </c>
      <c r="O19" s="73"/>
      <c r="P19" s="67"/>
    </row>
    <row r="20" spans="1:16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68" t="s">
        <v>60</v>
      </c>
      <c r="N20" s="95">
        <f>SUM(N18:N19)</f>
        <v>199.53225303193469</v>
      </c>
      <c r="O20" s="73"/>
    </row>
    <row r="21" spans="1:16" x14ac:dyDescent="0.25">
      <c r="A21" s="7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3"/>
    </row>
    <row r="22" spans="1:16" x14ac:dyDescent="0.25">
      <c r="A22" s="68" t="s">
        <v>48</v>
      </c>
      <c r="B22" s="68" t="s">
        <v>69</v>
      </c>
      <c r="C22" s="68" t="s">
        <v>50</v>
      </c>
      <c r="D22" s="68" t="s">
        <v>51</v>
      </c>
      <c r="E22" s="68" t="s">
        <v>70</v>
      </c>
      <c r="F22" s="68" t="s">
        <v>8</v>
      </c>
      <c r="G22" s="68" t="s">
        <v>71</v>
      </c>
      <c r="H22" s="68" t="s">
        <v>72</v>
      </c>
      <c r="I22" s="68" t="s">
        <v>60</v>
      </c>
      <c r="J22" s="94"/>
      <c r="K22" s="94"/>
      <c r="L22" s="94"/>
      <c r="M22" s="94"/>
      <c r="N22" s="94"/>
      <c r="O22" s="96"/>
      <c r="P22" s="97"/>
    </row>
    <row r="23" spans="1:16" s="97" customFormat="1" x14ac:dyDescent="0.25">
      <c r="A23" s="209">
        <v>10</v>
      </c>
      <c r="B23" s="210" t="s">
        <v>91</v>
      </c>
      <c r="C23" s="210" t="s">
        <v>96</v>
      </c>
      <c r="D23" s="211">
        <v>0.06</v>
      </c>
      <c r="E23" s="212" t="s">
        <v>63</v>
      </c>
      <c r="F23" s="212">
        <v>1</v>
      </c>
      <c r="G23" s="212"/>
      <c r="H23" s="212">
        <v>1</v>
      </c>
      <c r="I23" s="78">
        <f t="shared" ref="I23:I26" si="0">IF(H23="",D23*F23,D23*F23*H23)</f>
        <v>0.06</v>
      </c>
      <c r="J23" s="70"/>
      <c r="K23" s="70"/>
      <c r="L23" s="70"/>
      <c r="M23" s="70"/>
      <c r="N23" s="70"/>
      <c r="O23" s="73"/>
      <c r="P23" s="67"/>
    </row>
    <row r="24" spans="1:16" x14ac:dyDescent="0.25">
      <c r="A24" s="212">
        <v>20</v>
      </c>
      <c r="B24" s="210" t="s">
        <v>95</v>
      </c>
      <c r="C24" s="210" t="s">
        <v>94</v>
      </c>
      <c r="D24" s="213">
        <v>0.19</v>
      </c>
      <c r="E24" s="212" t="s">
        <v>63</v>
      </c>
      <c r="F24" s="212">
        <v>2</v>
      </c>
      <c r="G24" s="212"/>
      <c r="H24" s="212">
        <v>1</v>
      </c>
      <c r="I24" s="78">
        <f t="shared" si="0"/>
        <v>0.38</v>
      </c>
      <c r="J24" s="70"/>
      <c r="K24" s="70"/>
      <c r="L24" s="70"/>
      <c r="M24" s="70"/>
      <c r="N24" s="70"/>
      <c r="O24" s="73"/>
    </row>
    <row r="25" spans="1:16" x14ac:dyDescent="0.25">
      <c r="A25" s="209">
        <v>30</v>
      </c>
      <c r="B25" s="210" t="s">
        <v>91</v>
      </c>
      <c r="C25" s="210" t="s">
        <v>151</v>
      </c>
      <c r="D25" s="211">
        <v>0.06</v>
      </c>
      <c r="E25" s="212" t="s">
        <v>63</v>
      </c>
      <c r="F25" s="212">
        <v>1</v>
      </c>
      <c r="G25" s="212"/>
      <c r="H25" s="212">
        <v>1</v>
      </c>
      <c r="I25" s="78">
        <f t="shared" si="0"/>
        <v>0.06</v>
      </c>
      <c r="J25" s="70"/>
      <c r="K25" s="70"/>
      <c r="L25" s="70"/>
      <c r="M25" s="70"/>
      <c r="N25" s="70"/>
      <c r="O25" s="73"/>
    </row>
    <row r="26" spans="1:16" x14ac:dyDescent="0.25">
      <c r="A26" s="209">
        <v>40</v>
      </c>
      <c r="B26" s="210" t="s">
        <v>91</v>
      </c>
      <c r="C26" s="210" t="s">
        <v>92</v>
      </c>
      <c r="D26" s="211">
        <v>0.06</v>
      </c>
      <c r="E26" s="212" t="s">
        <v>63</v>
      </c>
      <c r="F26" s="212">
        <v>1</v>
      </c>
      <c r="G26" s="212"/>
      <c r="H26" s="212">
        <v>1</v>
      </c>
      <c r="I26" s="78">
        <f t="shared" si="0"/>
        <v>0.06</v>
      </c>
      <c r="J26" s="75"/>
      <c r="K26" s="75"/>
      <c r="L26" s="75"/>
      <c r="M26" s="75"/>
      <c r="N26" s="75"/>
      <c r="O26" s="109"/>
      <c r="P26" s="110"/>
    </row>
    <row r="27" spans="1:16" s="110" customFormat="1" x14ac:dyDescent="0.25">
      <c r="A27" s="209">
        <v>50</v>
      </c>
      <c r="B27" s="215" t="s">
        <v>88</v>
      </c>
      <c r="C27" s="205" t="s">
        <v>86</v>
      </c>
      <c r="D27" s="211">
        <v>0.02</v>
      </c>
      <c r="E27" s="212" t="s">
        <v>79</v>
      </c>
      <c r="F27" s="212">
        <v>15.07</v>
      </c>
      <c r="G27" s="212"/>
      <c r="H27" s="212">
        <v>1</v>
      </c>
      <c r="I27" s="78">
        <f>IF(H27="",D27*F27,D27*F27*H27)</f>
        <v>0.3014</v>
      </c>
      <c r="J27" s="75"/>
      <c r="K27" s="75"/>
      <c r="L27" s="75"/>
      <c r="M27" s="75"/>
      <c r="N27" s="75"/>
      <c r="O27" s="109"/>
      <c r="P27" s="67"/>
    </row>
    <row r="28" spans="1:16" x14ac:dyDescent="0.25">
      <c r="A28" s="209">
        <v>60</v>
      </c>
      <c r="B28" s="210" t="s">
        <v>87</v>
      </c>
      <c r="C28" s="205" t="s">
        <v>86</v>
      </c>
      <c r="D28" s="211">
        <v>0.13</v>
      </c>
      <c r="E28" s="212" t="s">
        <v>63</v>
      </c>
      <c r="F28" s="212">
        <v>4</v>
      </c>
      <c r="G28" s="212"/>
      <c r="H28" s="212">
        <v>1</v>
      </c>
      <c r="I28" s="78">
        <f>IF(H28="",D28*F28,D28*F28*H28)</f>
        <v>0.52</v>
      </c>
      <c r="J28" s="70"/>
      <c r="K28" s="70"/>
      <c r="L28" s="70"/>
      <c r="M28" s="70"/>
      <c r="N28" s="70"/>
      <c r="O28" s="73"/>
    </row>
    <row r="29" spans="1:16" x14ac:dyDescent="0.25">
      <c r="A29" s="209">
        <v>70</v>
      </c>
      <c r="B29" s="210" t="s">
        <v>85</v>
      </c>
      <c r="C29" s="205" t="s">
        <v>84</v>
      </c>
      <c r="D29" s="182">
        <v>0.06</v>
      </c>
      <c r="E29" s="205" t="s">
        <v>70</v>
      </c>
      <c r="F29" s="214">
        <v>1</v>
      </c>
      <c r="G29" s="212"/>
      <c r="H29" s="212">
        <v>1</v>
      </c>
      <c r="I29" s="78">
        <f>IF(H29="",D29*F29,D29*F29*H29)</f>
        <v>0.06</v>
      </c>
      <c r="J29" s="70"/>
      <c r="K29" s="70"/>
      <c r="L29" s="70"/>
      <c r="M29" s="70"/>
      <c r="N29" s="70"/>
      <c r="O29" s="73"/>
    </row>
    <row r="30" spans="1:16" x14ac:dyDescent="0.25">
      <c r="A30" s="93"/>
      <c r="B30" s="94"/>
      <c r="C30" s="94"/>
      <c r="D30" s="94"/>
      <c r="E30" s="94"/>
      <c r="F30" s="94"/>
      <c r="G30" s="94"/>
      <c r="H30" s="100" t="s">
        <v>60</v>
      </c>
      <c r="I30" s="95">
        <f>SUM(I23:I29)</f>
        <v>1.4414000000000002</v>
      </c>
      <c r="K30" s="70"/>
      <c r="L30" s="70"/>
      <c r="M30" s="70"/>
      <c r="N30" s="70"/>
      <c r="O30" s="73"/>
    </row>
    <row r="31" spans="1:16" x14ac:dyDescent="0.25">
      <c r="A31" s="79"/>
      <c r="B31" s="70"/>
      <c r="C31" s="70"/>
      <c r="D31" s="70"/>
      <c r="E31" s="70"/>
      <c r="F31" s="70"/>
      <c r="G31" s="70"/>
      <c r="H31" s="70"/>
      <c r="I31" s="70"/>
      <c r="K31" s="70"/>
      <c r="L31" s="70"/>
      <c r="M31" s="70"/>
      <c r="N31" s="70"/>
      <c r="O31" s="73"/>
    </row>
    <row r="32" spans="1:16" x14ac:dyDescent="0.25">
      <c r="A32" s="68" t="s">
        <v>48</v>
      </c>
      <c r="B32" s="68" t="s">
        <v>77</v>
      </c>
      <c r="C32" s="68" t="s">
        <v>50</v>
      </c>
      <c r="D32" s="68" t="s">
        <v>51</v>
      </c>
      <c r="E32" s="68" t="s">
        <v>52</v>
      </c>
      <c r="F32" s="68" t="s">
        <v>53</v>
      </c>
      <c r="G32" s="68" t="s">
        <v>54</v>
      </c>
      <c r="H32" s="68" t="s">
        <v>55</v>
      </c>
      <c r="I32" s="68" t="s">
        <v>8</v>
      </c>
      <c r="J32" s="68" t="s">
        <v>60</v>
      </c>
      <c r="K32" s="70"/>
      <c r="L32" s="70"/>
      <c r="M32" s="70"/>
      <c r="N32" s="70"/>
      <c r="O32" s="73"/>
    </row>
    <row r="33" spans="1:15" x14ac:dyDescent="0.25">
      <c r="A33" s="212">
        <v>10</v>
      </c>
      <c r="B33" s="216" t="s">
        <v>83</v>
      </c>
      <c r="C33" s="212" t="s">
        <v>82</v>
      </c>
      <c r="D33" s="213">
        <f>1.25/105154*E33^2*G33*SQRT(G33)+(0.005*EXP(0.319*E33))</f>
        <v>1.0655214295627982</v>
      </c>
      <c r="E33" s="212">
        <v>12</v>
      </c>
      <c r="F33" s="217" t="s">
        <v>81</v>
      </c>
      <c r="G33" s="212">
        <v>62</v>
      </c>
      <c r="H33" s="210" t="s">
        <v>81</v>
      </c>
      <c r="I33" s="218">
        <v>4</v>
      </c>
      <c r="J33" s="213">
        <f>D33*I33</f>
        <v>4.2620857182511926</v>
      </c>
      <c r="K33" s="70"/>
      <c r="L33" s="70"/>
      <c r="M33" s="70"/>
      <c r="N33" s="70"/>
      <c r="O33" s="73"/>
    </row>
    <row r="34" spans="1:15" x14ac:dyDescent="0.25">
      <c r="A34" s="93"/>
      <c r="B34" s="94"/>
      <c r="C34" s="94"/>
      <c r="D34" s="94"/>
      <c r="E34" s="94"/>
      <c r="F34" s="94"/>
      <c r="G34" s="94"/>
      <c r="H34" s="94"/>
      <c r="I34" s="100" t="s">
        <v>60</v>
      </c>
      <c r="J34" s="95">
        <f>SUM(J33:J33)</f>
        <v>4.2620857182511926</v>
      </c>
      <c r="K34" s="70"/>
      <c r="L34" s="70"/>
      <c r="M34" s="70"/>
      <c r="N34" s="70"/>
      <c r="O34" s="73"/>
    </row>
    <row r="35" spans="1:15" ht="15.75" thickBot="1" x14ac:dyDescent="0.3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5"/>
    </row>
    <row r="36" spans="1:15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</row>
  </sheetData>
  <hyperlinks>
    <hyperlink ref="B10" location="'WT 03001'!A1" display="'WT 03001'!A1" xr:uid="{00000000-0004-0000-0D00-000000000000}"/>
    <hyperlink ref="B11" location="'WT 03002'!A1" display="Rear Bearing Spacer" xr:uid="{00000000-0004-0000-0D00-000001000000}"/>
    <hyperlink ref="B13" location="'WT 03004'!A1" display="Tripod Housing Spacer" xr:uid="{00000000-0004-0000-0D00-000002000000}"/>
    <hyperlink ref="B14" location="'WT 03005'!A1" display="Speed Sensor Disc" xr:uid="{00000000-0004-0000-0D00-000003000000}"/>
    <hyperlink ref="B12" location="'WT 03003'!A1" display="Front Wheel Spacer" xr:uid="{00000000-0004-0000-0D00-000004000000}"/>
    <hyperlink ref="E2" location="WT_A0300_BOM" display="Back to BOM" xr:uid="{45CC4892-5847-45B8-BA21-D6BF0098FDDB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FFCC"/>
    <pageSetUpPr fitToPage="1"/>
  </sheetPr>
  <dimension ref="A1:O25"/>
  <sheetViews>
    <sheetView zoomScale="90" zoomScaleNormal="90" workbookViewId="0">
      <selection activeCell="G23" sqref="G23"/>
    </sheetView>
  </sheetViews>
  <sheetFormatPr baseColWidth="10" defaultColWidth="9.140625" defaultRowHeight="15" x14ac:dyDescent="0.25"/>
  <cols>
    <col min="1" max="1" width="9.140625" style="67"/>
    <col min="2" max="2" width="27.28515625" style="67" customWidth="1"/>
    <col min="3" max="3" width="14.42578125" style="67" customWidth="1"/>
    <col min="4" max="4" width="8.28515625" style="67" bestFit="1" customWidth="1"/>
    <col min="5" max="6" width="9.140625" style="67"/>
    <col min="7" max="7" width="20" style="67" customWidth="1"/>
    <col min="8" max="8" width="9.140625" style="67"/>
    <col min="9" max="9" width="18.28515625" style="67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WT_03001_m+WT_03001_p</f>
        <v>52.730637179680002</v>
      </c>
      <c r="O2" s="73"/>
    </row>
    <row r="3" spans="1:15" x14ac:dyDescent="0.25">
      <c r="A3" s="141" t="s">
        <v>34</v>
      </c>
      <c r="B3" s="69" t="str">
        <f>'WT A0300'!B3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152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52.730637179680002</v>
      </c>
      <c r="O5" s="73"/>
    </row>
    <row r="6" spans="1:15" x14ac:dyDescent="0.25">
      <c r="A6" s="141" t="s">
        <v>40</v>
      </c>
      <c r="B6" s="143" t="s">
        <v>153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126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30" x14ac:dyDescent="0.25">
      <c r="A11" s="219">
        <v>10</v>
      </c>
      <c r="B11" s="220" t="s">
        <v>125</v>
      </c>
      <c r="C11" s="221"/>
      <c r="D11" s="197">
        <v>4.2</v>
      </c>
      <c r="E11" s="222">
        <f>J11*K11*L11</f>
        <v>2.8711040904000007</v>
      </c>
      <c r="F11" s="221" t="s">
        <v>124</v>
      </c>
      <c r="G11" s="221"/>
      <c r="H11" s="223"/>
      <c r="I11" s="224" t="s">
        <v>123</v>
      </c>
      <c r="J11" s="225">
        <f>(65*10^-3)^2*3.14</f>
        <v>1.3266500000000002E-2</v>
      </c>
      <c r="K11" s="226">
        <f>(55.7+8.1+14+2)*10^-3</f>
        <v>7.980000000000001E-2</v>
      </c>
      <c r="L11" s="227">
        <v>2712</v>
      </c>
      <c r="M11" s="228">
        <v>1</v>
      </c>
      <c r="N11" s="197">
        <f>D11*E11</f>
        <v>12.058637179680003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5" t="s">
        <v>60</v>
      </c>
      <c r="N12" s="119">
        <f>N11*M11</f>
        <v>12.058637179680003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96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30" x14ac:dyDescent="0.25">
      <c r="A15" s="207">
        <v>10</v>
      </c>
      <c r="B15" s="206" t="s">
        <v>119</v>
      </c>
      <c r="C15" s="206" t="s">
        <v>122</v>
      </c>
      <c r="D15" s="200">
        <v>1.3</v>
      </c>
      <c r="E15" s="207" t="s">
        <v>70</v>
      </c>
      <c r="F15" s="207">
        <v>1</v>
      </c>
      <c r="G15" s="207"/>
      <c r="H15" s="207">
        <v>1</v>
      </c>
      <c r="I15" s="197">
        <f t="shared" ref="I15:I23" si="0"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25">
      <c r="A16" s="207">
        <v>20</v>
      </c>
      <c r="B16" s="206" t="s">
        <v>117</v>
      </c>
      <c r="C16" s="206" t="s">
        <v>120</v>
      </c>
      <c r="D16" s="200">
        <v>0.04</v>
      </c>
      <c r="E16" s="207" t="s">
        <v>115</v>
      </c>
      <c r="F16" s="207">
        <v>652.29999999999995</v>
      </c>
      <c r="G16" s="207" t="s">
        <v>110</v>
      </c>
      <c r="H16" s="207">
        <v>1</v>
      </c>
      <c r="I16" s="197">
        <f t="shared" si="0"/>
        <v>26.091999999999999</v>
      </c>
      <c r="J16" s="70"/>
      <c r="K16" s="70"/>
      <c r="L16" s="70"/>
      <c r="M16" s="70"/>
      <c r="N16" s="70"/>
      <c r="O16" s="73"/>
    </row>
    <row r="17" spans="1:15" s="110" customFormat="1" ht="30" x14ac:dyDescent="0.25">
      <c r="A17" s="207">
        <v>30</v>
      </c>
      <c r="B17" s="206" t="s">
        <v>118</v>
      </c>
      <c r="C17" s="206" t="s">
        <v>121</v>
      </c>
      <c r="D17" s="200">
        <v>0.65</v>
      </c>
      <c r="E17" s="207" t="s">
        <v>70</v>
      </c>
      <c r="F17" s="207">
        <v>1</v>
      </c>
      <c r="G17" s="207"/>
      <c r="H17" s="207">
        <v>1</v>
      </c>
      <c r="I17" s="197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x14ac:dyDescent="0.25">
      <c r="A18" s="207">
        <v>40</v>
      </c>
      <c r="B18" s="206" t="s">
        <v>117</v>
      </c>
      <c r="C18" s="206" t="s">
        <v>120</v>
      </c>
      <c r="D18" s="200">
        <v>0.04</v>
      </c>
      <c r="E18" s="207" t="s">
        <v>115</v>
      </c>
      <c r="F18" s="207">
        <f>13.2+53.1-2.8</f>
        <v>63.5</v>
      </c>
      <c r="G18" s="207" t="s">
        <v>110</v>
      </c>
      <c r="H18" s="207">
        <v>1</v>
      </c>
      <c r="I18" s="197">
        <f t="shared" si="0"/>
        <v>2.54</v>
      </c>
      <c r="J18" s="75"/>
      <c r="K18" s="75"/>
      <c r="L18" s="75"/>
      <c r="M18" s="75"/>
      <c r="N18" s="75"/>
      <c r="O18" s="109"/>
    </row>
    <row r="19" spans="1:15" s="110" customFormat="1" ht="30" x14ac:dyDescent="0.25">
      <c r="A19" s="207">
        <v>50</v>
      </c>
      <c r="B19" s="206" t="s">
        <v>119</v>
      </c>
      <c r="C19" s="206"/>
      <c r="D19" s="200">
        <v>1.3</v>
      </c>
      <c r="E19" s="207" t="s">
        <v>70</v>
      </c>
      <c r="F19" s="207">
        <v>1</v>
      </c>
      <c r="G19" s="207"/>
      <c r="H19" s="207">
        <v>1</v>
      </c>
      <c r="I19" s="197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x14ac:dyDescent="0.25">
      <c r="A20" s="207">
        <v>60</v>
      </c>
      <c r="B20" s="206" t="s">
        <v>117</v>
      </c>
      <c r="C20" s="206" t="s">
        <v>116</v>
      </c>
      <c r="D20" s="200">
        <v>0.04</v>
      </c>
      <c r="E20" s="207" t="s">
        <v>115</v>
      </c>
      <c r="F20" s="207">
        <v>149</v>
      </c>
      <c r="G20" s="207" t="s">
        <v>110</v>
      </c>
      <c r="H20" s="207">
        <v>1</v>
      </c>
      <c r="I20" s="197">
        <f t="shared" si="0"/>
        <v>5.96</v>
      </c>
      <c r="J20" s="75"/>
      <c r="K20" s="75"/>
      <c r="L20" s="75"/>
      <c r="M20" s="75"/>
      <c r="N20" s="75"/>
      <c r="O20" s="109"/>
    </row>
    <row r="21" spans="1:15" s="110" customFormat="1" x14ac:dyDescent="0.25">
      <c r="A21" s="207">
        <v>70</v>
      </c>
      <c r="B21" s="206" t="s">
        <v>118</v>
      </c>
      <c r="C21" s="206"/>
      <c r="D21" s="200">
        <v>0.65</v>
      </c>
      <c r="E21" s="207" t="s">
        <v>70</v>
      </c>
      <c r="F21" s="207">
        <v>1</v>
      </c>
      <c r="G21" s="207"/>
      <c r="H21" s="207">
        <v>1</v>
      </c>
      <c r="I21" s="197">
        <f t="shared" si="0"/>
        <v>0.65</v>
      </c>
      <c r="J21" s="75"/>
      <c r="K21" s="75"/>
      <c r="L21" s="75"/>
      <c r="M21" s="75"/>
      <c r="N21" s="75"/>
      <c r="O21" s="109"/>
    </row>
    <row r="22" spans="1:15" ht="30" x14ac:dyDescent="0.25">
      <c r="A22" s="207">
        <v>80</v>
      </c>
      <c r="B22" s="198" t="s">
        <v>114</v>
      </c>
      <c r="C22" s="206" t="s">
        <v>113</v>
      </c>
      <c r="D22" s="200">
        <v>0.1</v>
      </c>
      <c r="E22" s="207" t="s">
        <v>79</v>
      </c>
      <c r="F22" s="207">
        <v>6</v>
      </c>
      <c r="G22" s="207" t="s">
        <v>110</v>
      </c>
      <c r="H22" s="207">
        <v>1</v>
      </c>
      <c r="I22" s="197">
        <f t="shared" si="0"/>
        <v>0.60000000000000009</v>
      </c>
      <c r="J22" s="70"/>
      <c r="K22" s="70"/>
      <c r="L22" s="70"/>
      <c r="M22" s="70"/>
      <c r="N22" s="70"/>
      <c r="O22" s="73"/>
    </row>
    <row r="23" spans="1:15" ht="30" x14ac:dyDescent="0.25">
      <c r="A23" s="207">
        <v>100</v>
      </c>
      <c r="B23" s="198" t="s">
        <v>154</v>
      </c>
      <c r="C23" s="207" t="s">
        <v>155</v>
      </c>
      <c r="D23" s="208">
        <v>0.2</v>
      </c>
      <c r="E23" s="207" t="s">
        <v>79</v>
      </c>
      <c r="F23" s="207">
        <v>7.9</v>
      </c>
      <c r="G23" s="207" t="s">
        <v>110</v>
      </c>
      <c r="H23" s="207">
        <v>1</v>
      </c>
      <c r="I23" s="197">
        <f t="shared" si="0"/>
        <v>1.58</v>
      </c>
      <c r="J23" s="70"/>
      <c r="K23" s="70"/>
      <c r="L23" s="70"/>
      <c r="M23" s="70"/>
      <c r="N23" s="70"/>
      <c r="O23" s="73"/>
    </row>
    <row r="24" spans="1:15" x14ac:dyDescent="0.25">
      <c r="A24" s="93"/>
      <c r="B24" s="94"/>
      <c r="C24" s="94"/>
      <c r="D24" s="94"/>
      <c r="E24" s="94"/>
      <c r="F24" s="94"/>
      <c r="G24" s="94"/>
      <c r="H24" s="120" t="s">
        <v>60</v>
      </c>
      <c r="I24" s="119">
        <f>SUM(I15:I23)</f>
        <v>40.671999999999997</v>
      </c>
      <c r="J24" s="70"/>
      <c r="K24" s="70"/>
      <c r="L24" s="70"/>
      <c r="M24" s="70"/>
      <c r="N24" s="70"/>
      <c r="O24" s="73"/>
    </row>
    <row r="25" spans="1:15" ht="15.75" thickBot="1" x14ac:dyDescent="0.3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5"/>
    </row>
  </sheetData>
  <hyperlinks>
    <hyperlink ref="E3" location="dWT_03001" display="Drawing" xr:uid="{00000000-0004-0000-0E00-000000000000}"/>
    <hyperlink ref="B4" location="'WT A0300'!A1" display="'WT A0300'!A1" xr:uid="{00000000-0004-0000-0E00-000001000000}"/>
    <hyperlink ref="G2" location="WT_A0300_BOM" display="Back to BOM" xr:uid="{144F2B38-434F-41FF-B1F6-D5C793A094D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FFCC"/>
    <pageSetUpPr fitToPage="1"/>
  </sheetPr>
  <dimension ref="A1:B31"/>
  <sheetViews>
    <sheetView zoomScaleNormal="100"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163</v>
      </c>
    </row>
    <row r="31" spans="1:1" x14ac:dyDescent="0.25">
      <c r="A31" s="67" t="s">
        <v>156</v>
      </c>
    </row>
  </sheetData>
  <hyperlinks>
    <hyperlink ref="B1" location="WT_03001" display="WT_03001" xr:uid="{00000000-0004-0000-0F00-000000000000}"/>
  </hyperlinks>
  <pageMargins left="0.7" right="0.7" top="0.75" bottom="0.75" header="0.3" footer="0.3"/>
  <pageSetup paperSize="9" scale="74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FFCC"/>
    <pageSetUpPr fitToPage="1"/>
  </sheetPr>
  <dimension ref="A1:O20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1" max="1" width="9.140625" style="67"/>
    <col min="2" max="2" width="24.7109375" style="67" customWidth="1"/>
    <col min="3" max="3" width="21.28515625" style="67" bestFit="1" customWidth="1"/>
    <col min="4" max="6" width="9.140625" style="67"/>
    <col min="7" max="7" width="11.7109375" style="67" bestFit="1" customWidth="1"/>
    <col min="8" max="8" width="9.140625" style="67"/>
    <col min="9" max="9" width="15.85546875" style="67" bestFit="1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WT_03002_m+WT_03002_p</f>
        <v>3.9690868631840006</v>
      </c>
      <c r="O2" s="73"/>
    </row>
    <row r="3" spans="1:15" x14ac:dyDescent="0.25">
      <c r="A3" s="141" t="s">
        <v>34</v>
      </c>
      <c r="B3" s="69" t="str">
        <f>'WT A0300'!B3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132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3.9690868631840006</v>
      </c>
      <c r="O5" s="73"/>
    </row>
    <row r="6" spans="1:15" x14ac:dyDescent="0.25">
      <c r="A6" s="141" t="s">
        <v>40</v>
      </c>
      <c r="B6" s="143" t="s">
        <v>157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131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30" x14ac:dyDescent="0.25">
      <c r="A11" s="219">
        <v>10</v>
      </c>
      <c r="B11" s="220" t="s">
        <v>125</v>
      </c>
      <c r="C11" s="221"/>
      <c r="D11" s="197">
        <v>4.2</v>
      </c>
      <c r="E11" s="222">
        <f>J11*K11*L11</f>
        <v>0.15883020551999999</v>
      </c>
      <c r="F11" s="221" t="s">
        <v>124</v>
      </c>
      <c r="G11" s="221"/>
      <c r="H11" s="223"/>
      <c r="I11" s="224" t="s">
        <v>130</v>
      </c>
      <c r="J11" s="225">
        <f>(73/2*10^-3)^2*3.14</f>
        <v>4.1832649999999994E-3</v>
      </c>
      <c r="K11" s="226">
        <v>1.4E-2</v>
      </c>
      <c r="L11" s="227">
        <v>2712</v>
      </c>
      <c r="M11" s="228">
        <v>1</v>
      </c>
      <c r="N11" s="197">
        <f>D11*E11</f>
        <v>0.66708686318400001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5" t="s">
        <v>60</v>
      </c>
      <c r="N12" s="119">
        <f>N11*M11</f>
        <v>0.66708686318400001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96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30" x14ac:dyDescent="0.25">
      <c r="A15" s="207">
        <v>10</v>
      </c>
      <c r="B15" s="206" t="s">
        <v>119</v>
      </c>
      <c r="C15" s="206" t="s">
        <v>122</v>
      </c>
      <c r="D15" s="200">
        <v>1.3</v>
      </c>
      <c r="E15" s="207" t="s">
        <v>70</v>
      </c>
      <c r="F15" s="207">
        <v>1</v>
      </c>
      <c r="G15" s="207"/>
      <c r="H15" s="207">
        <v>1</v>
      </c>
      <c r="I15" s="197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ht="30" x14ac:dyDescent="0.25">
      <c r="A16" s="207">
        <v>20</v>
      </c>
      <c r="B16" s="206" t="s">
        <v>117</v>
      </c>
      <c r="C16" s="206" t="s">
        <v>120</v>
      </c>
      <c r="D16" s="200">
        <v>0.04</v>
      </c>
      <c r="E16" s="207" t="s">
        <v>115</v>
      </c>
      <c r="F16" s="207">
        <v>28.3</v>
      </c>
      <c r="G16" s="207" t="s">
        <v>110</v>
      </c>
      <c r="H16" s="207">
        <v>1</v>
      </c>
      <c r="I16" s="197">
        <f>IF(H16="",D16*F16,D16*F16*H16)</f>
        <v>1.1320000000000001</v>
      </c>
      <c r="J16" s="70"/>
      <c r="K16" s="70"/>
      <c r="L16" s="70"/>
      <c r="M16" s="70"/>
      <c r="N16" s="70"/>
      <c r="O16" s="73"/>
    </row>
    <row r="17" spans="1:15" s="110" customFormat="1" ht="30" x14ac:dyDescent="0.25">
      <c r="A17" s="207">
        <v>30</v>
      </c>
      <c r="B17" s="206" t="s">
        <v>118</v>
      </c>
      <c r="C17" s="206" t="s">
        <v>121</v>
      </c>
      <c r="D17" s="200">
        <v>0.65</v>
      </c>
      <c r="E17" s="207" t="s">
        <v>70</v>
      </c>
      <c r="F17" s="207">
        <v>1</v>
      </c>
      <c r="G17" s="207"/>
      <c r="H17" s="207">
        <v>1</v>
      </c>
      <c r="I17" s="197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ht="30" x14ac:dyDescent="0.25">
      <c r="A18" s="207">
        <v>40</v>
      </c>
      <c r="B18" s="206" t="s">
        <v>117</v>
      </c>
      <c r="C18" s="206" t="s">
        <v>120</v>
      </c>
      <c r="D18" s="200">
        <v>0.04</v>
      </c>
      <c r="E18" s="207" t="s">
        <v>115</v>
      </c>
      <c r="F18" s="207">
        <v>5.5</v>
      </c>
      <c r="G18" s="207" t="s">
        <v>110</v>
      </c>
      <c r="H18" s="207">
        <v>1</v>
      </c>
      <c r="I18" s="197">
        <f>IF(H18="",D18*F18,D18*F18*H18)</f>
        <v>0.22</v>
      </c>
      <c r="J18" s="75"/>
      <c r="K18" s="75"/>
      <c r="L18" s="75"/>
      <c r="M18" s="75"/>
      <c r="N18" s="75"/>
      <c r="O18" s="109"/>
    </row>
    <row r="19" spans="1:15" x14ac:dyDescent="0.25">
      <c r="A19" s="93"/>
      <c r="B19" s="94"/>
      <c r="C19" s="94"/>
      <c r="D19" s="94"/>
      <c r="E19" s="94"/>
      <c r="F19" s="94"/>
      <c r="G19" s="94"/>
      <c r="H19" s="120" t="s">
        <v>60</v>
      </c>
      <c r="I19" s="119">
        <f>SUM(I15:I18)</f>
        <v>3.3020000000000005</v>
      </c>
      <c r="J19" s="94"/>
      <c r="K19" s="94"/>
      <c r="L19" s="94"/>
      <c r="M19" s="94"/>
      <c r="N19" s="94"/>
      <c r="O19" s="73"/>
    </row>
    <row r="20" spans="1:15" ht="15.75" thickBot="1" x14ac:dyDescent="0.3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5"/>
    </row>
  </sheetData>
  <hyperlinks>
    <hyperlink ref="E3" location="dWT_03002" display="Drawing" xr:uid="{00000000-0004-0000-1000-000000000000}"/>
    <hyperlink ref="B4" location="'WT A0300'!A1" display="'WT A0300'!A1" xr:uid="{00000000-0004-0000-1000-000001000000}"/>
    <hyperlink ref="G2" location="WT_A0300_BOM" display="Back to BOM" xr:uid="{CB4E57A6-9837-4B0B-B07B-EE66BD175C3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164</v>
      </c>
    </row>
  </sheetData>
  <hyperlinks>
    <hyperlink ref="B1" location="WT_03002" display="WT_03002" xr:uid="{00000000-0004-0000-11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FFCC"/>
    <pageSetUpPr fitToPage="1"/>
  </sheetPr>
  <dimension ref="A1:O22"/>
  <sheetViews>
    <sheetView zoomScaleNormal="100" workbookViewId="0">
      <selection activeCell="C21" sqref="C21"/>
    </sheetView>
  </sheetViews>
  <sheetFormatPr baseColWidth="10" defaultColWidth="9.140625" defaultRowHeight="15" x14ac:dyDescent="0.25"/>
  <cols>
    <col min="1" max="1" width="9.140625" style="67"/>
    <col min="2" max="2" width="34" style="67" customWidth="1"/>
    <col min="3" max="3" width="23.85546875" style="67" customWidth="1"/>
    <col min="4" max="6" width="9.140625" style="67"/>
    <col min="7" max="7" width="18.42578125" style="67" customWidth="1"/>
    <col min="8" max="8" width="9.140625" style="67"/>
    <col min="9" max="9" width="12" style="67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WT_03003_m+WT_03003_p</f>
        <v>22.316657798400001</v>
      </c>
      <c r="O2" s="73"/>
    </row>
    <row r="3" spans="1:15" x14ac:dyDescent="0.25">
      <c r="A3" s="141" t="s">
        <v>34</v>
      </c>
      <c r="B3" s="69" t="str">
        <f>'WT A0300'!B3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149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22.316657798400001</v>
      </c>
      <c r="O5" s="73"/>
    </row>
    <row r="6" spans="1:15" x14ac:dyDescent="0.25">
      <c r="A6" s="141" t="s">
        <v>40</v>
      </c>
      <c r="B6" s="143" t="s">
        <v>158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133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45" x14ac:dyDescent="0.25">
      <c r="A11" s="185">
        <v>10</v>
      </c>
      <c r="B11" s="186" t="s">
        <v>125</v>
      </c>
      <c r="C11" s="187"/>
      <c r="D11" s="188">
        <v>4.2</v>
      </c>
      <c r="E11" s="189">
        <f>J11*K11*L11</f>
        <v>0.86348995200000023</v>
      </c>
      <c r="F11" s="187" t="s">
        <v>124</v>
      </c>
      <c r="G11" s="187"/>
      <c r="H11" s="190"/>
      <c r="I11" s="224" t="s">
        <v>123</v>
      </c>
      <c r="J11" s="191">
        <f>(65*10^-3)^2*3.14</f>
        <v>1.3266500000000002E-2</v>
      </c>
      <c r="K11" s="192">
        <v>2.4E-2</v>
      </c>
      <c r="L11" s="193">
        <v>2712</v>
      </c>
      <c r="M11" s="194">
        <v>1</v>
      </c>
      <c r="N11" s="188">
        <f>D11*E11</f>
        <v>3.626657798400001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5" t="s">
        <v>60</v>
      </c>
      <c r="N12" s="119">
        <f>N11*M11</f>
        <v>3.626657798400001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96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30" x14ac:dyDescent="0.25">
      <c r="A15" s="207">
        <v>10</v>
      </c>
      <c r="B15" s="206" t="s">
        <v>119</v>
      </c>
      <c r="C15" s="206" t="s">
        <v>122</v>
      </c>
      <c r="D15" s="200">
        <v>1.3</v>
      </c>
      <c r="E15" s="207" t="s">
        <v>70</v>
      </c>
      <c r="F15" s="207">
        <v>1</v>
      </c>
      <c r="G15" s="207"/>
      <c r="H15" s="207">
        <v>1</v>
      </c>
      <c r="I15" s="197">
        <f t="shared" ref="I15:I19" si="0">IF(H15="",D15*F15,D15*F15*H15)</f>
        <v>1.3</v>
      </c>
      <c r="J15" s="122"/>
      <c r="K15" s="122"/>
      <c r="L15" s="122"/>
      <c r="M15" s="122"/>
      <c r="N15" s="122"/>
      <c r="O15" s="96"/>
    </row>
    <row r="16" spans="1:15" ht="30" x14ac:dyDescent="0.25">
      <c r="A16" s="207">
        <v>20</v>
      </c>
      <c r="B16" s="206" t="s">
        <v>117</v>
      </c>
      <c r="C16" s="206" t="s">
        <v>120</v>
      </c>
      <c r="D16" s="200">
        <v>0.04</v>
      </c>
      <c r="E16" s="207" t="s">
        <v>115</v>
      </c>
      <c r="F16" s="207">
        <v>135</v>
      </c>
      <c r="G16" s="207" t="s">
        <v>110</v>
      </c>
      <c r="H16" s="207">
        <v>1</v>
      </c>
      <c r="I16" s="197">
        <f>IF(H16="",D16*F16,D16*F16*H16)</f>
        <v>5.4</v>
      </c>
      <c r="J16" s="70"/>
      <c r="K16" s="70"/>
      <c r="L16" s="70"/>
      <c r="M16" s="70"/>
      <c r="N16" s="70"/>
      <c r="O16" s="73"/>
    </row>
    <row r="17" spans="1:15" s="110" customFormat="1" x14ac:dyDescent="0.25">
      <c r="A17" s="207">
        <v>30</v>
      </c>
      <c r="B17" s="206" t="s">
        <v>118</v>
      </c>
      <c r="C17" s="206" t="s">
        <v>121</v>
      </c>
      <c r="D17" s="200">
        <v>0.65</v>
      </c>
      <c r="E17" s="207" t="s">
        <v>70</v>
      </c>
      <c r="F17" s="207">
        <v>1</v>
      </c>
      <c r="G17" s="207"/>
      <c r="H17" s="207">
        <v>1</v>
      </c>
      <c r="I17" s="197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ht="30" x14ac:dyDescent="0.25">
      <c r="A18" s="207">
        <v>40</v>
      </c>
      <c r="B18" s="206" t="s">
        <v>117</v>
      </c>
      <c r="C18" s="206" t="s">
        <v>120</v>
      </c>
      <c r="D18" s="200">
        <v>0.04</v>
      </c>
      <c r="E18" s="207" t="s">
        <v>115</v>
      </c>
      <c r="F18" s="207">
        <v>102</v>
      </c>
      <c r="G18" s="207" t="s">
        <v>110</v>
      </c>
      <c r="H18" s="207">
        <v>1</v>
      </c>
      <c r="I18" s="197">
        <f>IF(H18="",D18*F18,D18*F18*H18)</f>
        <v>4.08</v>
      </c>
      <c r="J18" s="75"/>
      <c r="K18" s="75"/>
      <c r="L18" s="75"/>
      <c r="M18" s="75"/>
      <c r="N18" s="75"/>
      <c r="O18" s="109"/>
    </row>
    <row r="19" spans="1:15" s="110" customFormat="1" ht="30" x14ac:dyDescent="0.25">
      <c r="A19" s="207">
        <v>50</v>
      </c>
      <c r="B19" s="206" t="s">
        <v>119</v>
      </c>
      <c r="C19" s="206"/>
      <c r="D19" s="200">
        <v>1.3</v>
      </c>
      <c r="E19" s="207" t="s">
        <v>70</v>
      </c>
      <c r="F19" s="207">
        <v>1</v>
      </c>
      <c r="G19" s="207"/>
      <c r="H19" s="207">
        <v>1</v>
      </c>
      <c r="I19" s="197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ht="30" x14ac:dyDescent="0.25">
      <c r="A20" s="207">
        <v>60</v>
      </c>
      <c r="B20" s="206" t="s">
        <v>117</v>
      </c>
      <c r="C20" s="206" t="s">
        <v>116</v>
      </c>
      <c r="D20" s="200">
        <v>0.04</v>
      </c>
      <c r="E20" s="207" t="s">
        <v>115</v>
      </c>
      <c r="F20" s="207">
        <v>149</v>
      </c>
      <c r="G20" s="207" t="s">
        <v>110</v>
      </c>
      <c r="H20" s="207">
        <v>1</v>
      </c>
      <c r="I20" s="197">
        <f>IF(H20="",D20*F20,D20*F20*H20)</f>
        <v>5.96</v>
      </c>
      <c r="J20" s="75"/>
      <c r="K20" s="75"/>
      <c r="L20" s="75"/>
      <c r="M20" s="75"/>
      <c r="N20" s="75"/>
      <c r="O20" s="109"/>
    </row>
    <row r="21" spans="1:15" x14ac:dyDescent="0.25">
      <c r="A21" s="93"/>
      <c r="B21" s="94"/>
      <c r="C21" s="94"/>
      <c r="D21" s="94"/>
      <c r="E21" s="94"/>
      <c r="F21" s="94"/>
      <c r="G21" s="94"/>
      <c r="H21" s="120" t="s">
        <v>60</v>
      </c>
      <c r="I21" s="119">
        <f>SUM(I15:I20)</f>
        <v>18.690000000000001</v>
      </c>
      <c r="J21" s="94"/>
      <c r="K21" s="94"/>
      <c r="L21" s="94"/>
      <c r="M21" s="94"/>
      <c r="N21" s="94"/>
      <c r="O21" s="73"/>
    </row>
    <row r="22" spans="1:15" ht="15.75" thickBot="1" x14ac:dyDescent="0.3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5"/>
    </row>
  </sheetData>
  <hyperlinks>
    <hyperlink ref="B4" location="'WT A0300'!A1" display="'WT A0300'!A1" xr:uid="{00000000-0004-0000-1200-000000000000}"/>
    <hyperlink ref="E3" location="dWT_03003" display="Drawing" xr:uid="{00000000-0004-0000-1200-000001000000}"/>
    <hyperlink ref="G2" location="WT_A0300_BOM" display="Back to BOM" xr:uid="{35088D13-9E4C-462A-9D80-6AB71B2ADB9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CCFF"/>
    <pageSetUpPr fitToPage="1"/>
  </sheetPr>
  <dimension ref="A1:O26"/>
  <sheetViews>
    <sheetView zoomScale="75" zoomScaleNormal="75" zoomScaleSheetLayoutView="80" workbookViewId="0">
      <selection activeCell="N27" sqref="N27"/>
    </sheetView>
  </sheetViews>
  <sheetFormatPr baseColWidth="10" defaultColWidth="9.140625" defaultRowHeight="15" x14ac:dyDescent="0.25"/>
  <cols>
    <col min="1" max="1" width="9.140625" style="67"/>
    <col min="2" max="2" width="32.7109375" style="67" customWidth="1"/>
    <col min="3" max="3" width="19.7109375" style="67" customWidth="1"/>
    <col min="4" max="13" width="9.140625" style="67"/>
    <col min="14" max="14" width="10.28515625" style="67" customWidth="1"/>
    <col min="15" max="15" width="8.57031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68" t="s">
        <v>24</v>
      </c>
      <c r="B2" s="69" t="s">
        <v>23</v>
      </c>
      <c r="C2" s="70"/>
      <c r="D2" s="70"/>
      <c r="E2" s="106" t="s">
        <v>32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33</v>
      </c>
      <c r="N2" s="72">
        <f>WT_A0100_m+WT_A0100_p+WT_A0100_f</f>
        <v>175.23</v>
      </c>
      <c r="O2" s="73"/>
    </row>
    <row r="3" spans="1:15" x14ac:dyDescent="0.25">
      <c r="A3" s="68" t="s">
        <v>34</v>
      </c>
      <c r="B3" s="69" t="s">
        <v>35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36</v>
      </c>
      <c r="N3" s="74">
        <v>4</v>
      </c>
      <c r="O3" s="73"/>
    </row>
    <row r="4" spans="1:15" x14ac:dyDescent="0.25">
      <c r="A4" s="68" t="s">
        <v>37</v>
      </c>
      <c r="B4" s="75" t="s">
        <v>38</v>
      </c>
      <c r="C4" s="70"/>
      <c r="D4" s="70"/>
      <c r="E4" s="70"/>
      <c r="F4" s="70"/>
      <c r="G4" s="70"/>
      <c r="H4" s="70"/>
      <c r="I4" s="70"/>
      <c r="J4" s="76" t="s">
        <v>39</v>
      </c>
      <c r="K4" s="70"/>
      <c r="L4" s="70"/>
      <c r="M4" s="70"/>
      <c r="N4" s="70"/>
      <c r="O4" s="73"/>
    </row>
    <row r="5" spans="1:15" x14ac:dyDescent="0.25">
      <c r="A5" s="68" t="s">
        <v>40</v>
      </c>
      <c r="B5" s="77" t="s">
        <v>41</v>
      </c>
      <c r="C5" s="70"/>
      <c r="D5" s="70"/>
      <c r="E5" s="70"/>
      <c r="F5" s="70"/>
      <c r="G5" s="70"/>
      <c r="H5" s="70"/>
      <c r="I5" s="70"/>
      <c r="J5" s="76" t="s">
        <v>42</v>
      </c>
      <c r="K5" s="70"/>
      <c r="L5" s="70"/>
      <c r="M5" s="68" t="s">
        <v>43</v>
      </c>
      <c r="N5" s="78">
        <f>N2*N3</f>
        <v>700.92</v>
      </c>
      <c r="O5" s="73"/>
    </row>
    <row r="6" spans="1:15" x14ac:dyDescent="0.25">
      <c r="A6" s="68" t="s">
        <v>44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45</v>
      </c>
      <c r="K6" s="70"/>
      <c r="L6" s="70"/>
      <c r="M6" s="70"/>
      <c r="N6" s="70"/>
      <c r="O6" s="73"/>
    </row>
    <row r="7" spans="1:15" x14ac:dyDescent="0.25">
      <c r="A7" s="68" t="s">
        <v>46</v>
      </c>
      <c r="B7" s="69" t="s">
        <v>47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79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68" t="s">
        <v>48</v>
      </c>
      <c r="B10" s="68" t="s">
        <v>49</v>
      </c>
      <c r="C10" s="68" t="s">
        <v>50</v>
      </c>
      <c r="D10" s="68" t="s">
        <v>51</v>
      </c>
      <c r="E10" s="68" t="s">
        <v>52</v>
      </c>
      <c r="F10" s="68" t="s">
        <v>53</v>
      </c>
      <c r="G10" s="68" t="s">
        <v>54</v>
      </c>
      <c r="H10" s="68" t="s">
        <v>55</v>
      </c>
      <c r="I10" s="68" t="s">
        <v>56</v>
      </c>
      <c r="J10" s="68" t="s">
        <v>57</v>
      </c>
      <c r="K10" s="68" t="s">
        <v>58</v>
      </c>
      <c r="L10" s="68" t="s">
        <v>59</v>
      </c>
      <c r="M10" s="68" t="s">
        <v>8</v>
      </c>
      <c r="N10" s="68" t="s">
        <v>60</v>
      </c>
      <c r="O10" s="73"/>
    </row>
    <row r="11" spans="1:15" x14ac:dyDescent="0.25">
      <c r="A11" s="80">
        <v>10</v>
      </c>
      <c r="B11" s="81" t="s">
        <v>61</v>
      </c>
      <c r="C11" s="80" t="s">
        <v>62</v>
      </c>
      <c r="D11" s="82">
        <v>80</v>
      </c>
      <c r="E11" s="80"/>
      <c r="F11" s="80" t="s">
        <v>63</v>
      </c>
      <c r="G11" s="80"/>
      <c r="H11" s="83"/>
      <c r="I11" s="84"/>
      <c r="J11" s="85"/>
      <c r="K11" s="83"/>
      <c r="L11" s="83"/>
      <c r="M11" s="86">
        <v>1</v>
      </c>
      <c r="N11" s="87">
        <f>IF(J11="",D11*M11,D11*J11*K11*L11*M11)</f>
        <v>80</v>
      </c>
      <c r="O11" s="73"/>
    </row>
    <row r="12" spans="1:15" s="89" customFormat="1" x14ac:dyDescent="0.25">
      <c r="A12" s="80">
        <v>20</v>
      </c>
      <c r="B12" s="81" t="s">
        <v>64</v>
      </c>
      <c r="C12" s="80" t="s">
        <v>65</v>
      </c>
      <c r="D12" s="82">
        <v>85</v>
      </c>
      <c r="E12" s="80"/>
      <c r="F12" s="80" t="s">
        <v>63</v>
      </c>
      <c r="G12" s="80"/>
      <c r="H12" s="83"/>
      <c r="I12" s="84"/>
      <c r="J12" s="85"/>
      <c r="K12" s="83"/>
      <c r="L12" s="83"/>
      <c r="M12" s="86">
        <v>1</v>
      </c>
      <c r="N12" s="87">
        <f>IF(J12="",D12*M12,D12*J12*K12*L12*M12)</f>
        <v>85</v>
      </c>
      <c r="O12" s="88"/>
    </row>
    <row r="13" spans="1:15" x14ac:dyDescent="0.25">
      <c r="A13" s="80">
        <v>30</v>
      </c>
      <c r="B13" s="81" t="s">
        <v>66</v>
      </c>
      <c r="C13" s="80"/>
      <c r="D13" s="82">
        <v>1</v>
      </c>
      <c r="E13" s="80"/>
      <c r="F13" s="80" t="s">
        <v>63</v>
      </c>
      <c r="G13" s="80"/>
      <c r="H13" s="83"/>
      <c r="I13" s="90"/>
      <c r="J13" s="85"/>
      <c r="K13" s="83"/>
      <c r="L13" s="91"/>
      <c r="M13" s="86">
        <v>1</v>
      </c>
      <c r="N13" s="87">
        <f>IF(J13="",D13*M13,D13*J13*K13*L13*M13)</f>
        <v>1</v>
      </c>
      <c r="O13" s="73"/>
    </row>
    <row r="14" spans="1:15" ht="30" x14ac:dyDescent="0.25">
      <c r="A14" s="80">
        <v>40</v>
      </c>
      <c r="B14" s="81" t="s">
        <v>67</v>
      </c>
      <c r="C14" s="107" t="s">
        <v>68</v>
      </c>
      <c r="D14" s="82">
        <v>4</v>
      </c>
      <c r="E14" s="80"/>
      <c r="F14" s="80" t="s">
        <v>63</v>
      </c>
      <c r="G14" s="80"/>
      <c r="H14" s="83"/>
      <c r="I14" s="90"/>
      <c r="J14" s="85"/>
      <c r="K14" s="83"/>
      <c r="L14" s="83"/>
      <c r="M14" s="92">
        <v>1</v>
      </c>
      <c r="N14" s="87">
        <f>IF(J14="",D14*M14,D14*J14*K14*L14*M14)</f>
        <v>4</v>
      </c>
      <c r="O14" s="73"/>
    </row>
    <row r="15" spans="1:15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68" t="s">
        <v>60</v>
      </c>
      <c r="N15" s="95">
        <f>SUM(N11:N14)</f>
        <v>170</v>
      </c>
      <c r="O15" s="73"/>
    </row>
    <row r="16" spans="1:15" x14ac:dyDescent="0.25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5" s="97" customFormat="1" x14ac:dyDescent="0.25">
      <c r="A17" s="68" t="s">
        <v>48</v>
      </c>
      <c r="B17" s="68" t="s">
        <v>69</v>
      </c>
      <c r="C17" s="68" t="s">
        <v>50</v>
      </c>
      <c r="D17" s="68" t="s">
        <v>51</v>
      </c>
      <c r="E17" s="68" t="s">
        <v>70</v>
      </c>
      <c r="F17" s="68" t="s">
        <v>8</v>
      </c>
      <c r="G17" s="68" t="s">
        <v>71</v>
      </c>
      <c r="H17" s="68" t="s">
        <v>72</v>
      </c>
      <c r="I17" s="68" t="s">
        <v>60</v>
      </c>
      <c r="J17" s="94"/>
      <c r="K17" s="94"/>
      <c r="L17" s="94"/>
      <c r="M17" s="94"/>
      <c r="N17" s="94"/>
      <c r="O17" s="96"/>
    </row>
    <row r="18" spans="1:15" x14ac:dyDescent="0.25">
      <c r="A18" s="80">
        <v>10</v>
      </c>
      <c r="B18" s="98" t="s">
        <v>73</v>
      </c>
      <c r="C18" s="98" t="s">
        <v>74</v>
      </c>
      <c r="D18" s="82">
        <v>0.63</v>
      </c>
      <c r="E18" s="80" t="s">
        <v>63</v>
      </c>
      <c r="F18" s="80">
        <v>1</v>
      </c>
      <c r="G18" s="80"/>
      <c r="H18" s="80">
        <v>1</v>
      </c>
      <c r="I18" s="82">
        <f>D18*F18*H18</f>
        <v>0.63</v>
      </c>
      <c r="J18" s="70"/>
      <c r="K18" s="70"/>
      <c r="L18" s="70"/>
      <c r="M18" s="70"/>
      <c r="N18" s="70"/>
      <c r="O18" s="73"/>
    </row>
    <row r="19" spans="1:15" x14ac:dyDescent="0.25">
      <c r="A19" s="80">
        <v>20</v>
      </c>
      <c r="B19" s="99" t="s">
        <v>75</v>
      </c>
      <c r="C19" s="98" t="s">
        <v>76</v>
      </c>
      <c r="D19" s="82">
        <v>0.75</v>
      </c>
      <c r="E19" s="80" t="s">
        <v>63</v>
      </c>
      <c r="F19" s="80">
        <v>4</v>
      </c>
      <c r="G19" s="80"/>
      <c r="H19" s="80">
        <v>1</v>
      </c>
      <c r="I19" s="82">
        <f>D19*F19*H19</f>
        <v>3</v>
      </c>
      <c r="J19" s="70"/>
      <c r="K19" s="70"/>
      <c r="L19" s="70"/>
      <c r="M19" s="70"/>
      <c r="N19" s="70"/>
      <c r="O19" s="73"/>
    </row>
    <row r="20" spans="1:15" x14ac:dyDescent="0.25">
      <c r="A20" s="93"/>
      <c r="B20" s="94"/>
      <c r="C20" s="94"/>
      <c r="D20" s="94"/>
      <c r="E20" s="94"/>
      <c r="F20" s="94"/>
      <c r="G20" s="94"/>
      <c r="H20" s="100" t="s">
        <v>60</v>
      </c>
      <c r="I20" s="95">
        <f>SUM(I18:I19)</f>
        <v>3.63</v>
      </c>
      <c r="J20" s="70"/>
      <c r="K20" s="70"/>
      <c r="L20" s="70"/>
      <c r="M20" s="70"/>
      <c r="N20" s="70"/>
      <c r="O20" s="73"/>
    </row>
    <row r="21" spans="1:15" x14ac:dyDescent="0.25">
      <c r="A21" s="7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3"/>
    </row>
    <row r="22" spans="1:15" x14ac:dyDescent="0.25">
      <c r="A22" s="68" t="s">
        <v>48</v>
      </c>
      <c r="B22" s="68" t="s">
        <v>77</v>
      </c>
      <c r="C22" s="68" t="s">
        <v>50</v>
      </c>
      <c r="D22" s="68" t="s">
        <v>51</v>
      </c>
      <c r="E22" s="68" t="s">
        <v>52</v>
      </c>
      <c r="F22" s="68" t="s">
        <v>53</v>
      </c>
      <c r="G22" s="68" t="s">
        <v>54</v>
      </c>
      <c r="H22" s="68" t="s">
        <v>55</v>
      </c>
      <c r="I22" s="68" t="s">
        <v>8</v>
      </c>
      <c r="J22" s="68" t="s">
        <v>60</v>
      </c>
      <c r="K22" s="70"/>
      <c r="L22" s="70"/>
      <c r="M22" s="70"/>
      <c r="N22" s="70"/>
      <c r="O22" s="73"/>
    </row>
    <row r="23" spans="1:15" x14ac:dyDescent="0.25">
      <c r="A23" s="80">
        <v>10</v>
      </c>
      <c r="B23" s="81" t="s">
        <v>78</v>
      </c>
      <c r="C23" s="80" t="s">
        <v>74</v>
      </c>
      <c r="D23" s="82">
        <v>0.4</v>
      </c>
      <c r="E23" s="80"/>
      <c r="F23" s="101" t="s">
        <v>79</v>
      </c>
      <c r="G23" s="80"/>
      <c r="H23" s="98"/>
      <c r="I23" s="102">
        <v>4</v>
      </c>
      <c r="J23" s="82">
        <f>D23*I23</f>
        <v>1.6</v>
      </c>
      <c r="K23" s="70"/>
      <c r="L23" s="70"/>
      <c r="M23" s="70"/>
      <c r="N23" s="70"/>
      <c r="O23" s="73"/>
    </row>
    <row r="24" spans="1:15" x14ac:dyDescent="0.25">
      <c r="A24" s="93"/>
      <c r="B24" s="94"/>
      <c r="C24" s="94"/>
      <c r="D24" s="94"/>
      <c r="E24" s="94"/>
      <c r="F24" s="94"/>
      <c r="G24" s="94"/>
      <c r="H24" s="94"/>
      <c r="I24" s="100" t="s">
        <v>60</v>
      </c>
      <c r="J24" s="95">
        <f>SUM(J23:J23)</f>
        <v>1.6</v>
      </c>
      <c r="K24" s="70"/>
      <c r="L24" s="70"/>
      <c r="M24" s="70"/>
      <c r="N24" s="70"/>
      <c r="O24" s="73"/>
    </row>
    <row r="25" spans="1:15" ht="18.600000000000001" customHeight="1" thickBot="1" x14ac:dyDescent="0.3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5"/>
    </row>
    <row r="26" spans="1:15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</sheetData>
  <hyperlinks>
    <hyperlink ref="E2" location="WT_A0100_BOM" display="Back to BOM" xr:uid="{00000000-0004-0000-01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5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165</v>
      </c>
    </row>
  </sheetData>
  <hyperlinks>
    <hyperlink ref="B1" location="WT_03003" display="WT_03003" xr:uid="{00000000-0004-0000-13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FFCC"/>
    <pageSetUpPr fitToPage="1"/>
  </sheetPr>
  <dimension ref="A1:P20"/>
  <sheetViews>
    <sheetView zoomScale="90" zoomScaleNormal="90" workbookViewId="0">
      <selection activeCell="G2" sqref="G2"/>
    </sheetView>
  </sheetViews>
  <sheetFormatPr baseColWidth="10" defaultColWidth="9.140625" defaultRowHeight="15" x14ac:dyDescent="0.25"/>
  <cols>
    <col min="1" max="1" width="9.140625" style="67"/>
    <col min="2" max="2" width="23" style="67" customWidth="1"/>
    <col min="3" max="3" width="16" style="67" customWidth="1"/>
    <col min="4" max="6" width="9.140625" style="67"/>
    <col min="7" max="7" width="19.7109375" style="67" bestFit="1" customWidth="1"/>
    <col min="8" max="8" width="9.140625" style="67"/>
    <col min="9" max="9" width="18.28515625" style="67" bestFit="1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6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WT_03004_m+WT_03004_p</f>
        <v>3.9037398677120008</v>
      </c>
      <c r="O2" s="73"/>
    </row>
    <row r="3" spans="1:16" x14ac:dyDescent="0.25">
      <c r="A3" s="141" t="s">
        <v>34</v>
      </c>
      <c r="B3" s="69" t="str">
        <f>'WT A0300'!B3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6" x14ac:dyDescent="0.25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6" x14ac:dyDescent="0.25">
      <c r="A5" s="141" t="s">
        <v>107</v>
      </c>
      <c r="B5" s="77" t="s">
        <v>159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3.9037398677120008</v>
      </c>
      <c r="O5" s="73"/>
    </row>
    <row r="6" spans="1:16" x14ac:dyDescent="0.25">
      <c r="A6" s="141" t="s">
        <v>40</v>
      </c>
      <c r="B6" s="143" t="s">
        <v>160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6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6" x14ac:dyDescent="0.25">
      <c r="A8" s="141" t="s">
        <v>46</v>
      </c>
      <c r="B8" s="69" t="s">
        <v>161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6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6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6" s="89" customFormat="1" ht="30" x14ac:dyDescent="0.25">
      <c r="A11" s="219">
        <v>10</v>
      </c>
      <c r="B11" s="220" t="s">
        <v>125</v>
      </c>
      <c r="C11" s="221"/>
      <c r="D11" s="197">
        <v>4.2</v>
      </c>
      <c r="E11" s="222">
        <f>J11*K11*L11</f>
        <v>0.15755711136000003</v>
      </c>
      <c r="F11" s="221" t="s">
        <v>124</v>
      </c>
      <c r="G11" s="221"/>
      <c r="H11" s="223"/>
      <c r="I11" s="224" t="s">
        <v>123</v>
      </c>
      <c r="J11" s="225">
        <f>(58/2*10^-3)^2*3.14</f>
        <v>2.6407400000000004E-3</v>
      </c>
      <c r="K11" s="226">
        <v>2.1999999999999999E-2</v>
      </c>
      <c r="L11" s="227">
        <v>2712</v>
      </c>
      <c r="M11" s="228">
        <v>1</v>
      </c>
      <c r="N11" s="197">
        <f>D11*E11</f>
        <v>0.66173986771200011</v>
      </c>
      <c r="O11" s="88"/>
    </row>
    <row r="12" spans="1:16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5" t="s">
        <v>60</v>
      </c>
      <c r="N12" s="119">
        <f>N11*M11</f>
        <v>0.66173986771200011</v>
      </c>
      <c r="O12" s="73"/>
    </row>
    <row r="13" spans="1:16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6" x14ac:dyDescent="0.25">
      <c r="A14" s="196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70"/>
      <c r="K14" s="70"/>
      <c r="L14" s="70"/>
      <c r="M14" s="70"/>
      <c r="N14" s="70"/>
      <c r="O14" s="73"/>
    </row>
    <row r="15" spans="1:16" s="97" customFormat="1" ht="30" x14ac:dyDescent="0.25">
      <c r="A15" s="207">
        <v>10</v>
      </c>
      <c r="B15" s="206" t="s">
        <v>119</v>
      </c>
      <c r="C15" s="206" t="s">
        <v>122</v>
      </c>
      <c r="D15" s="200">
        <v>1.3</v>
      </c>
      <c r="E15" s="207" t="s">
        <v>70</v>
      </c>
      <c r="F15" s="207">
        <v>1</v>
      </c>
      <c r="G15" s="207"/>
      <c r="H15" s="207">
        <v>1</v>
      </c>
      <c r="I15" s="197">
        <f>IF(H15="",D15*F15,D15*F15*H15)</f>
        <v>1.3</v>
      </c>
      <c r="J15" s="70"/>
      <c r="K15" s="70"/>
      <c r="L15" s="70"/>
      <c r="M15" s="70"/>
      <c r="N15" s="70"/>
      <c r="O15" s="73"/>
      <c r="P15" s="67"/>
    </row>
    <row r="16" spans="1:16" ht="30" x14ac:dyDescent="0.25">
      <c r="A16" s="207">
        <v>20</v>
      </c>
      <c r="B16" s="206" t="s">
        <v>117</v>
      </c>
      <c r="C16" s="206" t="s">
        <v>120</v>
      </c>
      <c r="D16" s="200">
        <v>0.04</v>
      </c>
      <c r="E16" s="207" t="s">
        <v>115</v>
      </c>
      <c r="F16" s="207">
        <v>27.7</v>
      </c>
      <c r="G16" s="207" t="s">
        <v>110</v>
      </c>
      <c r="H16" s="207">
        <v>1</v>
      </c>
      <c r="I16" s="197">
        <f>IF(H16="",D16*F16,D16*F16*H16)</f>
        <v>1.1080000000000001</v>
      </c>
      <c r="J16" s="94"/>
      <c r="K16" s="94"/>
      <c r="L16" s="94"/>
      <c r="M16" s="94"/>
      <c r="N16" s="94"/>
      <c r="O16" s="73"/>
    </row>
    <row r="17" spans="1:16" ht="30" x14ac:dyDescent="0.25">
      <c r="A17" s="207">
        <v>30</v>
      </c>
      <c r="B17" s="206" t="s">
        <v>118</v>
      </c>
      <c r="C17" s="206" t="s">
        <v>121</v>
      </c>
      <c r="D17" s="200">
        <v>0.65</v>
      </c>
      <c r="E17" s="207" t="s">
        <v>70</v>
      </c>
      <c r="F17" s="207">
        <v>1</v>
      </c>
      <c r="G17" s="207"/>
      <c r="H17" s="207">
        <v>1</v>
      </c>
      <c r="I17" s="197">
        <f>IF(H17="",D17*F17,D17*F17*H17)</f>
        <v>0.65</v>
      </c>
      <c r="J17" s="122"/>
      <c r="K17" s="122"/>
      <c r="L17" s="122"/>
      <c r="M17" s="122"/>
      <c r="N17" s="122"/>
      <c r="O17" s="96"/>
      <c r="P17" s="97"/>
    </row>
    <row r="18" spans="1:16" ht="30" x14ac:dyDescent="0.25">
      <c r="A18" s="207">
        <v>40</v>
      </c>
      <c r="B18" s="206" t="s">
        <v>117</v>
      </c>
      <c r="C18" s="206" t="s">
        <v>120</v>
      </c>
      <c r="D18" s="200">
        <v>0.04</v>
      </c>
      <c r="E18" s="207" t="s">
        <v>115</v>
      </c>
      <c r="F18" s="207">
        <v>4.5999999999999996</v>
      </c>
      <c r="G18" s="207" t="s">
        <v>110</v>
      </c>
      <c r="H18" s="207">
        <v>1</v>
      </c>
      <c r="I18" s="197">
        <f>IF(H18="",D18*F18,D18*F18*H18)</f>
        <v>0.184</v>
      </c>
      <c r="J18" s="70"/>
      <c r="K18" s="70"/>
      <c r="L18" s="70"/>
      <c r="M18" s="70"/>
      <c r="N18" s="70"/>
      <c r="O18" s="73"/>
    </row>
    <row r="19" spans="1:16" x14ac:dyDescent="0.25">
      <c r="A19" s="93"/>
      <c r="B19" s="94"/>
      <c r="C19" s="94"/>
      <c r="D19" s="94"/>
      <c r="E19" s="94"/>
      <c r="F19" s="94"/>
      <c r="G19" s="94"/>
      <c r="H19" s="120" t="s">
        <v>60</v>
      </c>
      <c r="I19" s="119">
        <f>SUM(I15:I18)</f>
        <v>3.2420000000000004</v>
      </c>
      <c r="J19" s="94"/>
      <c r="K19" s="94"/>
      <c r="L19" s="94"/>
      <c r="M19" s="94"/>
      <c r="N19" s="94"/>
      <c r="O19" s="73"/>
    </row>
    <row r="20" spans="1:16" ht="15.75" thickBot="1" x14ac:dyDescent="0.3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5"/>
    </row>
  </sheetData>
  <hyperlinks>
    <hyperlink ref="E3" location="dWT_03004" display="Drawing" xr:uid="{00000000-0004-0000-1400-000000000000}"/>
    <hyperlink ref="B4" location="'WT A0300'!A1" display="'WT A0300'!A1" xr:uid="{00000000-0004-0000-1400-000001000000}"/>
    <hyperlink ref="G2" location="WT_A0300_BOM" display="Back to BOM" xr:uid="{DA0E02C6-FACC-4D5B-96C7-712B32D0FDB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166</v>
      </c>
    </row>
  </sheetData>
  <hyperlinks>
    <hyperlink ref="B1" location="WT_03004" display="WT_03004" xr:uid="{00000000-0004-0000-15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9FFCC"/>
    <pageSetUpPr fitToPage="1"/>
  </sheetPr>
  <dimension ref="A1:O18"/>
  <sheetViews>
    <sheetView zoomScale="90" zoomScaleNormal="90" workbookViewId="0">
      <selection activeCell="G2" sqref="G2"/>
    </sheetView>
  </sheetViews>
  <sheetFormatPr baseColWidth="10" defaultColWidth="9.140625" defaultRowHeight="15" x14ac:dyDescent="0.25"/>
  <cols>
    <col min="1" max="1" width="9.140625" style="67"/>
    <col min="2" max="2" width="18.28515625" style="67" customWidth="1"/>
    <col min="3" max="3" width="16.28515625" style="67" customWidth="1"/>
    <col min="4" max="6" width="9.140625" style="67"/>
    <col min="7" max="7" width="12.140625" style="67" customWidth="1"/>
    <col min="8" max="8" width="9.140625" style="67"/>
    <col min="9" max="9" width="17.5703125" style="67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WT_03005_m+WT_03005_p</f>
        <v>3.2261850000000001</v>
      </c>
      <c r="O2" s="73"/>
    </row>
    <row r="3" spans="1:15" x14ac:dyDescent="0.25">
      <c r="A3" s="141" t="s">
        <v>34</v>
      </c>
      <c r="B3" s="69" t="str">
        <f>'WT A0300'!B3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102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3.2261850000000001</v>
      </c>
      <c r="O5" s="73"/>
    </row>
    <row r="6" spans="1:15" x14ac:dyDescent="0.25">
      <c r="A6" s="141" t="s">
        <v>40</v>
      </c>
      <c r="B6" s="143" t="s">
        <v>162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142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30" x14ac:dyDescent="0.25">
      <c r="A11" s="219">
        <v>10</v>
      </c>
      <c r="B11" s="183" t="s">
        <v>141</v>
      </c>
      <c r="C11" s="207"/>
      <c r="D11" s="200">
        <v>2.25</v>
      </c>
      <c r="E11" s="222">
        <f>J11*K11*L11</f>
        <v>0.15386000000000002</v>
      </c>
      <c r="F11" s="221" t="s">
        <v>124</v>
      </c>
      <c r="G11" s="221"/>
      <c r="H11" s="223"/>
      <c r="I11" s="224" t="s">
        <v>140</v>
      </c>
      <c r="J11" s="225">
        <f>0.14*0.14</f>
        <v>1.9600000000000003E-2</v>
      </c>
      <c r="K11" s="226">
        <v>1E-3</v>
      </c>
      <c r="L11" s="227">
        <v>7850</v>
      </c>
      <c r="M11" s="228">
        <v>1</v>
      </c>
      <c r="N11" s="197">
        <f>D11*E11</f>
        <v>0.34618500000000008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5" t="s">
        <v>60</v>
      </c>
      <c r="N12" s="119">
        <f>N11*M11</f>
        <v>0.34618500000000008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96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30" x14ac:dyDescent="0.25">
      <c r="A15" s="207">
        <v>10</v>
      </c>
      <c r="B15" s="206" t="s">
        <v>119</v>
      </c>
      <c r="C15" s="206" t="s">
        <v>122</v>
      </c>
      <c r="D15" s="200">
        <v>1.3</v>
      </c>
      <c r="E15" s="207" t="s">
        <v>70</v>
      </c>
      <c r="F15" s="207">
        <v>1</v>
      </c>
      <c r="G15" s="207" t="s">
        <v>135</v>
      </c>
      <c r="H15" s="207">
        <v>0.5</v>
      </c>
      <c r="I15" s="197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25">
      <c r="A16" s="207">
        <v>20</v>
      </c>
      <c r="B16" s="206" t="s">
        <v>134</v>
      </c>
      <c r="C16" s="206"/>
      <c r="D16" s="200">
        <v>0.01</v>
      </c>
      <c r="E16" s="207" t="s">
        <v>79</v>
      </c>
      <c r="F16" s="207">
        <v>223</v>
      </c>
      <c r="G16" s="207"/>
      <c r="H16" s="207">
        <v>1</v>
      </c>
      <c r="I16" s="197">
        <f>F16*D16</f>
        <v>2.23</v>
      </c>
      <c r="J16" s="70"/>
      <c r="K16" s="70"/>
      <c r="L16" s="70"/>
      <c r="M16" s="70"/>
      <c r="N16" s="70"/>
      <c r="O16" s="73"/>
    </row>
    <row r="17" spans="1:15" x14ac:dyDescent="0.25">
      <c r="A17" s="93"/>
      <c r="B17" s="94"/>
      <c r="C17" s="94"/>
      <c r="D17" s="94"/>
      <c r="E17" s="94"/>
      <c r="F17" s="94"/>
      <c r="G17" s="94"/>
      <c r="H17" s="120" t="s">
        <v>60</v>
      </c>
      <c r="I17" s="119">
        <f>SUM(I15:I16)</f>
        <v>2.88</v>
      </c>
      <c r="J17" s="94"/>
      <c r="K17" s="94"/>
      <c r="L17" s="94"/>
      <c r="M17" s="94"/>
      <c r="N17" s="94"/>
      <c r="O17" s="73"/>
    </row>
    <row r="18" spans="1:15" ht="15.75" thickBot="1" x14ac:dyDescent="0.3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</sheetData>
  <hyperlinks>
    <hyperlink ref="B4" location="'WT A0300'!A1" display="'WT A0300'!A1" xr:uid="{00000000-0004-0000-1600-000000000000}"/>
    <hyperlink ref="E3" location="dWT_03005" display="Drawing" xr:uid="{00000000-0004-0000-1600-000001000000}"/>
    <hyperlink ref="G2" location="WT_A0300_BOM" display="Back to BOM" xr:uid="{ED0264F9-34E2-47E8-A271-F201C4CF45F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9FFCC"/>
    <pageSetUpPr fitToPage="1"/>
  </sheetPr>
  <dimension ref="A1:B1"/>
  <sheetViews>
    <sheetView tabSelected="1" workbookViewId="0">
      <selection activeCell="L13" sqref="L13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167</v>
      </c>
    </row>
  </sheetData>
  <hyperlinks>
    <hyperlink ref="B1" location="WT_03005" display="WT_03005" xr:uid="{00000000-0004-0000-1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FF"/>
    <pageSetUpPr fitToPage="1"/>
  </sheetPr>
  <dimension ref="A1:O40"/>
  <sheetViews>
    <sheetView topLeftCell="A28" zoomScale="90" zoomScaleNormal="90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9.140625" style="67"/>
    <col min="2" max="2" width="27.42578125" style="67" customWidth="1"/>
    <col min="3" max="3" width="34.140625" style="67" customWidth="1"/>
    <col min="4" max="13" width="9.140625" style="67"/>
    <col min="14" max="14" width="10.85546875" style="67" customWidth="1"/>
    <col min="15" max="15" width="5.28515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68" t="s">
        <v>24</v>
      </c>
      <c r="B2" s="69" t="s">
        <v>23</v>
      </c>
      <c r="C2" s="70"/>
      <c r="D2" s="70"/>
      <c r="E2" s="106" t="s">
        <v>32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33</v>
      </c>
      <c r="N2" s="72">
        <f>WT_A0200_pa+WT_A0200_m+WT_A0200_p+WT_A0200_f</f>
        <v>341.7412675152284</v>
      </c>
      <c r="O2" s="73"/>
    </row>
    <row r="3" spans="1:15" x14ac:dyDescent="0.25">
      <c r="A3" s="68" t="s">
        <v>34</v>
      </c>
      <c r="B3" s="69" t="s">
        <v>35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36</v>
      </c>
      <c r="N3" s="74">
        <v>2</v>
      </c>
      <c r="O3" s="73"/>
    </row>
    <row r="4" spans="1:15" x14ac:dyDescent="0.25">
      <c r="A4" s="68" t="s">
        <v>37</v>
      </c>
      <c r="B4" s="75" t="s">
        <v>109</v>
      </c>
      <c r="C4" s="70"/>
      <c r="D4" s="70"/>
      <c r="E4" s="70"/>
      <c r="F4" s="70"/>
      <c r="G4" s="70"/>
      <c r="H4" s="70"/>
      <c r="I4" s="70"/>
      <c r="J4" s="76" t="s">
        <v>39</v>
      </c>
      <c r="K4" s="70"/>
      <c r="L4" s="70"/>
      <c r="M4" s="70"/>
      <c r="N4" s="70"/>
      <c r="O4" s="73"/>
    </row>
    <row r="5" spans="1:15" x14ac:dyDescent="0.25">
      <c r="A5" s="68" t="s">
        <v>40</v>
      </c>
      <c r="B5" s="77" t="s">
        <v>25</v>
      </c>
      <c r="C5" s="70"/>
      <c r="D5" s="70"/>
      <c r="E5" s="70"/>
      <c r="F5" s="70"/>
      <c r="G5" s="70"/>
      <c r="H5" s="70"/>
      <c r="I5" s="70"/>
      <c r="J5" s="76" t="s">
        <v>42</v>
      </c>
      <c r="K5" s="70"/>
      <c r="L5" s="70"/>
      <c r="M5" s="68" t="s">
        <v>43</v>
      </c>
      <c r="N5" s="78">
        <f>N2*N3</f>
        <v>683.4825350304568</v>
      </c>
      <c r="O5" s="73"/>
    </row>
    <row r="6" spans="1:15" x14ac:dyDescent="0.25">
      <c r="A6" s="68" t="s">
        <v>44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45</v>
      </c>
      <c r="K6" s="70"/>
      <c r="L6" s="70"/>
      <c r="M6" s="70"/>
      <c r="N6" s="70"/>
      <c r="O6" s="73"/>
    </row>
    <row r="7" spans="1:15" x14ac:dyDescent="0.25">
      <c r="A7" s="68" t="s">
        <v>46</v>
      </c>
      <c r="B7" s="69" t="s">
        <v>108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68" t="s">
        <v>48</v>
      </c>
      <c r="B9" s="68" t="s">
        <v>107</v>
      </c>
      <c r="C9" s="68" t="s">
        <v>106</v>
      </c>
      <c r="D9" s="68" t="s">
        <v>8</v>
      </c>
      <c r="E9" s="68" t="s">
        <v>60</v>
      </c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12">
        <v>10</v>
      </c>
      <c r="B10" s="115" t="str">
        <f>'WT 02001'!B5</f>
        <v>Front Hub</v>
      </c>
      <c r="C10" s="78">
        <f>'WT 02001'!N2</f>
        <v>64.158517485600001</v>
      </c>
      <c r="D10" s="114">
        <f>'WT 02001'!N3</f>
        <v>1</v>
      </c>
      <c r="E10" s="78">
        <f>C10*D10</f>
        <v>64.158517485600001</v>
      </c>
      <c r="F10" s="70"/>
      <c r="G10" s="70"/>
      <c r="H10" s="70"/>
      <c r="I10" s="70"/>
      <c r="J10" s="70"/>
      <c r="K10" s="70"/>
      <c r="L10" s="70"/>
      <c r="M10" s="70"/>
      <c r="N10" s="70"/>
      <c r="O10" s="73"/>
    </row>
    <row r="11" spans="1:15" x14ac:dyDescent="0.25">
      <c r="A11" s="112">
        <v>20</v>
      </c>
      <c r="B11" s="118" t="s">
        <v>105</v>
      </c>
      <c r="C11" s="78">
        <f>'WT 02002'!N2</f>
        <v>2.6214313574000001</v>
      </c>
      <c r="D11" s="114">
        <f>'WT 02002'!N3</f>
        <v>1</v>
      </c>
      <c r="E11" s="78">
        <f>C11*D11</f>
        <v>2.6214313574000001</v>
      </c>
      <c r="F11" s="75"/>
      <c r="G11" s="75"/>
      <c r="H11" s="75"/>
      <c r="I11" s="75"/>
      <c r="J11" s="75"/>
      <c r="K11" s="75"/>
      <c r="L11" s="75"/>
      <c r="M11" s="75"/>
      <c r="N11" s="75"/>
      <c r="O11" s="73"/>
    </row>
    <row r="12" spans="1:15" x14ac:dyDescent="0.25">
      <c r="A12" s="112">
        <v>30</v>
      </c>
      <c r="B12" s="117" t="s">
        <v>104</v>
      </c>
      <c r="C12" s="78">
        <f>'WT 02003'!N2</f>
        <v>20.676657798400001</v>
      </c>
      <c r="D12" s="114">
        <f>'WT 02003'!N3</f>
        <v>1</v>
      </c>
      <c r="E12" s="78">
        <f>C12*D12</f>
        <v>20.676657798400001</v>
      </c>
      <c r="F12" s="75"/>
      <c r="G12" s="75"/>
      <c r="H12" s="75"/>
      <c r="I12" s="75"/>
      <c r="J12" s="75"/>
      <c r="K12" s="75"/>
      <c r="L12" s="75"/>
      <c r="M12" s="75"/>
      <c r="N12" s="75"/>
      <c r="O12" s="116"/>
    </row>
    <row r="13" spans="1:15" s="110" customFormat="1" x14ac:dyDescent="0.25">
      <c r="A13" s="112">
        <v>40</v>
      </c>
      <c r="B13" s="115" t="s">
        <v>103</v>
      </c>
      <c r="C13" s="78">
        <f>'WT 02004'!N2</f>
        <v>0.95013112</v>
      </c>
      <c r="D13" s="114">
        <f>'WT 02004'!N3</f>
        <v>1</v>
      </c>
      <c r="E13" s="78">
        <f>C13*D13</f>
        <v>0.95013112</v>
      </c>
      <c r="F13" s="75"/>
      <c r="G13" s="75"/>
      <c r="H13" s="75"/>
      <c r="I13" s="75"/>
      <c r="J13" s="75"/>
      <c r="K13" s="75"/>
      <c r="L13" s="75"/>
      <c r="M13" s="75"/>
      <c r="N13" s="75"/>
      <c r="O13" s="116"/>
    </row>
    <row r="14" spans="1:15" s="110" customFormat="1" x14ac:dyDescent="0.25">
      <c r="A14" s="112">
        <v>50</v>
      </c>
      <c r="B14" s="115" t="s">
        <v>102</v>
      </c>
      <c r="C14" s="78">
        <f>'WT 02005'!N2</f>
        <v>3.9701600000000004</v>
      </c>
      <c r="D14" s="114">
        <f>'WT 02005'!N3</f>
        <v>1</v>
      </c>
      <c r="E14" s="78">
        <f>C14*D14</f>
        <v>3.9701600000000004</v>
      </c>
      <c r="F14" s="75"/>
      <c r="G14" s="75"/>
      <c r="H14" s="75"/>
      <c r="I14" s="75"/>
      <c r="J14" s="75"/>
      <c r="K14" s="75"/>
      <c r="L14" s="75"/>
      <c r="M14" s="75"/>
      <c r="N14" s="75"/>
      <c r="O14" s="109"/>
    </row>
    <row r="15" spans="1:15" x14ac:dyDescent="0.25">
      <c r="A15" s="79"/>
      <c r="B15" s="70"/>
      <c r="C15" s="70"/>
      <c r="D15" s="100" t="s">
        <v>60</v>
      </c>
      <c r="E15" s="95">
        <f>SUM(E10:E14)</f>
        <v>92.376897761400002</v>
      </c>
      <c r="F15" s="75"/>
      <c r="G15" s="75"/>
      <c r="H15" s="75"/>
      <c r="I15" s="75"/>
      <c r="J15" s="75"/>
      <c r="K15" s="75"/>
      <c r="L15" s="75"/>
      <c r="M15" s="75"/>
      <c r="N15" s="75"/>
      <c r="O15" s="73"/>
    </row>
    <row r="16" spans="1:15" x14ac:dyDescent="0.25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5" x14ac:dyDescent="0.25">
      <c r="A17" s="68" t="s">
        <v>48</v>
      </c>
      <c r="B17" s="68" t="s">
        <v>49</v>
      </c>
      <c r="C17" s="68" t="s">
        <v>50</v>
      </c>
      <c r="D17" s="68" t="s">
        <v>51</v>
      </c>
      <c r="E17" s="68" t="s">
        <v>52</v>
      </c>
      <c r="F17" s="68" t="s">
        <v>53</v>
      </c>
      <c r="G17" s="68" t="s">
        <v>54</v>
      </c>
      <c r="H17" s="68" t="s">
        <v>55</v>
      </c>
      <c r="I17" s="68" t="s">
        <v>56</v>
      </c>
      <c r="J17" s="68" t="s">
        <v>57</v>
      </c>
      <c r="K17" s="68" t="s">
        <v>58</v>
      </c>
      <c r="L17" s="68" t="s">
        <v>59</v>
      </c>
      <c r="M17" s="68" t="s">
        <v>8</v>
      </c>
      <c r="N17" s="68" t="s">
        <v>60</v>
      </c>
      <c r="O17" s="73"/>
    </row>
    <row r="18" spans="1:15" ht="30" x14ac:dyDescent="0.25">
      <c r="A18" s="146">
        <v>10</v>
      </c>
      <c r="B18" s="113" t="s">
        <v>101</v>
      </c>
      <c r="C18" s="146"/>
      <c r="D18" s="147">
        <f>0.4*((E18^2*G18))^0.5</f>
        <v>118.74544201778863</v>
      </c>
      <c r="E18" s="146">
        <v>72</v>
      </c>
      <c r="F18" s="146" t="s">
        <v>81</v>
      </c>
      <c r="G18" s="146">
        <v>17</v>
      </c>
      <c r="H18" s="148" t="s">
        <v>81</v>
      </c>
      <c r="I18" s="149"/>
      <c r="J18" s="150"/>
      <c r="K18" s="148"/>
      <c r="L18" s="148"/>
      <c r="M18" s="169">
        <v>2</v>
      </c>
      <c r="N18" s="147">
        <f>M18*D18</f>
        <v>237.49088403557727</v>
      </c>
      <c r="O18" s="73"/>
    </row>
    <row r="19" spans="1:15" s="89" customFormat="1" x14ac:dyDescent="0.25">
      <c r="A19" s="151">
        <v>20</v>
      </c>
      <c r="B19" s="111" t="s">
        <v>100</v>
      </c>
      <c r="C19" s="111" t="s">
        <v>99</v>
      </c>
      <c r="D19" s="152">
        <f>0.126*E19+1.57</f>
        <v>5.98</v>
      </c>
      <c r="E19" s="151">
        <v>35</v>
      </c>
      <c r="F19" s="151" t="s">
        <v>81</v>
      </c>
      <c r="G19" s="151"/>
      <c r="H19" s="153"/>
      <c r="I19" s="154"/>
      <c r="J19" s="155"/>
      <c r="K19" s="153"/>
      <c r="L19" s="153"/>
      <c r="M19" s="156">
        <v>1</v>
      </c>
      <c r="N19" s="147">
        <f>M19*D19</f>
        <v>5.98</v>
      </c>
      <c r="O19" s="88"/>
    </row>
    <row r="20" spans="1:15" ht="45" x14ac:dyDescent="0.25">
      <c r="A20" s="151">
        <v>30</v>
      </c>
      <c r="B20" s="111" t="s">
        <v>98</v>
      </c>
      <c r="C20" s="108" t="s">
        <v>97</v>
      </c>
      <c r="D20" s="152">
        <v>0</v>
      </c>
      <c r="E20" s="151"/>
      <c r="F20" s="151"/>
      <c r="G20" s="151"/>
      <c r="H20" s="153"/>
      <c r="I20" s="154"/>
      <c r="J20" s="155"/>
      <c r="K20" s="153"/>
      <c r="L20" s="153"/>
      <c r="M20" s="156"/>
      <c r="N20" s="147">
        <f>M20*D20</f>
        <v>0</v>
      </c>
      <c r="O20" s="73"/>
    </row>
    <row r="21" spans="1:15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68" t="s">
        <v>60</v>
      </c>
      <c r="N21" s="95">
        <f>SUM(N18:N20)</f>
        <v>243.47088403557726</v>
      </c>
      <c r="O21" s="73"/>
    </row>
    <row r="22" spans="1:15" x14ac:dyDescent="0.25">
      <c r="A22" s="7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3"/>
    </row>
    <row r="23" spans="1:15" s="97" customFormat="1" x14ac:dyDescent="0.25">
      <c r="A23" s="68" t="s">
        <v>48</v>
      </c>
      <c r="B23" s="68" t="s">
        <v>69</v>
      </c>
      <c r="C23" s="68" t="s">
        <v>50</v>
      </c>
      <c r="D23" s="68" t="s">
        <v>51</v>
      </c>
      <c r="E23" s="68" t="s">
        <v>70</v>
      </c>
      <c r="F23" s="68" t="s">
        <v>8</v>
      </c>
      <c r="G23" s="68" t="s">
        <v>71</v>
      </c>
      <c r="H23" s="68" t="s">
        <v>72</v>
      </c>
      <c r="I23" s="68" t="s">
        <v>60</v>
      </c>
      <c r="J23" s="94"/>
      <c r="K23" s="94"/>
      <c r="L23" s="94"/>
      <c r="M23" s="94"/>
      <c r="N23" s="94"/>
      <c r="O23" s="96"/>
    </row>
    <row r="24" spans="1:15" ht="30" x14ac:dyDescent="0.25">
      <c r="A24" s="157">
        <v>10</v>
      </c>
      <c r="B24" s="158" t="s">
        <v>91</v>
      </c>
      <c r="C24" s="158" t="s">
        <v>96</v>
      </c>
      <c r="D24" s="159">
        <v>0.06</v>
      </c>
      <c r="E24" s="107" t="s">
        <v>63</v>
      </c>
      <c r="F24" s="107">
        <v>1</v>
      </c>
      <c r="G24" s="107"/>
      <c r="H24" s="107">
        <v>1</v>
      </c>
      <c r="I24" s="147">
        <f t="shared" ref="I24:I32" si="0">IF(H24="",D24*F24,D24*F24*H24)</f>
        <v>0.06</v>
      </c>
      <c r="J24" s="70"/>
      <c r="K24" s="70"/>
      <c r="L24" s="70"/>
      <c r="M24" s="70"/>
      <c r="N24" s="70"/>
      <c r="O24" s="73"/>
    </row>
    <row r="25" spans="1:15" x14ac:dyDescent="0.25">
      <c r="A25" s="107">
        <v>20</v>
      </c>
      <c r="B25" s="158" t="s">
        <v>95</v>
      </c>
      <c r="C25" s="158" t="s">
        <v>94</v>
      </c>
      <c r="D25" s="160">
        <v>0.19</v>
      </c>
      <c r="E25" s="107" t="s">
        <v>63</v>
      </c>
      <c r="F25" s="107">
        <v>2</v>
      </c>
      <c r="G25" s="107"/>
      <c r="H25" s="107">
        <v>1</v>
      </c>
      <c r="I25" s="147">
        <f t="shared" si="0"/>
        <v>0.38</v>
      </c>
      <c r="J25" s="70"/>
      <c r="K25" s="70"/>
      <c r="L25" s="70"/>
      <c r="M25" s="70"/>
      <c r="N25" s="70"/>
      <c r="O25" s="73"/>
    </row>
    <row r="26" spans="1:15" ht="30" x14ac:dyDescent="0.25">
      <c r="A26" s="157">
        <v>30</v>
      </c>
      <c r="B26" s="158" t="s">
        <v>91</v>
      </c>
      <c r="C26" s="158" t="s">
        <v>93</v>
      </c>
      <c r="D26" s="159">
        <v>0.06</v>
      </c>
      <c r="E26" s="107" t="s">
        <v>63</v>
      </c>
      <c r="F26" s="107">
        <v>1</v>
      </c>
      <c r="G26" s="107"/>
      <c r="H26" s="107">
        <v>1</v>
      </c>
      <c r="I26" s="147">
        <f t="shared" si="0"/>
        <v>0.06</v>
      </c>
      <c r="J26" s="70"/>
      <c r="K26" s="70"/>
      <c r="L26" s="70"/>
      <c r="M26" s="70"/>
      <c r="N26" s="70"/>
      <c r="O26" s="73"/>
    </row>
    <row r="27" spans="1:15" s="110" customFormat="1" ht="30" x14ac:dyDescent="0.25">
      <c r="A27" s="157">
        <v>40</v>
      </c>
      <c r="B27" s="158" t="s">
        <v>91</v>
      </c>
      <c r="C27" s="158" t="s">
        <v>92</v>
      </c>
      <c r="D27" s="159">
        <v>0.06</v>
      </c>
      <c r="E27" s="107" t="s">
        <v>63</v>
      </c>
      <c r="F27" s="107">
        <v>1</v>
      </c>
      <c r="G27" s="107"/>
      <c r="H27" s="107">
        <v>1</v>
      </c>
      <c r="I27" s="147">
        <f t="shared" si="0"/>
        <v>0.06</v>
      </c>
      <c r="J27" s="75"/>
      <c r="K27" s="75"/>
      <c r="L27" s="75"/>
      <c r="M27" s="75"/>
      <c r="N27" s="75"/>
      <c r="O27" s="109"/>
    </row>
    <row r="28" spans="1:15" s="97" customFormat="1" ht="30" x14ac:dyDescent="0.25">
      <c r="A28" s="157">
        <v>50</v>
      </c>
      <c r="B28" s="158" t="s">
        <v>91</v>
      </c>
      <c r="C28" s="158" t="s">
        <v>90</v>
      </c>
      <c r="D28" s="159">
        <v>0.06</v>
      </c>
      <c r="E28" s="107" t="s">
        <v>63</v>
      </c>
      <c r="F28" s="107">
        <v>1</v>
      </c>
      <c r="G28" s="107"/>
      <c r="H28" s="107">
        <v>1</v>
      </c>
      <c r="I28" s="147">
        <f t="shared" si="0"/>
        <v>0.06</v>
      </c>
      <c r="J28" s="75"/>
      <c r="K28" s="75"/>
      <c r="L28" s="75"/>
      <c r="M28" s="75"/>
      <c r="N28" s="75"/>
      <c r="O28" s="96"/>
    </row>
    <row r="29" spans="1:15" s="110" customFormat="1" x14ac:dyDescent="0.25">
      <c r="A29" s="107">
        <v>80</v>
      </c>
      <c r="B29" s="158" t="s">
        <v>87</v>
      </c>
      <c r="C29" s="108" t="s">
        <v>89</v>
      </c>
      <c r="D29" s="161">
        <v>0.13</v>
      </c>
      <c r="E29" s="108" t="s">
        <v>70</v>
      </c>
      <c r="F29" s="162">
        <v>1</v>
      </c>
      <c r="G29" s="107"/>
      <c r="H29" s="107">
        <v>1</v>
      </c>
      <c r="I29" s="147">
        <f t="shared" si="0"/>
        <v>0.13</v>
      </c>
      <c r="J29" s="75"/>
      <c r="K29" s="75"/>
      <c r="L29" s="75"/>
      <c r="M29" s="75"/>
      <c r="N29" s="75"/>
      <c r="O29" s="96"/>
    </row>
    <row r="30" spans="1:15" ht="30" x14ac:dyDescent="0.25">
      <c r="A30" s="107">
        <v>60</v>
      </c>
      <c r="B30" s="99" t="s">
        <v>88</v>
      </c>
      <c r="C30" s="108" t="s">
        <v>86</v>
      </c>
      <c r="D30" s="159">
        <v>0.02</v>
      </c>
      <c r="E30" s="107" t="s">
        <v>79</v>
      </c>
      <c r="F30" s="107">
        <v>15.07</v>
      </c>
      <c r="G30" s="107"/>
      <c r="H30" s="107">
        <v>1</v>
      </c>
      <c r="I30" s="147">
        <f t="shared" si="0"/>
        <v>0.3014</v>
      </c>
      <c r="J30" s="75"/>
      <c r="K30" s="75"/>
      <c r="L30" s="75"/>
      <c r="M30" s="75"/>
      <c r="N30" s="75"/>
      <c r="O30" s="109"/>
    </row>
    <row r="31" spans="1:15" ht="30" x14ac:dyDescent="0.25">
      <c r="A31" s="157">
        <v>70</v>
      </c>
      <c r="B31" s="158" t="s">
        <v>87</v>
      </c>
      <c r="C31" s="108" t="s">
        <v>86</v>
      </c>
      <c r="D31" s="159">
        <v>0.13</v>
      </c>
      <c r="E31" s="107" t="s">
        <v>63</v>
      </c>
      <c r="F31" s="107">
        <v>4</v>
      </c>
      <c r="G31" s="107"/>
      <c r="H31" s="107">
        <v>1</v>
      </c>
      <c r="I31" s="147">
        <f t="shared" si="0"/>
        <v>0.52</v>
      </c>
      <c r="J31" s="70"/>
      <c r="K31" s="70"/>
      <c r="L31" s="70"/>
      <c r="M31" s="70"/>
      <c r="N31" s="70"/>
      <c r="O31" s="73"/>
    </row>
    <row r="32" spans="1:15" x14ac:dyDescent="0.25">
      <c r="A32" s="107">
        <v>80</v>
      </c>
      <c r="B32" s="158" t="s">
        <v>85</v>
      </c>
      <c r="C32" s="108" t="s">
        <v>84</v>
      </c>
      <c r="D32" s="161">
        <v>0.06</v>
      </c>
      <c r="E32" s="108" t="s">
        <v>70</v>
      </c>
      <c r="F32" s="162">
        <v>1</v>
      </c>
      <c r="G32" s="107"/>
      <c r="H32" s="107">
        <v>1</v>
      </c>
      <c r="I32" s="147">
        <f t="shared" si="0"/>
        <v>0.06</v>
      </c>
      <c r="J32" s="70"/>
      <c r="K32" s="70"/>
      <c r="L32" s="70"/>
      <c r="M32" s="70"/>
      <c r="N32" s="70"/>
      <c r="O32" s="73"/>
    </row>
    <row r="33" spans="1:15" x14ac:dyDescent="0.25">
      <c r="A33" s="93"/>
      <c r="B33" s="94"/>
      <c r="C33" s="94"/>
      <c r="D33" s="94"/>
      <c r="E33" s="94"/>
      <c r="F33" s="94"/>
      <c r="G33" s="94"/>
      <c r="H33" s="100" t="s">
        <v>60</v>
      </c>
      <c r="I33" s="95">
        <f>SUM(I24:I32)</f>
        <v>1.6314000000000002</v>
      </c>
      <c r="K33" s="70"/>
      <c r="L33" s="70"/>
      <c r="M33" s="70"/>
      <c r="N33" s="70"/>
      <c r="O33" s="73"/>
    </row>
    <row r="34" spans="1:15" x14ac:dyDescent="0.25">
      <c r="A34" s="79"/>
      <c r="B34" s="70"/>
      <c r="C34" s="70"/>
      <c r="D34" s="70"/>
      <c r="E34" s="70"/>
      <c r="F34" s="70"/>
      <c r="G34" s="70"/>
      <c r="H34" s="70"/>
      <c r="I34" s="70"/>
      <c r="K34" s="70"/>
      <c r="L34" s="70"/>
      <c r="M34" s="70"/>
      <c r="N34" s="70"/>
      <c r="O34" s="73"/>
    </row>
    <row r="35" spans="1:15" x14ac:dyDescent="0.25">
      <c r="A35" s="68" t="s">
        <v>48</v>
      </c>
      <c r="B35" s="68" t="s">
        <v>77</v>
      </c>
      <c r="C35" s="68" t="s">
        <v>50</v>
      </c>
      <c r="D35" s="68" t="s">
        <v>51</v>
      </c>
      <c r="E35" s="68" t="s">
        <v>52</v>
      </c>
      <c r="F35" s="68" t="s">
        <v>53</v>
      </c>
      <c r="G35" s="68" t="s">
        <v>54</v>
      </c>
      <c r="H35" s="68" t="s">
        <v>55</v>
      </c>
      <c r="I35" s="68" t="s">
        <v>8</v>
      </c>
      <c r="J35" s="68" t="s">
        <v>60</v>
      </c>
      <c r="K35" s="70"/>
      <c r="L35" s="70"/>
      <c r="M35" s="70"/>
      <c r="N35" s="70"/>
      <c r="O35" s="73"/>
    </row>
    <row r="36" spans="1:15" x14ac:dyDescent="0.25">
      <c r="A36" s="164">
        <v>10</v>
      </c>
      <c r="B36" s="166" t="s">
        <v>83</v>
      </c>
      <c r="C36" s="164" t="s">
        <v>82</v>
      </c>
      <c r="D36" s="165">
        <f>1.25/105154*E36^2*G36*SQRT(G36)+(0.005*EXP(0.319*E36))</f>
        <v>1.0655214295627982</v>
      </c>
      <c r="E36" s="164">
        <v>12</v>
      </c>
      <c r="F36" s="167" t="s">
        <v>81</v>
      </c>
      <c r="G36" s="164">
        <v>62</v>
      </c>
      <c r="H36" s="163" t="s">
        <v>81</v>
      </c>
      <c r="I36" s="168">
        <v>4</v>
      </c>
      <c r="J36" s="165">
        <f>D36*I36</f>
        <v>4.2620857182511926</v>
      </c>
      <c r="K36" s="70"/>
      <c r="L36" s="70"/>
      <c r="M36" s="70"/>
      <c r="N36" s="70"/>
      <c r="O36" s="73"/>
    </row>
    <row r="37" spans="1:15" x14ac:dyDescent="0.25">
      <c r="A37" s="93"/>
      <c r="B37" s="94"/>
      <c r="C37" s="94"/>
      <c r="D37" s="94"/>
      <c r="E37" s="94"/>
      <c r="F37" s="94"/>
      <c r="G37" s="94"/>
      <c r="H37" s="94"/>
      <c r="I37" s="100" t="s">
        <v>60</v>
      </c>
      <c r="J37" s="95">
        <f>SUM(J36:J36)</f>
        <v>4.2620857182511926</v>
      </c>
      <c r="K37" s="70"/>
      <c r="L37" s="70"/>
      <c r="M37" s="70"/>
      <c r="N37" s="70"/>
      <c r="O37" s="73"/>
    </row>
    <row r="38" spans="1:15" x14ac:dyDescent="0.25">
      <c r="A38" s="79"/>
      <c r="B38" s="70"/>
      <c r="C38" s="70"/>
      <c r="D38" s="70"/>
      <c r="E38" s="70"/>
      <c r="F38" s="70"/>
      <c r="G38" s="70"/>
      <c r="H38" s="70"/>
      <c r="I38" s="70"/>
      <c r="J38" s="94"/>
      <c r="K38" s="70"/>
      <c r="L38" s="70"/>
      <c r="M38" s="70"/>
      <c r="N38" s="70"/>
      <c r="O38" s="73"/>
    </row>
    <row r="39" spans="1:15" ht="15.75" thickBot="1" x14ac:dyDescent="0.3">
      <c r="A39" s="10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5"/>
    </row>
    <row r="40" spans="1:15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</row>
  </sheetData>
  <hyperlinks>
    <hyperlink ref="B10" location="'WT 02001'!A1" display="'WT 02001'!A1" xr:uid="{00000000-0004-0000-0200-000000000000}"/>
    <hyperlink ref="B11" location="'WT 02002'!A1" display="Front Bearing Spacer" xr:uid="{00000000-0004-0000-0200-000001000000}"/>
    <hyperlink ref="B13" location="'WT 02004'!A1" display="Speed Sensor Spacer" xr:uid="{00000000-0004-0000-0200-000002000000}"/>
    <hyperlink ref="B14" location="'WT 02005'!A1" display="Speed Sensor Disc" xr:uid="{00000000-0004-0000-0200-000003000000}"/>
    <hyperlink ref="B12" location="'WT 02003'!A1" display="Front Wheel Spacer" xr:uid="{00000000-0004-0000-0200-000004000000}"/>
    <hyperlink ref="E2" location="WT_A0200_BOM" display="Back to BOM" xr:uid="{00000000-0004-0000-0200-000005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FFCC"/>
    <pageSetUpPr fitToPage="1"/>
  </sheetPr>
  <dimension ref="A1:O27"/>
  <sheetViews>
    <sheetView zoomScale="70" zoomScaleNormal="70" workbookViewId="0">
      <selection activeCell="B6" sqref="B6"/>
    </sheetView>
  </sheetViews>
  <sheetFormatPr baseColWidth="10" defaultColWidth="9.140625" defaultRowHeight="15" x14ac:dyDescent="0.25"/>
  <cols>
    <col min="1" max="1" width="9.140625" style="67"/>
    <col min="2" max="2" width="17.7109375" style="67" customWidth="1"/>
    <col min="3" max="3" width="18" style="67" customWidth="1"/>
    <col min="4" max="4" width="9.140625" style="67"/>
    <col min="5" max="5" width="9.140625" style="67" customWidth="1"/>
    <col min="6" max="6" width="9.140625" style="67"/>
    <col min="7" max="7" width="28.140625" style="67" customWidth="1"/>
    <col min="8" max="8" width="9.140625" style="67"/>
    <col min="9" max="9" width="16.5703125" style="67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WT_02001_m+WT_02001_p</f>
        <v>64.158517485600001</v>
      </c>
      <c r="O2" s="73"/>
    </row>
    <row r="3" spans="1:15" x14ac:dyDescent="0.25">
      <c r="A3" s="141" t="s">
        <v>34</v>
      </c>
      <c r="B3" s="69" t="str">
        <f>'WT A0200'!B3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127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64.158517485600001</v>
      </c>
      <c r="O5" s="73"/>
    </row>
    <row r="6" spans="1:15" x14ac:dyDescent="0.25">
      <c r="A6" s="141" t="s">
        <v>40</v>
      </c>
      <c r="B6" s="143" t="s">
        <v>26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126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30" x14ac:dyDescent="0.25">
      <c r="A11" s="170">
        <v>10</v>
      </c>
      <c r="B11" s="171" t="s">
        <v>125</v>
      </c>
      <c r="C11" s="172"/>
      <c r="D11" s="123">
        <v>4.2</v>
      </c>
      <c r="E11" s="173">
        <f>J11*K11*L11</f>
        <v>3.2740660680000002</v>
      </c>
      <c r="F11" s="172" t="s">
        <v>124</v>
      </c>
      <c r="G11" s="172"/>
      <c r="H11" s="174"/>
      <c r="I11" s="175" t="s">
        <v>123</v>
      </c>
      <c r="J11" s="176">
        <f>(65*10^-3)^2*3.14</f>
        <v>1.3266500000000002E-2</v>
      </c>
      <c r="K11" s="177">
        <v>9.0999999999999998E-2</v>
      </c>
      <c r="L11" s="178">
        <v>2712</v>
      </c>
      <c r="M11" s="179">
        <v>1</v>
      </c>
      <c r="N11" s="123">
        <f>D11*E11</f>
        <v>13.751077485600002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13.751077485600002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45" x14ac:dyDescent="0.25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/>
      <c r="H15" s="107">
        <v>1</v>
      </c>
      <c r="I15" s="123">
        <f t="shared" ref="I15:I24" si="0"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25">
      <c r="A16" s="107">
        <v>20</v>
      </c>
      <c r="B16" s="158" t="s">
        <v>117</v>
      </c>
      <c r="C16" s="158" t="s">
        <v>120</v>
      </c>
      <c r="D16" s="152">
        <v>0.04</v>
      </c>
      <c r="E16" s="107" t="s">
        <v>115</v>
      </c>
      <c r="F16" s="107">
        <f>13.2+898.7+18.7</f>
        <v>930.60000000000014</v>
      </c>
      <c r="G16" s="107" t="s">
        <v>110</v>
      </c>
      <c r="H16" s="107">
        <v>1</v>
      </c>
      <c r="I16" s="123">
        <f t="shared" si="0"/>
        <v>37.224000000000004</v>
      </c>
      <c r="J16" s="70"/>
      <c r="K16" s="70"/>
      <c r="L16" s="70"/>
      <c r="M16" s="70"/>
      <c r="N16" s="70"/>
      <c r="O16" s="73"/>
    </row>
    <row r="17" spans="1:15" s="110" customFormat="1" ht="30" x14ac:dyDescent="0.25">
      <c r="A17" s="107">
        <v>30</v>
      </c>
      <c r="B17" s="158" t="s">
        <v>118</v>
      </c>
      <c r="C17" s="158" t="s">
        <v>121</v>
      </c>
      <c r="D17" s="152">
        <v>0.65</v>
      </c>
      <c r="E17" s="107" t="s">
        <v>70</v>
      </c>
      <c r="F17" s="107">
        <v>1</v>
      </c>
      <c r="G17" s="107"/>
      <c r="H17" s="107">
        <v>1</v>
      </c>
      <c r="I17" s="123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x14ac:dyDescent="0.25">
      <c r="A18" s="107">
        <v>40</v>
      </c>
      <c r="B18" s="158" t="s">
        <v>117</v>
      </c>
      <c r="C18" s="158" t="s">
        <v>120</v>
      </c>
      <c r="D18" s="152">
        <v>0.04</v>
      </c>
      <c r="E18" s="107" t="s">
        <v>115</v>
      </c>
      <c r="F18" s="107">
        <f>13.2+53.1-2.8</f>
        <v>63.5</v>
      </c>
      <c r="G18" s="107" t="s">
        <v>110</v>
      </c>
      <c r="H18" s="107">
        <v>1</v>
      </c>
      <c r="I18" s="123">
        <f t="shared" si="0"/>
        <v>2.54</v>
      </c>
      <c r="J18" s="75"/>
      <c r="K18" s="75"/>
      <c r="L18" s="75"/>
      <c r="M18" s="75"/>
      <c r="N18" s="75"/>
      <c r="O18" s="109"/>
    </row>
    <row r="19" spans="1:15" s="110" customFormat="1" ht="45" x14ac:dyDescent="0.25">
      <c r="A19" s="107">
        <v>50</v>
      </c>
      <c r="B19" s="158" t="s">
        <v>119</v>
      </c>
      <c r="C19" s="158"/>
      <c r="D19" s="152">
        <v>1.3</v>
      </c>
      <c r="E19" s="107" t="s">
        <v>70</v>
      </c>
      <c r="F19" s="107">
        <v>1</v>
      </c>
      <c r="G19" s="107"/>
      <c r="H19" s="107">
        <v>1</v>
      </c>
      <c r="I19" s="123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x14ac:dyDescent="0.25">
      <c r="A20" s="107">
        <v>60</v>
      </c>
      <c r="B20" s="158" t="s">
        <v>117</v>
      </c>
      <c r="C20" s="158" t="s">
        <v>116</v>
      </c>
      <c r="D20" s="152">
        <v>0.04</v>
      </c>
      <c r="E20" s="107" t="s">
        <v>115</v>
      </c>
      <c r="F20" s="107">
        <v>149</v>
      </c>
      <c r="G20" s="107" t="s">
        <v>110</v>
      </c>
      <c r="H20" s="107">
        <v>1</v>
      </c>
      <c r="I20" s="123">
        <f t="shared" si="0"/>
        <v>5.96</v>
      </c>
      <c r="J20" s="75"/>
      <c r="K20" s="75"/>
      <c r="L20" s="75"/>
      <c r="M20" s="75"/>
      <c r="N20" s="75"/>
      <c r="O20" s="109"/>
    </row>
    <row r="21" spans="1:15" s="110" customFormat="1" ht="30" x14ac:dyDescent="0.25">
      <c r="A21" s="107">
        <v>70</v>
      </c>
      <c r="B21" s="158" t="s">
        <v>118</v>
      </c>
      <c r="C21" s="158"/>
      <c r="D21" s="152">
        <v>0.65</v>
      </c>
      <c r="E21" s="107" t="s">
        <v>70</v>
      </c>
      <c r="F21" s="107">
        <v>1</v>
      </c>
      <c r="G21" s="107"/>
      <c r="H21" s="107">
        <v>1</v>
      </c>
      <c r="I21" s="123">
        <f t="shared" si="0"/>
        <v>0.65</v>
      </c>
      <c r="J21" s="75"/>
      <c r="K21" s="75"/>
      <c r="L21" s="75"/>
      <c r="M21" s="75"/>
      <c r="N21" s="75"/>
      <c r="O21" s="109"/>
    </row>
    <row r="22" spans="1:15" x14ac:dyDescent="0.25">
      <c r="A22" s="107">
        <v>80</v>
      </c>
      <c r="B22" s="158" t="s">
        <v>117</v>
      </c>
      <c r="C22" s="158" t="s">
        <v>116</v>
      </c>
      <c r="D22" s="152">
        <v>0.04</v>
      </c>
      <c r="E22" s="107" t="s">
        <v>115</v>
      </c>
      <c r="F22" s="107">
        <f>0.48*0.7</f>
        <v>0.33599999999999997</v>
      </c>
      <c r="G22" s="107" t="s">
        <v>110</v>
      </c>
      <c r="H22" s="107">
        <v>1</v>
      </c>
      <c r="I22" s="123">
        <f t="shared" si="0"/>
        <v>1.3439999999999999E-2</v>
      </c>
      <c r="J22" s="70"/>
      <c r="K22" s="70"/>
      <c r="L22" s="70"/>
      <c r="M22" s="70"/>
      <c r="N22" s="70"/>
      <c r="O22" s="73"/>
    </row>
    <row r="23" spans="1:15" ht="45" x14ac:dyDescent="0.25">
      <c r="A23" s="107">
        <v>90</v>
      </c>
      <c r="B23" s="99" t="s">
        <v>114</v>
      </c>
      <c r="C23" s="158" t="s">
        <v>113</v>
      </c>
      <c r="D23" s="152">
        <v>0.1</v>
      </c>
      <c r="E23" s="107" t="s">
        <v>79</v>
      </c>
      <c r="F23" s="107">
        <v>6</v>
      </c>
      <c r="G23" s="107" t="s">
        <v>110</v>
      </c>
      <c r="H23" s="107">
        <v>1</v>
      </c>
      <c r="I23" s="123">
        <f t="shared" si="0"/>
        <v>0.60000000000000009</v>
      </c>
      <c r="J23" s="70"/>
      <c r="K23" s="70"/>
      <c r="L23" s="70"/>
      <c r="M23" s="70"/>
      <c r="N23" s="70"/>
      <c r="O23" s="73"/>
    </row>
    <row r="24" spans="1:15" ht="45" x14ac:dyDescent="0.25">
      <c r="A24" s="107">
        <v>100</v>
      </c>
      <c r="B24" s="99" t="s">
        <v>112</v>
      </c>
      <c r="C24" s="158" t="s">
        <v>111</v>
      </c>
      <c r="D24" s="152">
        <v>0.1</v>
      </c>
      <c r="E24" s="107" t="s">
        <v>79</v>
      </c>
      <c r="F24" s="107">
        <v>1.7</v>
      </c>
      <c r="G24" s="107" t="s">
        <v>110</v>
      </c>
      <c r="H24" s="107">
        <v>1</v>
      </c>
      <c r="I24" s="123">
        <f t="shared" si="0"/>
        <v>0.17</v>
      </c>
      <c r="J24" s="70"/>
      <c r="K24" s="70"/>
      <c r="L24" s="70"/>
      <c r="M24" s="70"/>
      <c r="N24" s="70"/>
      <c r="O24" s="73"/>
    </row>
    <row r="25" spans="1:15" x14ac:dyDescent="0.25">
      <c r="A25" s="93"/>
      <c r="B25" s="94"/>
      <c r="C25" s="94"/>
      <c r="D25" s="94"/>
      <c r="E25" s="94"/>
      <c r="F25" s="94"/>
      <c r="G25" s="94"/>
      <c r="H25" s="120" t="s">
        <v>60</v>
      </c>
      <c r="I25" s="119">
        <f>SUM(I15:I24)</f>
        <v>50.407440000000001</v>
      </c>
      <c r="J25" s="94"/>
      <c r="K25" s="94"/>
      <c r="L25" s="94"/>
      <c r="M25" s="94"/>
      <c r="N25" s="94"/>
      <c r="O25" s="73"/>
    </row>
    <row r="26" spans="1:15" x14ac:dyDescent="0.25">
      <c r="A26" s="79"/>
      <c r="B26" s="70"/>
      <c r="C26" s="70"/>
      <c r="D26" s="70"/>
      <c r="E26" s="70"/>
      <c r="F26" s="70"/>
      <c r="G26" s="70"/>
      <c r="H26" s="70"/>
      <c r="I26" s="75"/>
      <c r="J26" s="70"/>
      <c r="K26" s="70"/>
      <c r="L26" s="70"/>
      <c r="M26" s="70"/>
      <c r="N26" s="70"/>
      <c r="O26" s="73"/>
    </row>
    <row r="27" spans="1:15" ht="15.75" thickBot="1" x14ac:dyDescent="0.3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5"/>
    </row>
  </sheetData>
  <hyperlinks>
    <hyperlink ref="E3" location="dWT_02001" display="Drawing" xr:uid="{00000000-0004-0000-0300-000000000000}"/>
    <hyperlink ref="B4" location="'WT A0200'!A1" display="'WT A0200'!A1" xr:uid="{00000000-0004-0000-0300-000001000000}"/>
    <hyperlink ref="G2" location="WT_A0200_BOM" display="Back to BOM" xr:uid="{FC0E4BEA-5733-48C6-BC03-0C28627577CC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CC"/>
    <pageSetUpPr fitToPage="1"/>
  </sheetPr>
  <dimension ref="A1:B1"/>
  <sheetViews>
    <sheetView zoomScale="70" zoomScaleNormal="70"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tr">
        <f>WT_02001</f>
        <v>WT 02001</v>
      </c>
    </row>
  </sheetData>
  <hyperlinks>
    <hyperlink ref="B1" location="WT_02001" display="WT_02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FFCC"/>
    <pageSetUpPr fitToPage="1"/>
  </sheetPr>
  <dimension ref="A1:O21"/>
  <sheetViews>
    <sheetView topLeftCell="A4" zoomScale="90" zoomScaleNormal="90" workbookViewId="0">
      <selection activeCell="H7" sqref="H7"/>
    </sheetView>
  </sheetViews>
  <sheetFormatPr baseColWidth="10" defaultColWidth="9.140625" defaultRowHeight="15" x14ac:dyDescent="0.25"/>
  <cols>
    <col min="1" max="1" width="9.140625" style="67"/>
    <col min="2" max="2" width="26.5703125" style="67" customWidth="1"/>
    <col min="3" max="3" width="23" style="67" bestFit="1" customWidth="1"/>
    <col min="4" max="4" width="9.140625" style="67"/>
    <col min="5" max="5" width="8.140625" style="67" bestFit="1" customWidth="1"/>
    <col min="6" max="6" width="8.7109375" style="67" bestFit="1" customWidth="1"/>
    <col min="7" max="7" width="19.7109375" style="67" bestFit="1" customWidth="1"/>
    <col min="8" max="8" width="9.140625" style="67"/>
    <col min="9" max="9" width="15.5703125" style="67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WT_02002_m+WT_02002_p</f>
        <v>2.6214313574000001</v>
      </c>
      <c r="O2" s="73"/>
    </row>
    <row r="3" spans="1:15" x14ac:dyDescent="0.25">
      <c r="A3" s="141" t="s">
        <v>34</v>
      </c>
      <c r="B3" s="69" t="str">
        <f>'WT A0200'!B3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132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2.6214313574000001</v>
      </c>
      <c r="O5" s="73"/>
    </row>
    <row r="6" spans="1:15" x14ac:dyDescent="0.25">
      <c r="A6" s="141" t="s">
        <v>40</v>
      </c>
      <c r="B6" s="143" t="s">
        <v>27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131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30" x14ac:dyDescent="0.25">
      <c r="A11" s="136">
        <v>10</v>
      </c>
      <c r="B11" s="135" t="s">
        <v>125</v>
      </c>
      <c r="C11" s="133"/>
      <c r="D11" s="121">
        <v>4.2</v>
      </c>
      <c r="E11" s="134">
        <f>J11*K11*L11</f>
        <v>5.7959846999999995E-2</v>
      </c>
      <c r="F11" s="133" t="s">
        <v>124</v>
      </c>
      <c r="G11" s="133"/>
      <c r="H11" s="132"/>
      <c r="I11" s="175" t="s">
        <v>130</v>
      </c>
      <c r="J11" s="130">
        <f>(55/2*10^-3)^2*3.14</f>
        <v>2.374625E-3</v>
      </c>
      <c r="K11" s="129">
        <v>8.9999999999999993E-3</v>
      </c>
      <c r="L11" s="128">
        <v>2712</v>
      </c>
      <c r="M11" s="127">
        <v>1</v>
      </c>
      <c r="N11" s="121">
        <f>D11*E11</f>
        <v>0.24343135739999999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0.24343135739999999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30" x14ac:dyDescent="0.25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/>
      <c r="H15" s="107">
        <v>1</v>
      </c>
      <c r="I15" s="123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ht="30" x14ac:dyDescent="0.25">
      <c r="A16" s="107">
        <v>20</v>
      </c>
      <c r="B16" s="158" t="s">
        <v>117</v>
      </c>
      <c r="C16" s="158" t="s">
        <v>120</v>
      </c>
      <c r="D16" s="152">
        <v>0.04</v>
      </c>
      <c r="E16" s="107" t="s">
        <v>115</v>
      </c>
      <c r="F16" s="107">
        <v>9.1999999999999993</v>
      </c>
      <c r="G16" s="107" t="s">
        <v>110</v>
      </c>
      <c r="H16" s="107">
        <v>1</v>
      </c>
      <c r="I16" s="123">
        <f>IF(H16="",D16*F16,D16*F16*H16)</f>
        <v>0.36799999999999999</v>
      </c>
      <c r="J16" s="70"/>
      <c r="K16" s="70"/>
      <c r="L16" s="70"/>
      <c r="M16" s="70"/>
      <c r="N16" s="70"/>
      <c r="O16" s="73"/>
    </row>
    <row r="17" spans="1:15" s="110" customFormat="1" ht="30" x14ac:dyDescent="0.25">
      <c r="A17" s="107">
        <v>30</v>
      </c>
      <c r="B17" s="158" t="s">
        <v>118</v>
      </c>
      <c r="C17" s="158" t="s">
        <v>121</v>
      </c>
      <c r="D17" s="152">
        <v>0.65</v>
      </c>
      <c r="E17" s="107" t="s">
        <v>70</v>
      </c>
      <c r="F17" s="107">
        <v>1</v>
      </c>
      <c r="G17" s="107"/>
      <c r="H17" s="107">
        <v>1</v>
      </c>
      <c r="I17" s="123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ht="30" x14ac:dyDescent="0.25">
      <c r="A18" s="107">
        <v>40</v>
      </c>
      <c r="B18" s="158" t="s">
        <v>117</v>
      </c>
      <c r="C18" s="158" t="s">
        <v>120</v>
      </c>
      <c r="D18" s="152">
        <v>0.04</v>
      </c>
      <c r="E18" s="107" t="s">
        <v>115</v>
      </c>
      <c r="F18" s="107">
        <v>1.5</v>
      </c>
      <c r="G18" s="107" t="s">
        <v>110</v>
      </c>
      <c r="H18" s="107">
        <v>1</v>
      </c>
      <c r="I18" s="123">
        <f>IF(H18="",D18*F18,D18*F18*H18)</f>
        <v>0.06</v>
      </c>
      <c r="J18" s="75"/>
      <c r="K18" s="75"/>
      <c r="L18" s="75"/>
      <c r="M18" s="75"/>
      <c r="N18" s="75"/>
      <c r="O18" s="109"/>
    </row>
    <row r="19" spans="1:15" x14ac:dyDescent="0.25">
      <c r="A19" s="93"/>
      <c r="B19" s="94"/>
      <c r="C19" s="94"/>
      <c r="D19" s="94"/>
      <c r="E19" s="94"/>
      <c r="F19" s="94"/>
      <c r="G19" s="94"/>
      <c r="H19" s="120" t="s">
        <v>60</v>
      </c>
      <c r="I19" s="119">
        <f>SUM(I15:I18)</f>
        <v>2.3780000000000001</v>
      </c>
      <c r="J19" s="94"/>
      <c r="K19" s="94"/>
      <c r="L19" s="94"/>
      <c r="M19" s="94"/>
      <c r="N19" s="94"/>
      <c r="O19" s="73"/>
    </row>
    <row r="20" spans="1:15" x14ac:dyDescent="0.25">
      <c r="A20" s="79"/>
      <c r="B20" s="70"/>
      <c r="C20" s="70"/>
      <c r="D20" s="70"/>
      <c r="E20" s="70"/>
      <c r="F20" s="70"/>
      <c r="G20" s="70"/>
      <c r="H20" s="70"/>
      <c r="I20" s="75"/>
      <c r="J20" s="70"/>
      <c r="K20" s="70"/>
      <c r="L20" s="70"/>
      <c r="M20" s="70"/>
      <c r="N20" s="70"/>
      <c r="O20" s="73"/>
    </row>
    <row r="21" spans="1:15" ht="15.75" thickBot="1" x14ac:dyDescent="0.3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5"/>
    </row>
  </sheetData>
  <hyperlinks>
    <hyperlink ref="E3" location="dWT_02002" display="Drawing" xr:uid="{00000000-0004-0000-0500-000000000000}"/>
    <hyperlink ref="B4" location="'WT A0200'!A1" display="'WT A0200'!A1" xr:uid="{00000000-0004-0000-0500-000001000000}"/>
    <hyperlink ref="G2" location="WT_A0200_BOM" display="Back to BOM" xr:uid="{E12AAC96-6DF1-45CA-AAD3-72823489E35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  <pageSetUpPr fitToPage="1"/>
  </sheetPr>
  <dimension ref="A1:B1"/>
  <sheetViews>
    <sheetView zoomScale="80" zoomScaleNormal="80"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17" t="s">
        <v>143</v>
      </c>
    </row>
  </sheetData>
  <hyperlinks>
    <hyperlink ref="B1" location="WT_02002" display="WT_02002" xr:uid="{00000000-0004-0000-06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CC"/>
    <pageSetUpPr fitToPage="1"/>
  </sheetPr>
  <dimension ref="A1:O22"/>
  <sheetViews>
    <sheetView zoomScale="90" zoomScaleNormal="90" workbookViewId="0">
      <selection activeCell="G23" sqref="G23"/>
    </sheetView>
  </sheetViews>
  <sheetFormatPr baseColWidth="10" defaultColWidth="9.140625" defaultRowHeight="15" x14ac:dyDescent="0.25"/>
  <cols>
    <col min="1" max="1" width="9.140625" style="67"/>
    <col min="2" max="2" width="17.7109375" style="67" customWidth="1"/>
    <col min="3" max="3" width="21.7109375" style="67" bestFit="1" customWidth="1"/>
    <col min="4" max="4" width="8.28515625" style="67" bestFit="1" customWidth="1"/>
    <col min="5" max="5" width="7.7109375" style="67" bestFit="1" customWidth="1"/>
    <col min="6" max="6" width="8.28515625" style="67" bestFit="1" customWidth="1"/>
    <col min="7" max="7" width="18.5703125" style="67" bestFit="1" customWidth="1"/>
    <col min="8" max="8" width="9.140625" style="67"/>
    <col min="9" max="9" width="17" style="67" bestFit="1" customWidth="1"/>
    <col min="10" max="13" width="9.140625" style="67"/>
    <col min="14" max="14" width="12.5703125" style="67" bestFit="1" customWidth="1"/>
    <col min="15" max="15" width="3.140625" style="67" customWidth="1"/>
    <col min="16" max="16384" width="9.140625" style="67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41" t="s">
        <v>24</v>
      </c>
      <c r="B2" s="69" t="s">
        <v>23</v>
      </c>
      <c r="C2" s="70"/>
      <c r="D2" s="70"/>
      <c r="E2" s="70"/>
      <c r="F2" s="70"/>
      <c r="G2" s="106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WT_02003_m+WT_02003_p</f>
        <v>20.676657798400001</v>
      </c>
      <c r="O2" s="73"/>
    </row>
    <row r="3" spans="1:15" x14ac:dyDescent="0.25">
      <c r="A3" s="141" t="s">
        <v>34</v>
      </c>
      <c r="B3" s="69" t="str">
        <f>'WT A0200'!B3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25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25">
      <c r="A5" s="141" t="s">
        <v>107</v>
      </c>
      <c r="B5" s="77" t="s">
        <v>104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20.676657798400001</v>
      </c>
      <c r="O5" s="73"/>
    </row>
    <row r="6" spans="1:15" x14ac:dyDescent="0.25">
      <c r="A6" s="141" t="s">
        <v>40</v>
      </c>
      <c r="B6" s="143" t="s">
        <v>28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25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25">
      <c r="A8" s="141" t="s">
        <v>46</v>
      </c>
      <c r="B8" s="69" t="s">
        <v>133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25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25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30" x14ac:dyDescent="0.25">
      <c r="A11" s="170">
        <v>10</v>
      </c>
      <c r="B11" s="171" t="s">
        <v>125</v>
      </c>
      <c r="C11" s="172"/>
      <c r="D11" s="123">
        <v>4.2</v>
      </c>
      <c r="E11" s="173">
        <f>J11*K11*L11</f>
        <v>0.86348995200000023</v>
      </c>
      <c r="F11" s="172" t="s">
        <v>124</v>
      </c>
      <c r="G11" s="172"/>
      <c r="H11" s="174"/>
      <c r="I11" s="175" t="s">
        <v>123</v>
      </c>
      <c r="J11" s="176">
        <f>(65*10^-3)^2*3.14</f>
        <v>1.3266500000000002E-2</v>
      </c>
      <c r="K11" s="177">
        <v>2.4E-2</v>
      </c>
      <c r="L11" s="178">
        <v>2712</v>
      </c>
      <c r="M11" s="179">
        <v>1</v>
      </c>
      <c r="N11" s="123">
        <f>D11*E11</f>
        <v>3.626657798400001</v>
      </c>
      <c r="O11" s="88"/>
    </row>
    <row r="12" spans="1:15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3.626657798400001</v>
      </c>
      <c r="O12" s="73"/>
    </row>
    <row r="13" spans="1:15" x14ac:dyDescent="0.25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25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45" x14ac:dyDescent="0.25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/>
      <c r="H15" s="107">
        <v>1</v>
      </c>
      <c r="I15" s="123">
        <f t="shared" ref="I15:I20" si="0">IF(H15="",D15*F15,D15*F15*H15)</f>
        <v>1.3</v>
      </c>
      <c r="J15" s="122"/>
      <c r="K15" s="122"/>
      <c r="L15" s="122"/>
      <c r="M15" s="122"/>
      <c r="N15" s="122"/>
      <c r="O15" s="96"/>
    </row>
    <row r="16" spans="1:15" ht="30" x14ac:dyDescent="0.25">
      <c r="A16" s="107">
        <v>20</v>
      </c>
      <c r="B16" s="158" t="s">
        <v>117</v>
      </c>
      <c r="C16" s="158" t="s">
        <v>120</v>
      </c>
      <c r="D16" s="152">
        <v>0.04</v>
      </c>
      <c r="E16" s="107" t="s">
        <v>115</v>
      </c>
      <c r="F16" s="107">
        <v>112</v>
      </c>
      <c r="G16" s="107" t="s">
        <v>110</v>
      </c>
      <c r="H16" s="107">
        <v>1</v>
      </c>
      <c r="I16" s="123">
        <f t="shared" si="0"/>
        <v>4.4800000000000004</v>
      </c>
      <c r="J16" s="70"/>
      <c r="K16" s="70"/>
      <c r="L16" s="70"/>
      <c r="M16" s="70"/>
      <c r="N16" s="70"/>
      <c r="O16" s="73"/>
    </row>
    <row r="17" spans="1:15" s="110" customFormat="1" ht="30" x14ac:dyDescent="0.25">
      <c r="A17" s="107">
        <v>30</v>
      </c>
      <c r="B17" s="158" t="s">
        <v>118</v>
      </c>
      <c r="C17" s="158" t="s">
        <v>121</v>
      </c>
      <c r="D17" s="152">
        <v>0.65</v>
      </c>
      <c r="E17" s="107" t="s">
        <v>70</v>
      </c>
      <c r="F17" s="107">
        <v>1</v>
      </c>
      <c r="G17" s="107"/>
      <c r="H17" s="107">
        <v>1</v>
      </c>
      <c r="I17" s="123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ht="30" x14ac:dyDescent="0.25">
      <c r="A18" s="107">
        <v>40</v>
      </c>
      <c r="B18" s="158" t="s">
        <v>117</v>
      </c>
      <c r="C18" s="158" t="s">
        <v>120</v>
      </c>
      <c r="D18" s="152">
        <v>0.04</v>
      </c>
      <c r="E18" s="107" t="s">
        <v>115</v>
      </c>
      <c r="F18" s="107">
        <v>84</v>
      </c>
      <c r="G18" s="107" t="s">
        <v>110</v>
      </c>
      <c r="H18" s="107">
        <v>1</v>
      </c>
      <c r="I18" s="123">
        <f t="shared" si="0"/>
        <v>3.36</v>
      </c>
      <c r="J18" s="75"/>
      <c r="K18" s="75"/>
      <c r="L18" s="75"/>
      <c r="M18" s="75"/>
      <c r="N18" s="75"/>
      <c r="O18" s="109"/>
    </row>
    <row r="19" spans="1:15" s="110" customFormat="1" ht="45" x14ac:dyDescent="0.25">
      <c r="A19" s="107">
        <v>50</v>
      </c>
      <c r="B19" s="158" t="s">
        <v>119</v>
      </c>
      <c r="C19" s="158"/>
      <c r="D19" s="152">
        <v>1.3</v>
      </c>
      <c r="E19" s="107" t="s">
        <v>70</v>
      </c>
      <c r="F19" s="107">
        <v>1</v>
      </c>
      <c r="G19" s="107"/>
      <c r="H19" s="107">
        <v>1</v>
      </c>
      <c r="I19" s="123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ht="30" x14ac:dyDescent="0.25">
      <c r="A20" s="107">
        <v>60</v>
      </c>
      <c r="B20" s="158" t="s">
        <v>117</v>
      </c>
      <c r="C20" s="158" t="s">
        <v>116</v>
      </c>
      <c r="D20" s="152">
        <v>0.04</v>
      </c>
      <c r="E20" s="107" t="s">
        <v>115</v>
      </c>
      <c r="F20" s="107">
        <v>149</v>
      </c>
      <c r="G20" s="107" t="s">
        <v>110</v>
      </c>
      <c r="H20" s="107">
        <v>1</v>
      </c>
      <c r="I20" s="123">
        <f t="shared" si="0"/>
        <v>5.96</v>
      </c>
      <c r="J20" s="75"/>
      <c r="K20" s="75"/>
      <c r="L20" s="75"/>
      <c r="M20" s="75"/>
      <c r="N20" s="75"/>
      <c r="O20" s="109"/>
    </row>
    <row r="21" spans="1:15" x14ac:dyDescent="0.25">
      <c r="A21" s="93"/>
      <c r="B21" s="94"/>
      <c r="C21" s="94"/>
      <c r="D21" s="94"/>
      <c r="E21" s="94"/>
      <c r="F21" s="94"/>
      <c r="G21" s="94"/>
      <c r="H21" s="120" t="s">
        <v>60</v>
      </c>
      <c r="I21" s="119">
        <f>SUM(I15:I20)</f>
        <v>17.05</v>
      </c>
      <c r="J21" s="94"/>
      <c r="K21" s="94"/>
      <c r="L21" s="94"/>
      <c r="M21" s="94"/>
      <c r="N21" s="94"/>
      <c r="O21" s="73"/>
    </row>
    <row r="22" spans="1:15" ht="15.75" thickBot="1" x14ac:dyDescent="0.3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5"/>
    </row>
  </sheetData>
  <hyperlinks>
    <hyperlink ref="B4" location="'WT A0200'!A1" display="'WT A0200'!A1" xr:uid="{00000000-0004-0000-0700-000000000000}"/>
    <hyperlink ref="E3" location="dWT_02003" display="Drawing" xr:uid="{00000000-0004-0000-0700-000001000000}"/>
    <hyperlink ref="G2" location="WT_A0200_BOM" display="Back to BOM" xr:uid="{E301C858-9949-48E9-BCC9-91C4BCE8C5C2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FFCC"/>
    <pageSetUpPr fitToPage="1"/>
  </sheetPr>
  <dimension ref="A1:B1"/>
  <sheetViews>
    <sheetView zoomScale="90" zoomScaleNormal="90" workbookViewId="0">
      <selection activeCell="B1" sqref="B1"/>
    </sheetView>
  </sheetViews>
  <sheetFormatPr baseColWidth="10" defaultColWidth="11.5703125" defaultRowHeight="15" x14ac:dyDescent="0.25"/>
  <cols>
    <col min="1" max="1" width="14" style="67" customWidth="1"/>
    <col min="2" max="16384" width="11.5703125" style="67"/>
  </cols>
  <sheetData>
    <row r="1" spans="1:2" x14ac:dyDescent="0.25">
      <c r="A1" t="s">
        <v>129</v>
      </c>
      <c r="B1" s="144" t="s">
        <v>144</v>
      </c>
    </row>
  </sheetData>
  <hyperlinks>
    <hyperlink ref="B1" location="WT_02003" display="WT_02003" xr:uid="{00000000-0004-0000-0800-000000000000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69</vt:i4>
      </vt:variant>
    </vt:vector>
  </HeadingPairs>
  <TitlesOfParts>
    <vt:vector size="93" baseType="lpstr">
      <vt:lpstr>BOM</vt:lpstr>
      <vt:lpstr>WT A0100</vt:lpstr>
      <vt:lpstr>WT A0200</vt:lpstr>
      <vt:lpstr>WT 02001</vt:lpstr>
      <vt:lpstr>dWT 02001</vt:lpstr>
      <vt:lpstr>WT 02002</vt:lpstr>
      <vt:lpstr>dWT 02002</vt:lpstr>
      <vt:lpstr>WT 02003</vt:lpstr>
      <vt:lpstr>dWT 02003</vt:lpstr>
      <vt:lpstr>WT 02004</vt:lpstr>
      <vt:lpstr>dWT 02004</vt:lpstr>
      <vt:lpstr>WT 02005</vt:lpstr>
      <vt:lpstr>dWT 02005</vt:lpstr>
      <vt:lpstr>WT A0300</vt:lpstr>
      <vt:lpstr>WT 03001</vt:lpstr>
      <vt:lpstr>dWT 03001</vt:lpstr>
      <vt:lpstr>WT 03002</vt:lpstr>
      <vt:lpstr>dWT 03002</vt:lpstr>
      <vt:lpstr>WT 03003</vt:lpstr>
      <vt:lpstr>dWT 03003</vt:lpstr>
      <vt:lpstr>WT 03004</vt:lpstr>
      <vt:lpstr>dWT 03004</vt:lpstr>
      <vt:lpstr>WT 03005</vt:lpstr>
      <vt:lpstr>dWT 03005</vt:lpstr>
      <vt:lpstr>dWT_02001</vt:lpstr>
      <vt:lpstr>dWT_02002</vt:lpstr>
      <vt:lpstr>dWT_02003</vt:lpstr>
      <vt:lpstr>dWT_02004</vt:lpstr>
      <vt:lpstr>dWT_02005</vt:lpstr>
      <vt:lpstr>dWT_03001</vt:lpstr>
      <vt:lpstr>dWT_03002</vt:lpstr>
      <vt:lpstr>dWT_03003</vt:lpstr>
      <vt:lpstr>dWT_03004</vt:lpstr>
      <vt:lpstr>dWT_03005</vt:lpstr>
      <vt:lpstr>WT_02001</vt:lpstr>
      <vt:lpstr>WT_02001_m</vt:lpstr>
      <vt:lpstr>WT_02001_p</vt:lpstr>
      <vt:lpstr>WT_02001_q</vt:lpstr>
      <vt:lpstr>WT_02002</vt:lpstr>
      <vt:lpstr>WT_02002_m</vt:lpstr>
      <vt:lpstr>WT_02002_p</vt:lpstr>
      <vt:lpstr>WT_02002_q</vt:lpstr>
      <vt:lpstr>WT_02003</vt:lpstr>
      <vt:lpstr>WT_02003_m</vt:lpstr>
      <vt:lpstr>WT_02003_p</vt:lpstr>
      <vt:lpstr>WT_02003_q</vt:lpstr>
      <vt:lpstr>WT_02004</vt:lpstr>
      <vt:lpstr>WT_02004_m</vt:lpstr>
      <vt:lpstr>WT_02004_p</vt:lpstr>
      <vt:lpstr>WT_02004_q</vt:lpstr>
      <vt:lpstr>WT_02005</vt:lpstr>
      <vt:lpstr>WT_02005_m</vt:lpstr>
      <vt:lpstr>WT_02005_p</vt:lpstr>
      <vt:lpstr>WT_02005_q</vt:lpstr>
      <vt:lpstr>WT_03001</vt:lpstr>
      <vt:lpstr>WT_03001_m</vt:lpstr>
      <vt:lpstr>WT_03001_p</vt:lpstr>
      <vt:lpstr>WT_03001_q</vt:lpstr>
      <vt:lpstr>WT_03002</vt:lpstr>
      <vt:lpstr>WT_03002_m</vt:lpstr>
      <vt:lpstr>WT_03002_p</vt:lpstr>
      <vt:lpstr>WT_03002_q</vt:lpstr>
      <vt:lpstr>WT_03003</vt:lpstr>
      <vt:lpstr>WT_03003_m</vt:lpstr>
      <vt:lpstr>WT_03003_p</vt:lpstr>
      <vt:lpstr>WT_03003_q</vt:lpstr>
      <vt:lpstr>WT_03004</vt:lpstr>
      <vt:lpstr>WT_03004_m</vt:lpstr>
      <vt:lpstr>WT_03004_p</vt:lpstr>
      <vt:lpstr>WT_03004_q</vt:lpstr>
      <vt:lpstr>WT_03005</vt:lpstr>
      <vt:lpstr>WT_03005_m</vt:lpstr>
      <vt:lpstr>WT_03005_p</vt:lpstr>
      <vt:lpstr>WT_03005_q</vt:lpstr>
      <vt:lpstr>WT_A0100</vt:lpstr>
      <vt:lpstr>WT_A0100_BOM</vt:lpstr>
      <vt:lpstr>WT_A0100_f</vt:lpstr>
      <vt:lpstr>WT_A0100_m</vt:lpstr>
      <vt:lpstr>WT_A0100_p</vt:lpstr>
      <vt:lpstr>WT_A0100_q</vt:lpstr>
      <vt:lpstr>WT_A0200</vt:lpstr>
      <vt:lpstr>WT_A0200_BOM</vt:lpstr>
      <vt:lpstr>WT_A0200_f</vt:lpstr>
      <vt:lpstr>WT_A0200_m</vt:lpstr>
      <vt:lpstr>WT_A0200_p</vt:lpstr>
      <vt:lpstr>WT_A0200_pa</vt:lpstr>
      <vt:lpstr>WT_A0200_q</vt:lpstr>
      <vt:lpstr>WT_A0300</vt:lpstr>
      <vt:lpstr>WT_A0300_BOM</vt:lpstr>
      <vt:lpstr>WT_A0300_f</vt:lpstr>
      <vt:lpstr>WT_A0300_m</vt:lpstr>
      <vt:lpstr>WT_A0300_p</vt:lpstr>
      <vt:lpstr>WT_A0300_q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2018-05-04T20:22:28Z</dcterms:modified>
</cp:coreProperties>
</file>