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ssiers\ECL\Cours\EPSA\Github\FR - Frame &amp; Body\Cost\"/>
    </mc:Choice>
  </mc:AlternateContent>
  <bookViews>
    <workbookView xWindow="4740" yWindow="60" windowWidth="16380" windowHeight="8196" firstSheet="2" activeTab="2"/>
  </bookViews>
  <sheets>
    <sheet name="Instructions" sheetId="7" r:id="rId1"/>
    <sheet name="BOM" sheetId="8" r:id="rId2"/>
    <sheet name="FR A0700" sheetId="1" r:id="rId3"/>
    <sheet name="FR_0700_000" sheetId="2" r:id="rId4"/>
    <sheet name="dFR_0700_000" sheetId="9" r:id="rId5"/>
    <sheet name="FR_0700_001" sheetId="13" r:id="rId6"/>
    <sheet name="dFR_0700_001" sheetId="14" r:id="rId7"/>
    <sheet name="FR_0700_002" sheetId="15" r:id="rId8"/>
    <sheet name="dFR_0700_002" sheetId="33" r:id="rId9"/>
    <sheet name="FR_0700_003" sheetId="20" r:id="rId10"/>
    <sheet name="dFR_0700_003" sheetId="34" r:id="rId11"/>
    <sheet name="FR_0700_004" sheetId="21" r:id="rId12"/>
    <sheet name="dFR_0700_004" sheetId="35" r:id="rId13"/>
    <sheet name="FR_0700_005" sheetId="22" r:id="rId14"/>
    <sheet name="dFR_0700_005" sheetId="36" r:id="rId15"/>
    <sheet name="FR_0700_006" sheetId="23" r:id="rId16"/>
    <sheet name="dFR_0700_006" sheetId="37" r:id="rId17"/>
    <sheet name="FR_0700_007" sheetId="24" r:id="rId18"/>
    <sheet name="dFR_0700_007" sheetId="38" r:id="rId19"/>
  </sheet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ede">#REF!</definedName>
    <definedName name="dqwdqd">#REF!</definedName>
    <definedName name="eded">#REF!</definedName>
    <definedName name="er">#REF!</definedName>
    <definedName name="ervcdx">#REF!</definedName>
    <definedName name="ezfdscx">#REF!</definedName>
    <definedName name="FR_0300_015">#REF!</definedName>
    <definedName name="FR_0300_015_m">#REF!</definedName>
    <definedName name="FR_0300_015_p">#REF!</definedName>
    <definedName name="FR_0300_015_q">#REF!</definedName>
    <definedName name="FR_0700_000">FR_0700_000!$B$6</definedName>
    <definedName name="FR_0700_000_m">FR_0700_000!$N$12</definedName>
    <definedName name="FR_0700_000_p">FR_0700_000!$I$19</definedName>
    <definedName name="FR_0700_000_q">FR_0700_000!$N$3</definedName>
    <definedName name="FR_0700_001">FR_0700_001!$B$6</definedName>
    <definedName name="FR_0700_001_m">FR_0700_001!$N$12</definedName>
    <definedName name="FR_0700_001_p">FR_0700_001!$I$21</definedName>
    <definedName name="FR_0700_001_q">FR_0700_001!$N$3</definedName>
    <definedName name="FR_0700_002">FR_0700_002!$B$6</definedName>
    <definedName name="FR_0700_002_m">FR_0700_002!$N$12</definedName>
    <definedName name="FR_0700_002_p">FR_0700_002!$I$19</definedName>
    <definedName name="FR_0700_002_q">FR_0700_002!$N$3</definedName>
    <definedName name="FR_0700_003">FR_0700_003!$B$6</definedName>
    <definedName name="FR_0700_003_m">FR_0700_003!$N$12</definedName>
    <definedName name="FR_0700_003_p">FR_0700_003!$I$19</definedName>
    <definedName name="FR_0700_003_q">FR_0700_003!$N$3</definedName>
    <definedName name="FR_0700_004">FR_0700_004!$B$6</definedName>
    <definedName name="FR_0700_004_m">FR_0700_004!$N$12</definedName>
    <definedName name="FR_0700_004_p">FR_0700_004!$I$19</definedName>
    <definedName name="FR_0700_004_q">FR_0700_004!$N$3</definedName>
    <definedName name="FR_0700_005">FR_0700_005!$B$6</definedName>
    <definedName name="FR_0700_005_m">FR_0700_005!$N$12</definedName>
    <definedName name="FR_0700_005_p">FR_0700_005!$I$17</definedName>
    <definedName name="FR_0700_005_q">FR_0700_005!$N$3</definedName>
    <definedName name="FR_0700_006">FR_0700_006!$B$6</definedName>
    <definedName name="FR_0700_006_m">FR_0700_006!$N$12</definedName>
    <definedName name="FR_0700_006_p">FR_0700_006!$I$17</definedName>
    <definedName name="FR_0700_006_q">FR_0700_006!$N$3</definedName>
    <definedName name="FR_0700_007">FR_0700_007!$B$6</definedName>
    <definedName name="FR_0700_007_m">FR_0700_007!$N$12</definedName>
    <definedName name="FR_0700_007_p">FR_0700_007!$I$17</definedName>
    <definedName name="FR_0700_007_q">FR_0700_007!$N$3</definedName>
    <definedName name="FR_A0700">'FR A0700'!$B$5</definedName>
    <definedName name="FR_A0700_f">'FR A0700'!$J$40</definedName>
    <definedName name="FR_A0700_m">'FR A0700'!$N$23</definedName>
    <definedName name="FR_A0700_p">'FR A0700'!$I$31</definedName>
    <definedName name="FR_A0700_pa">'FR A0700'!$E$18</definedName>
    <definedName name="FR_A0700_q">'FR A0700'!$N$3</definedName>
    <definedName name="FR_A0700_t">'FR A0700'!$I$44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_N_Base">'FR A0700'!$A$5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BOM!$A$1:$N$16</definedName>
  </definedNames>
  <calcPr calcId="162913"/>
</workbook>
</file>

<file path=xl/calcChain.xml><?xml version="1.0" encoding="utf-8"?>
<calcChain xmlns="http://schemas.openxmlformats.org/spreadsheetml/2006/main">
  <c r="I16" i="24" l="1"/>
  <c r="J11" i="24"/>
  <c r="F26" i="1"/>
  <c r="J11" i="23"/>
  <c r="F27" i="1"/>
  <c r="J11" i="22"/>
  <c r="J38" i="1"/>
  <c r="J39" i="1"/>
  <c r="D37" i="1"/>
  <c r="J37" i="1" s="1"/>
  <c r="E22" i="1"/>
  <c r="M22" i="1" s="1"/>
  <c r="N22" i="1" s="1"/>
  <c r="E21" i="1"/>
  <c r="I18" i="21" l="1"/>
  <c r="I18" i="20"/>
  <c r="J12" i="8"/>
  <c r="J10" i="8"/>
  <c r="I15" i="8"/>
  <c r="I14" i="8"/>
  <c r="I13" i="8"/>
  <c r="I12" i="8"/>
  <c r="I11" i="8"/>
  <c r="I10" i="8"/>
  <c r="I8" i="8"/>
  <c r="I7" i="8"/>
  <c r="F15" i="8"/>
  <c r="F14" i="8"/>
  <c r="F13" i="8"/>
  <c r="F12" i="8"/>
  <c r="F11" i="8"/>
  <c r="F10" i="8"/>
  <c r="C15" i="8"/>
  <c r="C14" i="8"/>
  <c r="C13" i="8"/>
  <c r="C12" i="8"/>
  <c r="C11" i="8"/>
  <c r="C10" i="8"/>
  <c r="C9" i="8"/>
  <c r="C8" i="8"/>
  <c r="C7" i="8"/>
  <c r="M21" i="1" l="1"/>
  <c r="N21" i="1" s="1"/>
  <c r="N23" i="1" s="1"/>
  <c r="D17" i="1" l="1"/>
  <c r="I15" i="24"/>
  <c r="N11" i="24"/>
  <c r="N12" i="24" s="1"/>
  <c r="J15" i="8" s="1"/>
  <c r="B4" i="24"/>
  <c r="B3" i="24"/>
  <c r="D16" i="1"/>
  <c r="I16" i="23"/>
  <c r="I15" i="23"/>
  <c r="N11" i="23"/>
  <c r="N12" i="23" s="1"/>
  <c r="J14" i="8" s="1"/>
  <c r="B4" i="23"/>
  <c r="B3" i="23"/>
  <c r="D15" i="1"/>
  <c r="I16" i="22"/>
  <c r="I15" i="22"/>
  <c r="N11" i="22"/>
  <c r="N12" i="22" s="1"/>
  <c r="J13" i="8" s="1"/>
  <c r="B4" i="22"/>
  <c r="B3" i="22"/>
  <c r="D11" i="1"/>
  <c r="D14" i="1"/>
  <c r="I17" i="21"/>
  <c r="I16" i="21"/>
  <c r="I19" i="21" s="1"/>
  <c r="I15" i="21"/>
  <c r="N11" i="21"/>
  <c r="N12" i="21" s="1"/>
  <c r="B4" i="21"/>
  <c r="B3" i="21"/>
  <c r="D12" i="1"/>
  <c r="D13" i="1"/>
  <c r="I17" i="20"/>
  <c r="I16" i="20"/>
  <c r="I19" i="20" s="1"/>
  <c r="I15" i="20"/>
  <c r="N11" i="20"/>
  <c r="N12" i="20" s="1"/>
  <c r="J11" i="8" s="1"/>
  <c r="B4" i="20"/>
  <c r="B3" i="20"/>
  <c r="N11" i="15"/>
  <c r="N12" i="15" s="1"/>
  <c r="I15" i="15"/>
  <c r="I16" i="15"/>
  <c r="I18" i="15"/>
  <c r="I17" i="15"/>
  <c r="B4" i="15"/>
  <c r="B3" i="15"/>
  <c r="I17" i="24" l="1"/>
  <c r="K15" i="8" s="1"/>
  <c r="I17" i="23"/>
  <c r="K14" i="8" s="1"/>
  <c r="I17" i="22"/>
  <c r="K13" i="8" s="1"/>
  <c r="I19" i="15"/>
  <c r="K10" i="8" s="1"/>
  <c r="I9" i="8"/>
  <c r="F9" i="8"/>
  <c r="D10" i="1"/>
  <c r="I19" i="13"/>
  <c r="I20" i="13"/>
  <c r="I15" i="13"/>
  <c r="I16" i="13"/>
  <c r="N11" i="13"/>
  <c r="N12" i="13" s="1"/>
  <c r="N11" i="2"/>
  <c r="I18" i="13"/>
  <c r="I17" i="13"/>
  <c r="B4" i="13"/>
  <c r="B3" i="13"/>
  <c r="N2" i="24" l="1"/>
  <c r="N5" i="24" s="1"/>
  <c r="I21" i="13"/>
  <c r="K9" i="8" s="1"/>
  <c r="N2" i="13"/>
  <c r="C11" i="1" s="1"/>
  <c r="N2" i="23"/>
  <c r="N5" i="23" s="1"/>
  <c r="N2" i="21"/>
  <c r="N5" i="21" s="1"/>
  <c r="K12" i="8"/>
  <c r="N2" i="22"/>
  <c r="N5" i="22" s="1"/>
  <c r="N2" i="20"/>
  <c r="N5" i="20" s="1"/>
  <c r="K11" i="8"/>
  <c r="J9" i="8"/>
  <c r="N2" i="15"/>
  <c r="D36" i="1"/>
  <c r="J36" i="1" s="1"/>
  <c r="D34" i="1"/>
  <c r="J35" i="1"/>
  <c r="C17" i="1" l="1"/>
  <c r="N5" i="15"/>
  <c r="C12" i="1"/>
  <c r="N5" i="13"/>
  <c r="C14" i="1"/>
  <c r="C16" i="1"/>
  <c r="C15" i="1"/>
  <c r="C13" i="1"/>
  <c r="J34" i="1"/>
  <c r="I27" i="1" l="1"/>
  <c r="I28" i="1"/>
  <c r="I29" i="1"/>
  <c r="I30" i="1"/>
  <c r="E11" i="1"/>
  <c r="E12" i="1"/>
  <c r="E13" i="1"/>
  <c r="E14" i="1"/>
  <c r="E15" i="1"/>
  <c r="E16" i="1"/>
  <c r="E17" i="1"/>
  <c r="B8" i="8" l="1"/>
  <c r="B3" i="2" l="1"/>
  <c r="B16" i="8"/>
  <c r="B9" i="8"/>
  <c r="B10" i="8"/>
  <c r="B11" i="8"/>
  <c r="B12" i="8"/>
  <c r="B13" i="8"/>
  <c r="B14" i="8"/>
  <c r="B15" i="8"/>
  <c r="B7" i="8"/>
  <c r="B4" i="2" l="1"/>
  <c r="F8" i="8"/>
  <c r="F7" i="8"/>
  <c r="E9" i="8" l="1"/>
  <c r="E13" i="8"/>
  <c r="E10" i="8"/>
  <c r="E14" i="8"/>
  <c r="E8" i="8"/>
  <c r="E11" i="8"/>
  <c r="E15" i="8"/>
  <c r="E12" i="8"/>
  <c r="H9" i="8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I18" i="2"/>
  <c r="I17" i="2"/>
  <c r="I16" i="2"/>
  <c r="I15" i="2"/>
  <c r="N12" i="2"/>
  <c r="I43" i="1"/>
  <c r="J40" i="1"/>
  <c r="L7" i="8" s="1"/>
  <c r="I26" i="1"/>
  <c r="I31" i="1" s="1"/>
  <c r="K7" i="8" s="1"/>
  <c r="J8" i="8" l="1"/>
  <c r="L16" i="8"/>
  <c r="I44" i="1"/>
  <c r="I19" i="2"/>
  <c r="K8" i="8" s="1"/>
  <c r="J7" i="8"/>
  <c r="N2" i="2" l="1"/>
  <c r="N5" i="2" s="1"/>
  <c r="M7" i="8"/>
  <c r="M16" i="8" s="1"/>
  <c r="K16" i="8"/>
  <c r="H8" i="8"/>
  <c r="N8" i="8" s="1"/>
  <c r="O1" i="8"/>
  <c r="H7" i="8" l="1"/>
  <c r="N7" i="8" s="1"/>
  <c r="N16" i="8" s="1"/>
  <c r="C10" i="1"/>
  <c r="E10" i="1" s="1"/>
  <c r="E18" i="1" s="1"/>
  <c r="N2" i="1" s="1"/>
  <c r="J16" i="8"/>
  <c r="N5" i="1" l="1"/>
</calcChain>
</file>

<file path=xl/sharedStrings.xml><?xml version="1.0" encoding="utf-8"?>
<sst xmlns="http://schemas.openxmlformats.org/spreadsheetml/2006/main" count="721" uniqueCount="215">
  <si>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</si>
  <si>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</si>
  <si>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</si>
  <si>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</si>
  <si>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</si>
  <si>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</si>
  <si>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</si>
  <si>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</si>
  <si>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</si>
  <si>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</si>
  <si>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</si>
  <si>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</si>
  <si>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</si>
  <si>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</si>
  <si>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</si>
  <si>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</si>
  <si>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</si>
  <si>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</si>
  <si>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</si>
  <si>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</si>
  <si>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</si>
  <si>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</si>
  <si>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</si>
  <si>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</si>
  <si>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</si>
  <si>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</si>
  <si>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</si>
  <si>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</si>
  <si>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</si>
  <si>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</si>
  <si>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</si>
  <si>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</si>
  <si>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</si>
  <si>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</si>
  <si>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</si>
  <si>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</si>
  <si>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</si>
  <si>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Washer, Grade 8.8 (SAE 5)</t>
  </si>
  <si>
    <t>Nut, Grade 8.8 (SAE 5)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</si>
  <si>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</si>
  <si>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</si>
  <si>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</si>
  <si>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</si>
  <si>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</si>
  <si>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</si>
  <si>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</si>
  <si>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</si>
  <si>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</si>
  <si>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</si>
  <si>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</si>
  <si>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</si>
  <si>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</si>
  <si>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</si>
  <si>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</si>
  <si>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</si>
  <si>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</si>
  <si>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</si>
  <si>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</si>
  <si>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</si>
  <si>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</si>
  <si>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</si>
  <si>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</si>
  <si>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</si>
  <si>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</si>
  <si>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</si>
  <si>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</si>
  <si>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</si>
  <si>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</si>
  <si>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</si>
  <si>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</si>
  <si>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Renomme cette cellule du nom du code qu'elle comprend mais avec un _ comme séparateur : ex EL_A0001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</si>
  <si>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</si>
  <si>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</si>
  <si>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</si>
  <si>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</si>
  <si>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</si>
  <si>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</si>
  <si>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</si>
  <si>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</si>
  <si>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</si>
  <si>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</si>
  <si>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</si>
  <si>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</si>
  <si>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</si>
  <si>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</si>
  <si>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</si>
  <si>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</si>
  <si>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</si>
  <si>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</si>
  <si>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</si>
  <si>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</si>
  <si>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</si>
  <si>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</si>
  <si>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 part :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</si>
  <si>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</si>
  <si>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</si>
  <si>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</si>
  <si>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</si>
  <si>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</si>
  <si>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</si>
  <si>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Insérer un lien vers la Part sur le plan par clic droit sur l'image. Cible du lien vers la Part (ex EL_01001)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</si>
  <si>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</si>
  <si>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</si>
  <si>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Feuille Br Assembly : Feuille pour 1 assemblage du système BR. Pour un nouvel assemblage, créer un nouveau document à partir du template. 1 document Excel = 1 assemblage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</si>
  <si>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</si>
  <si>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</si>
  <si>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</si>
  <si>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</si>
  <si>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</si>
  <si>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</si>
  <si>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Renommer cette cellule du nom du code qu'elle comprend mais avec un _ comme séparateur : ex BR_01001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</si>
  <si>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</si>
  <si>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</si>
  <si>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Créer un lien vers l'assemblage : sélectionner la cellule, faites Ctrl+K, il apparait une fenetre, en référence de la cellule (A1 par défaut) indiquez le nom de la cellule renommé de l'assemblage (par ex BR_A0001)</t>
  </si>
  <si>
    <t>Renommer les cases quantité (cellule N3), et sous-totaux de chaque part respectivement code_de_la_part_x avec x = q pour quantité, m pour material, f pour fastener, t pour tooling et p pour process</t>
  </si>
  <si>
    <t>ex : BR_01001_q, …</t>
  </si>
  <si>
    <t>ex BR_A0001_q, …</t>
  </si>
  <si>
    <t>Remplir la quantité, Material, Process, Fastener, Tooling. Dans le cas où une table n'est pas concernée (elle est restée vide), la supprimer complètement.</t>
  </si>
  <si>
    <t>Renommer la cellule avec le nouveau lien d_code_de_la_part, ex dBR_01001</t>
  </si>
  <si>
    <t>sélectionner la cellule, faites Ctrl+K, apparait une fenetre, en référence de la cellule (A1 par défaut) indiquez le nom de la cellule renommé de la Part (par ex BR_01001)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</si>
  <si>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</si>
  <si>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</si>
  <si>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</si>
  <si>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</si>
  <si>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</si>
  <si>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</si>
  <si>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</si>
  <si>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</si>
  <si>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Feuille Br Part x : Feuille pour 1 part de l'assemblage. Pour faire une nouvelle part, créer un nouvel onglet à partir du template. 1 onglet = 1 part.</t>
  </si>
  <si>
    <t>Faites une capture d'écran du plan de la part en question et coller l'image dans l'onglet "BR Drawing 1"</t>
  </si>
  <si>
    <t>Renommer l'onglet avec ce même code</t>
  </si>
  <si>
    <t>Dans le détail de la part (onglet "BR Part x") écrire à côté de cellule File Link "Drawing" et mettre un lien vers la cellule surplombant le plan ayant le code d_code_de_la_part (ex dBR_01001)</t>
  </si>
  <si>
    <t>Viennent ensuite les Parts. Pour chaque Part :</t>
  </si>
  <si>
    <t>FSAEI</t>
  </si>
  <si>
    <t>Back to BOM</t>
  </si>
  <si>
    <t>Petite marche à suivre pour remplir cette merveille qu'est le cost</t>
  </si>
  <si>
    <t>Consulter le tutoriel disponible sur GitHub, dans Vulcanix-v1.0/Cost Report, pour plus d'informations sur cette étape.</t>
  </si>
  <si>
    <t>Frame and Body</t>
  </si>
  <si>
    <t>Weld</t>
  </si>
  <si>
    <t>Assemble, 1 kg, Loose</t>
  </si>
  <si>
    <t>Reaction Tool &lt;= 25.4 mm</t>
  </si>
  <si>
    <t>Ratchet &lt;= 25.4 mm</t>
  </si>
  <si>
    <t>Aerosol Apply</t>
  </si>
  <si>
    <t>Painting of the Mounts</t>
  </si>
  <si>
    <t>m^2</t>
  </si>
  <si>
    <t>Bolt, Grade 8.8 (SAE 5)</t>
  </si>
  <si>
    <t>Mounts welded to the chassis</t>
  </si>
  <si>
    <t>FR_0300_000</t>
  </si>
  <si>
    <t>Aluminum, Normal (per kg)</t>
  </si>
  <si>
    <t>Machining Setup, Change</t>
  </si>
  <si>
    <t>Machining</t>
  </si>
  <si>
    <t>cm^3</t>
  </si>
  <si>
    <t>Horizontal holes</t>
  </si>
  <si>
    <t>Vertical holes</t>
  </si>
  <si>
    <t>Side</t>
  </si>
  <si>
    <t>Back</t>
  </si>
  <si>
    <t>Side and side holes</t>
  </si>
  <si>
    <t xml:space="preserve">Drawing part : </t>
  </si>
  <si>
    <t>FR_0300_001</t>
  </si>
  <si>
    <t>FR_0300_002</t>
  </si>
  <si>
    <t>front</t>
  </si>
  <si>
    <t>FR_0300_003</t>
  </si>
  <si>
    <t>Laser cut</t>
  </si>
  <si>
    <t>Sheet metal bends</t>
  </si>
  <si>
    <t>bend</t>
  </si>
  <si>
    <t>FR_0300_004</t>
  </si>
  <si>
    <t>frontal area</t>
  </si>
  <si>
    <t>FR_0300_005</t>
  </si>
  <si>
    <t>FR_0300_006</t>
  </si>
  <si>
    <t>frontal Area</t>
  </si>
  <si>
    <t>FR_0300_007</t>
  </si>
  <si>
    <t xml:space="preserve">Drawing Part : </t>
  </si>
  <si>
    <t>4 parts cut from a single machine setup</t>
  </si>
  <si>
    <t>Material - Steel</t>
  </si>
  <si>
    <t>2 parts cut from a single machine setup</t>
  </si>
  <si>
    <t>Hand Finish - Material Removal</t>
  </si>
  <si>
    <t>Chamfer</t>
  </si>
  <si>
    <t>Paint</t>
  </si>
  <si>
    <t>Material - Aluminum</t>
  </si>
  <si>
    <t>FR A0700</t>
  </si>
  <si>
    <t>Bodywork</t>
  </si>
  <si>
    <t>The assembly of the bodywork</t>
  </si>
  <si>
    <t>Nose</t>
  </si>
  <si>
    <t>Back Inlet Bracket</t>
  </si>
  <si>
    <t>Right Inlet</t>
  </si>
  <si>
    <t>Left Inlet</t>
  </si>
  <si>
    <t>Front Inlet Bracket</t>
  </si>
  <si>
    <t>FR_0700_007</t>
  </si>
  <si>
    <t>FR_0700_006</t>
  </si>
  <si>
    <t>FR_0700_005</t>
  </si>
  <si>
    <t>FR_0700_004</t>
  </si>
  <si>
    <t>FR_0700_003</t>
  </si>
  <si>
    <t>FR_0700_002</t>
  </si>
  <si>
    <t>FR_0700_001</t>
  </si>
  <si>
    <t>FR_0700_000</t>
  </si>
  <si>
    <t>Nose covering the front of the chassis</t>
  </si>
  <si>
    <t>Left Inlet covering the cooling system</t>
  </si>
  <si>
    <t>Right Inlet covering the exhaust system</t>
  </si>
  <si>
    <t xml:space="preserve">Front Side Plate </t>
  </si>
  <si>
    <t>Front Side plate</t>
  </si>
  <si>
    <t>Front Side Plate</t>
  </si>
  <si>
    <t>Back Side Plate</t>
  </si>
  <si>
    <t>Painting the Brackets</t>
  </si>
  <si>
    <t>Nose Bracket</t>
  </si>
  <si>
    <t>2 parts made from the same plate</t>
  </si>
  <si>
    <t>Painting the Nose, the Right Inlet and the Left Inlet</t>
  </si>
  <si>
    <t>Pin, Quick Release</t>
  </si>
  <si>
    <t>Fixing the Nose to the Brackets</t>
  </si>
  <si>
    <t>Hook and Loop, Hook Side (Velcro)</t>
  </si>
  <si>
    <t>cm^2</t>
  </si>
  <si>
    <t>Hook and Loop, Loop Side (Velcro)</t>
  </si>
  <si>
    <t>Fixing the Side Plates</t>
  </si>
  <si>
    <t>Welding the Brackets</t>
  </si>
  <si>
    <t>Steel, Alloy (kg)</t>
  </si>
  <si>
    <t>A faire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</si>
</sst>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4" formatCode="_-* #,##0.00\ &quot;€&quot;_-;\-* #,##0.00\ &quot;€&quot;_-;_-* &quot;-&quot;??\ &quot;€&quot;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* #,##0_);_(* \(#,##0\);_(* \-??_);_(@_)"/>
    <numFmt numFmtId="169" formatCode="_(&quot;$&quot;* #,##0.00_);_(&quot;$&quot;* \(#,##0.00\);_(&quot;$&quot;* &quot;-&quot;??_);_(@_)"/>
    <numFmt numFmtId="170" formatCode="_(* #,##0.00_);_(* \(#,##0.00\);_(* &quot;-&quot;??_);_(@_)"/>
    <numFmt numFmtId="171" formatCode="_-[$$-409]* #,##0.00_ ;_-[$$-409]* \-#,##0.00\ ;_-[$$-409]* &quot;-&quot;??_ ;_-@_ "/>
    <numFmt numFmtId="172" formatCode="0.0000"/>
    <numFmt numFmtId="173" formatCode="0.000"/>
    <numFmt numFmtId="174" formatCode="0.0"/>
    <numFmt numFmtId="175" formatCode="0.00000"/>
    <numFmt numFmtId="176" formatCode="0.000000"/>
    <numFmt numFmtId="177" formatCode="_(* #,##0.0000_);_(* \(#,##0.0000\);_(* \-??_);_(@_)"/>
    <numFmt numFmtId="178" formatCode="_(* #,##0.00000_);_(* \(#,##0.00000\);_(* \-??_);_(@_)"/>
    <numFmt numFmtId="181" formatCode="_(&quot;$&quot;* #,##0.000_);_(&quot;$&quot;* \(#,##0.000\);_(&quot;$&quot;* &quot;-&quot;??_);_(@_)"/>
  </numFmts>
  <fonts count="2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rgb="FFFF99FF"/>
        <bgColor rgb="FFFCD5B5"/>
      </patternFill>
    </fill>
    <fill>
      <patternFill patternType="solid">
        <fgColor rgb="FFFF66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rgb="FFFAC090"/>
      </patternFill>
    </fill>
  </fills>
  <borders count="40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1">
    <xf numFmtId="0" fontId="0" fillId="0" borderId="0"/>
    <xf numFmtId="0" fontId="7" fillId="0" borderId="0"/>
    <xf numFmtId="169" fontId="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6" fillId="2" borderId="6">
      <alignment vertical="center" wrapText="1"/>
    </xf>
    <xf numFmtId="170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0" fontId="26" fillId="0" borderId="0"/>
    <xf numFmtId="44" fontId="5" fillId="0" borderId="0" applyFont="0" applyFill="0" applyBorder="0" applyAlignment="0" applyProtection="0"/>
  </cellStyleXfs>
  <cellXfs count="210">
    <xf numFmtId="0" fontId="0" fillId="0" borderId="0" xfId="0"/>
    <xf numFmtId="170" fontId="8" fillId="0" borderId="0" xfId="5" applyFont="1"/>
    <xf numFmtId="0" fontId="8" fillId="0" borderId="0" xfId="1" applyFont="1" applyProtection="1">
      <protection locked="0"/>
    </xf>
    <xf numFmtId="170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4" fillId="0" borderId="0" xfId="0" applyFont="1" applyBorder="1"/>
    <xf numFmtId="0" fontId="0" fillId="0" borderId="0" xfId="0" applyFont="1"/>
    <xf numFmtId="0" fontId="4" fillId="0" borderId="0" xfId="0" applyFont="1" applyBorder="1" applyAlignment="1">
      <alignment horizontal="left"/>
    </xf>
    <xf numFmtId="0" fontId="4" fillId="0" borderId="3" xfId="0" applyFont="1" applyBorder="1"/>
    <xf numFmtId="164" fontId="4" fillId="0" borderId="3" xfId="7" applyNumberFormat="1" applyFont="1" applyBorder="1" applyAlignment="1" applyProtection="1"/>
    <xf numFmtId="0" fontId="4" fillId="0" borderId="3" xfId="0" applyFont="1" applyBorder="1" applyAlignment="1"/>
    <xf numFmtId="11" fontId="4" fillId="0" borderId="3" xfId="0" applyNumberFormat="1" applyFont="1" applyBorder="1" applyAlignment="1"/>
    <xf numFmtId="167" fontId="4" fillId="0" borderId="3" xfId="7" applyNumberFormat="1" applyFont="1" applyBorder="1" applyAlignment="1" applyProtection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0" fillId="0" borderId="3" xfId="0" applyBorder="1"/>
    <xf numFmtId="0" fontId="0" fillId="0" borderId="3" xfId="7" applyNumberFormat="1" applyFont="1" applyBorder="1" applyAlignment="1">
      <alignment wrapText="1"/>
    </xf>
    <xf numFmtId="49" fontId="4" fillId="0" borderId="0" xfId="0" applyNumberFormat="1" applyFont="1" applyBorder="1" applyAlignment="1">
      <alignment horizontal="left"/>
    </xf>
    <xf numFmtId="0" fontId="3" fillId="0" borderId="4" xfId="0" applyFont="1" applyBorder="1"/>
    <xf numFmtId="0" fontId="4" fillId="0" borderId="3" xfId="0" applyFont="1" applyBorder="1" applyAlignment="1" applyProtection="1"/>
    <xf numFmtId="3" fontId="0" fillId="0" borderId="3" xfId="0" applyNumberFormat="1" applyBorder="1" applyAlignment="1"/>
    <xf numFmtId="165" fontId="4" fillId="0" borderId="3" xfId="7" applyNumberFormat="1" applyFont="1" applyBorder="1" applyAlignment="1" applyProtection="1"/>
    <xf numFmtId="0" fontId="0" fillId="0" borderId="3" xfId="0" applyBorder="1" applyAlignment="1">
      <alignment wrapText="1"/>
    </xf>
    <xf numFmtId="165" fontId="4" fillId="0" borderId="3" xfId="7" applyNumberFormat="1" applyFont="1" applyBorder="1" applyAlignment="1" applyProtection="1">
      <alignment wrapText="1"/>
    </xf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70" fontId="7" fillId="0" borderId="0" xfId="1" applyNumberFormat="1" applyFont="1"/>
    <xf numFmtId="0" fontId="12" fillId="0" borderId="7" xfId="1" applyFont="1" applyBorder="1" applyAlignment="1">
      <alignment horizontal="center" wrapText="1"/>
    </xf>
    <xf numFmtId="2" fontId="12" fillId="0" borderId="7" xfId="1" applyNumberFormat="1" applyFont="1" applyBorder="1" applyAlignment="1">
      <alignment horizontal="center" wrapText="1"/>
    </xf>
    <xf numFmtId="170" fontId="12" fillId="0" borderId="7" xfId="5" applyFont="1" applyBorder="1" applyAlignment="1">
      <alignment horizontal="center" wrapText="1"/>
    </xf>
    <xf numFmtId="0" fontId="17" fillId="4" borderId="8" xfId="6" applyFont="1" applyFill="1" applyBorder="1"/>
    <xf numFmtId="0" fontId="17" fillId="4" borderId="10" xfId="6" applyFont="1" applyFill="1" applyBorder="1"/>
    <xf numFmtId="0" fontId="17" fillId="4" borderId="9" xfId="6" applyFont="1" applyFill="1" applyBorder="1"/>
    <xf numFmtId="0" fontId="17" fillId="4" borderId="11" xfId="6" applyFont="1" applyFill="1" applyBorder="1"/>
    <xf numFmtId="0" fontId="2" fillId="5" borderId="13" xfId="6" quotePrefix="1" applyFill="1" applyBorder="1" applyAlignment="1">
      <alignment horizontal="left"/>
    </xf>
    <xf numFmtId="2" fontId="2" fillId="6" borderId="14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21" xfId="0" applyFont="1" applyBorder="1"/>
    <xf numFmtId="0" fontId="4" fillId="0" borderId="19" xfId="7" applyNumberFormat="1" applyFont="1" applyBorder="1" applyAlignment="1"/>
    <xf numFmtId="0" fontId="0" fillId="0" borderId="19" xfId="0" applyFont="1" applyBorder="1"/>
    <xf numFmtId="0" fontId="0" fillId="0" borderId="19" xfId="0" applyBorder="1" applyAlignment="1"/>
    <xf numFmtId="0" fontId="3" fillId="0" borderId="20" xfId="0" applyFont="1" applyBorder="1"/>
    <xf numFmtId="0" fontId="0" fillId="0" borderId="19" xfId="0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4" fillId="0" borderId="15" xfId="0" applyFont="1" applyBorder="1"/>
    <xf numFmtId="165" fontId="4" fillId="0" borderId="15" xfId="7" applyNumberFormat="1" applyFont="1" applyBorder="1" applyAlignment="1" applyProtection="1"/>
    <xf numFmtId="0" fontId="0" fillId="0" borderId="15" xfId="0" applyBorder="1"/>
    <xf numFmtId="0" fontId="0" fillId="0" borderId="15" xfId="7" applyNumberFormat="1" applyFont="1" applyBorder="1" applyAlignment="1">
      <alignment wrapText="1"/>
    </xf>
    <xf numFmtId="37" fontId="4" fillId="0" borderId="15" xfId="7" applyNumberFormat="1" applyFont="1" applyBorder="1" applyAlignment="1" applyProtection="1"/>
    <xf numFmtId="0" fontId="4" fillId="0" borderId="15" xfId="0" applyFont="1" applyBorder="1" applyAlignment="1">
      <alignment horizontal="right"/>
    </xf>
    <xf numFmtId="0" fontId="3" fillId="0" borderId="26" xfId="0" applyFont="1" applyBorder="1"/>
    <xf numFmtId="0" fontId="4" fillId="0" borderId="21" xfId="0" applyFont="1" applyBorder="1" applyAlignment="1"/>
    <xf numFmtId="0" fontId="0" fillId="0" borderId="21" xfId="0" applyBorder="1" applyAlignment="1">
      <alignment wrapText="1"/>
    </xf>
    <xf numFmtId="0" fontId="0" fillId="0" borderId="21" xfId="0" applyBorder="1"/>
    <xf numFmtId="0" fontId="19" fillId="0" borderId="0" xfId="0" applyFont="1"/>
    <xf numFmtId="0" fontId="18" fillId="0" borderId="0" xfId="8" applyBorder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3" xfId="6" quotePrefix="1" applyFont="1" applyFill="1" applyBorder="1" applyAlignment="1">
      <alignment horizontal="left"/>
    </xf>
    <xf numFmtId="0" fontId="1" fillId="5" borderId="13" xfId="6" applyFont="1" applyFill="1" applyBorder="1"/>
    <xf numFmtId="0" fontId="1" fillId="5" borderId="12" xfId="6" applyFont="1" applyFill="1" applyBorder="1"/>
    <xf numFmtId="171" fontId="4" fillId="0" borderId="15" xfId="7" applyNumberFormat="1" applyFont="1" applyBorder="1" applyAlignment="1" applyProtection="1"/>
    <xf numFmtId="173" fontId="4" fillId="0" borderId="3" xfId="7" applyNumberFormat="1" applyFont="1" applyBorder="1" applyAlignment="1" applyProtection="1"/>
    <xf numFmtId="0" fontId="3" fillId="7" borderId="15" xfId="0" applyFont="1" applyFill="1" applyBorder="1"/>
    <xf numFmtId="0" fontId="3" fillId="7" borderId="15" xfId="0" applyFont="1" applyFill="1" applyBorder="1" applyAlignment="1">
      <alignment horizontal="right"/>
    </xf>
    <xf numFmtId="165" fontId="3" fillId="7" borderId="15" xfId="0" applyNumberFormat="1" applyFont="1" applyFill="1" applyBorder="1"/>
    <xf numFmtId="0" fontId="3" fillId="7" borderId="0" xfId="0" applyFont="1" applyFill="1" applyBorder="1"/>
    <xf numFmtId="0" fontId="3" fillId="7" borderId="25" xfId="0" applyFont="1" applyFill="1" applyBorder="1" applyAlignment="1">
      <alignment horizontal="right"/>
    </xf>
    <xf numFmtId="165" fontId="3" fillId="7" borderId="25" xfId="0" applyNumberFormat="1" applyFont="1" applyFill="1" applyBorder="1"/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1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 applyProtection="1">
      <alignment horizontal="center"/>
      <protection locked="0"/>
    </xf>
    <xf numFmtId="171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9" borderId="3" xfId="1" applyFont="1" applyFill="1" applyBorder="1" applyProtection="1">
      <protection locked="0"/>
    </xf>
    <xf numFmtId="0" fontId="11" fillId="9" borderId="3" xfId="1" applyFont="1" applyFill="1" applyBorder="1" applyAlignment="1">
      <alignment horizontal="left"/>
    </xf>
    <xf numFmtId="18" fontId="11" fillId="9" borderId="3" xfId="1" applyNumberFormat="1" applyFont="1" applyFill="1" applyBorder="1" applyAlignment="1" applyProtection="1">
      <alignment horizontal="right"/>
      <protection locked="0"/>
    </xf>
    <xf numFmtId="18" fontId="11" fillId="9" borderId="3" xfId="1" applyNumberFormat="1" applyFont="1" applyFill="1" applyBorder="1" applyAlignment="1" applyProtection="1">
      <protection locked="0"/>
    </xf>
    <xf numFmtId="0" fontId="18" fillId="9" borderId="3" xfId="8" applyFill="1" applyBorder="1" applyAlignment="1">
      <alignment horizontal="left"/>
    </xf>
    <xf numFmtId="171" fontId="11" fillId="9" borderId="3" xfId="5" applyNumberFormat="1" applyFont="1" applyFill="1" applyBorder="1" applyProtection="1">
      <protection locked="0"/>
    </xf>
    <xf numFmtId="37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 applyProtection="1">
      <alignment horizontal="center"/>
      <protection locked="0"/>
    </xf>
    <xf numFmtId="171" fontId="11" fillId="9" borderId="3" xfId="1" applyNumberFormat="1" applyFont="1" applyFill="1" applyBorder="1" applyAlignment="1">
      <alignment horizontal="right"/>
    </xf>
    <xf numFmtId="0" fontId="11" fillId="9" borderId="3" xfId="1" applyFont="1" applyFill="1" applyBorder="1" applyAlignment="1">
      <alignment horizontal="center"/>
    </xf>
    <xf numFmtId="0" fontId="11" fillId="9" borderId="3" xfId="1" applyFont="1" applyFill="1" applyBorder="1" applyAlignment="1" applyProtection="1">
      <alignment horizontal="center"/>
      <protection locked="0"/>
    </xf>
    <xf numFmtId="11" fontId="11" fillId="9" borderId="3" xfId="1" applyNumberFormat="1" applyFont="1" applyFill="1" applyBorder="1" applyAlignment="1" applyProtection="1">
      <protection locked="0"/>
    </xf>
    <xf numFmtId="0" fontId="3" fillId="10" borderId="15" xfId="0" applyFont="1" applyFill="1" applyBorder="1"/>
    <xf numFmtId="0" fontId="3" fillId="10" borderId="15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27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1" xfId="0" applyFont="1" applyFill="1" applyBorder="1"/>
    <xf numFmtId="0" fontId="3" fillId="10" borderId="5" xfId="0" applyFont="1" applyFill="1" applyBorder="1" applyAlignment="1">
      <alignment horizontal="right"/>
    </xf>
    <xf numFmtId="165" fontId="4" fillId="0" borderId="28" xfId="7" applyNumberFormat="1" applyFont="1" applyBorder="1" applyAlignment="1" applyProtection="1"/>
    <xf numFmtId="0" fontId="4" fillId="0" borderId="28" xfId="0" applyFont="1" applyBorder="1"/>
    <xf numFmtId="0" fontId="3" fillId="7" borderId="29" xfId="0" applyFont="1" applyFill="1" applyBorder="1"/>
    <xf numFmtId="0" fontId="24" fillId="0" borderId="30" xfId="0" applyFont="1" applyBorder="1" applyAlignment="1">
      <alignment wrapText="1"/>
    </xf>
    <xf numFmtId="0" fontId="3" fillId="7" borderId="28" xfId="0" applyFont="1" applyFill="1" applyBorder="1"/>
    <xf numFmtId="0" fontId="24" fillId="0" borderId="31" xfId="0" applyFont="1" applyBorder="1" applyAlignment="1">
      <alignment wrapText="1"/>
    </xf>
    <xf numFmtId="0" fontId="3" fillId="7" borderId="3" xfId="0" applyFont="1" applyFill="1" applyBorder="1"/>
    <xf numFmtId="165" fontId="4" fillId="0" borderId="29" xfId="7" applyNumberFormat="1" applyFont="1" applyBorder="1" applyAlignment="1" applyProtection="1"/>
    <xf numFmtId="0" fontId="25" fillId="0" borderId="6" xfId="9" applyFont="1" applyFill="1" applyBorder="1" applyAlignment="1">
      <alignment wrapText="1"/>
    </xf>
    <xf numFmtId="0" fontId="25" fillId="0" borderId="15" xfId="7" applyNumberFormat="1" applyFont="1" applyBorder="1" applyAlignment="1">
      <alignment wrapText="1"/>
    </xf>
    <xf numFmtId="0" fontId="0" fillId="0" borderId="0" xfId="0" applyFill="1" applyBorder="1"/>
    <xf numFmtId="0" fontId="0" fillId="0" borderId="19" xfId="0" applyFill="1" applyBorder="1"/>
    <xf numFmtId="0" fontId="0" fillId="0" borderId="0" xfId="0" applyFill="1"/>
    <xf numFmtId="165" fontId="4" fillId="0" borderId="15" xfId="7" applyNumberFormat="1" applyFont="1" applyFill="1" applyBorder="1" applyAlignment="1" applyProtection="1"/>
    <xf numFmtId="0" fontId="25" fillId="0" borderId="15" xfId="0" applyFont="1" applyFill="1" applyBorder="1"/>
    <xf numFmtId="2" fontId="0" fillId="0" borderId="3" xfId="0" applyNumberFormat="1" applyBorder="1" applyAlignment="1">
      <alignment wrapText="1"/>
    </xf>
    <xf numFmtId="2" fontId="4" fillId="0" borderId="3" xfId="0" applyNumberFormat="1" applyFont="1" applyBorder="1"/>
    <xf numFmtId="2" fontId="0" fillId="0" borderId="3" xfId="0" applyNumberFormat="1" applyBorder="1"/>
    <xf numFmtId="0" fontId="4" fillId="0" borderId="33" xfId="0" applyFont="1" applyBorder="1"/>
    <xf numFmtId="0" fontId="0" fillId="0" borderId="33" xfId="7" applyNumberFormat="1" applyFont="1" applyBorder="1" applyAlignment="1">
      <alignment wrapText="1"/>
    </xf>
    <xf numFmtId="0" fontId="0" fillId="0" borderId="33" xfId="0" applyBorder="1"/>
    <xf numFmtId="174" fontId="0" fillId="0" borderId="3" xfId="0" applyNumberFormat="1" applyBorder="1" applyAlignment="1">
      <alignment wrapText="1"/>
    </xf>
    <xf numFmtId="174" fontId="4" fillId="0" borderId="3" xfId="0" applyNumberFormat="1" applyFont="1" applyBorder="1"/>
    <xf numFmtId="174" fontId="0" fillId="0" borderId="3" xfId="0" applyNumberFormat="1" applyBorder="1"/>
    <xf numFmtId="174" fontId="4" fillId="0" borderId="33" xfId="0" applyNumberFormat="1" applyFont="1" applyBorder="1"/>
    <xf numFmtId="0" fontId="18" fillId="0" borderId="0" xfId="8" applyFill="1"/>
    <xf numFmtId="172" fontId="4" fillId="0" borderId="3" xfId="7" applyNumberFormat="1" applyFont="1" applyBorder="1" applyAlignment="1" applyProtection="1"/>
    <xf numFmtId="175" fontId="4" fillId="0" borderId="3" xfId="7" applyNumberFormat="1" applyFont="1" applyBorder="1" applyAlignment="1" applyProtection="1"/>
    <xf numFmtId="176" fontId="4" fillId="0" borderId="3" xfId="7" applyNumberFormat="1" applyFont="1" applyBorder="1" applyAlignment="1" applyProtection="1"/>
    <xf numFmtId="0" fontId="18" fillId="0" borderId="3" xfId="8" applyBorder="1" applyAlignment="1">
      <alignment wrapText="1"/>
    </xf>
    <xf numFmtId="177" fontId="4" fillId="0" borderId="3" xfId="7" applyNumberFormat="1" applyFont="1" applyBorder="1" applyAlignment="1" applyProtection="1"/>
    <xf numFmtId="37" fontId="4" fillId="0" borderId="15" xfId="0" applyNumberFormat="1" applyFont="1" applyBorder="1" applyAlignment="1"/>
    <xf numFmtId="0" fontId="4" fillId="0" borderId="32" xfId="0" applyFont="1" applyBorder="1"/>
    <xf numFmtId="165" fontId="4" fillId="0" borderId="7" xfId="7" applyNumberFormat="1" applyFont="1" applyBorder="1" applyAlignment="1" applyProtection="1"/>
    <xf numFmtId="0" fontId="11" fillId="0" borderId="34" xfId="1" applyFont="1" applyFill="1" applyBorder="1" applyProtection="1">
      <protection locked="0"/>
    </xf>
    <xf numFmtId="0" fontId="11" fillId="0" borderId="34" xfId="1" applyFont="1" applyFill="1" applyBorder="1" applyAlignment="1">
      <alignment horizontal="left"/>
    </xf>
    <xf numFmtId="18" fontId="11" fillId="0" borderId="34" xfId="1" applyNumberFormat="1" applyFont="1" applyFill="1" applyBorder="1" applyAlignment="1" applyProtection="1">
      <protection locked="0"/>
    </xf>
    <xf numFmtId="170" fontId="11" fillId="0" borderId="34" xfId="5" applyFont="1" applyFill="1" applyBorder="1" applyProtection="1">
      <protection locked="0"/>
    </xf>
    <xf numFmtId="0" fontId="11" fillId="0" borderId="34" xfId="1" applyFont="1" applyFill="1" applyBorder="1" applyAlignment="1" applyProtection="1">
      <alignment horizontal="center"/>
      <protection locked="0"/>
    </xf>
    <xf numFmtId="171" fontId="11" fillId="0" borderId="34" xfId="1" applyNumberFormat="1" applyFont="1" applyFill="1" applyBorder="1" applyAlignment="1">
      <alignment horizontal="right"/>
    </xf>
    <xf numFmtId="0" fontId="11" fillId="0" borderId="34" xfId="1" applyFont="1" applyFill="1" applyBorder="1" applyAlignment="1">
      <alignment horizontal="center"/>
    </xf>
    <xf numFmtId="0" fontId="18" fillId="9" borderId="0" xfId="8" applyFill="1"/>
    <xf numFmtId="0" fontId="0" fillId="0" borderId="35" xfId="0" applyBorder="1"/>
    <xf numFmtId="0" fontId="25" fillId="0" borderId="36" xfId="9" applyFont="1" applyFill="1" applyBorder="1" applyAlignment="1">
      <alignment wrapText="1"/>
    </xf>
    <xf numFmtId="0" fontId="0" fillId="0" borderId="7" xfId="0" applyBorder="1"/>
    <xf numFmtId="0" fontId="0" fillId="0" borderId="7" xfId="7" applyNumberFormat="1" applyFont="1" applyBorder="1" applyAlignment="1">
      <alignment wrapText="1"/>
    </xf>
    <xf numFmtId="0" fontId="0" fillId="0" borderId="37" xfId="0" applyBorder="1"/>
    <xf numFmtId="0" fontId="25" fillId="0" borderId="37" xfId="0" applyFont="1" applyBorder="1"/>
    <xf numFmtId="0" fontId="25" fillId="0" borderId="37" xfId="9" applyFont="1" applyFill="1" applyBorder="1" applyAlignment="1">
      <alignment wrapText="1"/>
    </xf>
    <xf numFmtId="165" fontId="25" fillId="0" borderId="37" xfId="7" applyNumberFormat="1" applyFont="1" applyBorder="1" applyAlignment="1" applyProtection="1"/>
    <xf numFmtId="0" fontId="25" fillId="0" borderId="37" xfId="7" applyNumberFormat="1" applyFont="1" applyBorder="1" applyAlignment="1">
      <alignment wrapText="1"/>
    </xf>
    <xf numFmtId="0" fontId="24" fillId="0" borderId="37" xfId="0" applyFont="1" applyBorder="1" applyAlignment="1">
      <alignment wrapText="1"/>
    </xf>
    <xf numFmtId="0" fontId="3" fillId="7" borderId="25" xfId="0" applyFont="1" applyFill="1" applyBorder="1"/>
    <xf numFmtId="0" fontId="24" fillId="0" borderId="32" xfId="0" applyFont="1" applyBorder="1" applyAlignment="1">
      <alignment wrapText="1"/>
    </xf>
    <xf numFmtId="0" fontId="4" fillId="0" borderId="37" xfId="0" applyFont="1" applyBorder="1"/>
    <xf numFmtId="165" fontId="4" fillId="0" borderId="37" xfId="7" applyNumberFormat="1" applyFont="1" applyBorder="1" applyAlignment="1" applyProtection="1"/>
    <xf numFmtId="164" fontId="4" fillId="0" borderId="37" xfId="7" applyNumberFormat="1" applyFont="1" applyBorder="1" applyAlignment="1" applyProtection="1"/>
    <xf numFmtId="2" fontId="4" fillId="0" borderId="37" xfId="7" applyNumberFormat="1" applyFont="1" applyBorder="1" applyAlignment="1" applyProtection="1"/>
    <xf numFmtId="168" fontId="4" fillId="0" borderId="37" xfId="7" applyNumberFormat="1" applyFont="1" applyBorder="1" applyAlignment="1" applyProtection="1"/>
    <xf numFmtId="11" fontId="4" fillId="0" borderId="37" xfId="7" applyNumberFormat="1" applyFont="1" applyBorder="1" applyAlignment="1" applyProtection="1"/>
    <xf numFmtId="0" fontId="18" fillId="0" borderId="32" xfId="8" applyNumberFormat="1" applyBorder="1" applyAlignment="1" applyProtection="1"/>
    <xf numFmtId="165" fontId="4" fillId="0" borderId="38" xfId="7" applyNumberFormat="1" applyFont="1" applyBorder="1" applyAlignment="1" applyProtection="1"/>
    <xf numFmtId="0" fontId="4" fillId="0" borderId="5" xfId="0" applyFont="1" applyBorder="1"/>
    <xf numFmtId="0" fontId="18" fillId="0" borderId="5" xfId="8" applyBorder="1" applyAlignment="1">
      <alignment wrapText="1"/>
    </xf>
    <xf numFmtId="165" fontId="4" fillId="0" borderId="39" xfId="7" applyNumberFormat="1" applyFont="1" applyBorder="1" applyAlignment="1" applyProtection="1"/>
    <xf numFmtId="0" fontId="18" fillId="0" borderId="37" xfId="8" applyFill="1" applyBorder="1"/>
    <xf numFmtId="165" fontId="4" fillId="0" borderId="32" xfId="7" applyNumberFormat="1" applyFont="1" applyBorder="1" applyAlignment="1" applyProtection="1"/>
    <xf numFmtId="164" fontId="4" fillId="0" borderId="32" xfId="7" applyNumberFormat="1" applyFont="1" applyBorder="1" applyAlignment="1" applyProtection="1"/>
    <xf numFmtId="2" fontId="4" fillId="0" borderId="32" xfId="7" applyNumberFormat="1" applyFont="1" applyBorder="1" applyAlignment="1" applyProtection="1"/>
    <xf numFmtId="168" fontId="4" fillId="0" borderId="32" xfId="7" applyNumberFormat="1" applyFont="1" applyBorder="1" applyAlignment="1" applyProtection="1"/>
    <xf numFmtId="11" fontId="4" fillId="0" borderId="32" xfId="7" applyNumberFormat="1" applyFont="1" applyBorder="1" applyAlignment="1" applyProtection="1"/>
    <xf numFmtId="178" fontId="4" fillId="0" borderId="32" xfId="7" applyNumberFormat="1" applyFont="1" applyBorder="1" applyAlignment="1" applyProtection="1"/>
    <xf numFmtId="175" fontId="4" fillId="0" borderId="32" xfId="0" applyNumberFormat="1" applyFont="1" applyBorder="1"/>
    <xf numFmtId="0" fontId="25" fillId="0" borderId="29" xfId="0" applyFont="1" applyFill="1" applyBorder="1"/>
    <xf numFmtId="165" fontId="4" fillId="0" borderId="29" xfId="7" applyNumberFormat="1" applyFont="1" applyFill="1" applyBorder="1" applyAlignment="1" applyProtection="1"/>
    <xf numFmtId="0" fontId="25" fillId="0" borderId="37" xfId="0" applyFont="1" applyFill="1" applyBorder="1"/>
    <xf numFmtId="165" fontId="4" fillId="0" borderId="37" xfId="7" applyNumberFormat="1" applyFont="1" applyFill="1" applyBorder="1" applyAlignment="1" applyProtection="1"/>
    <xf numFmtId="0" fontId="25" fillId="0" borderId="37" xfId="0" applyFont="1" applyFill="1" applyBorder="1" applyAlignment="1" applyProtection="1">
      <alignment vertical="center" wrapText="1"/>
    </xf>
    <xf numFmtId="0" fontId="0" fillId="0" borderId="37" xfId="0" applyFill="1" applyBorder="1"/>
    <xf numFmtId="181" fontId="25" fillId="0" borderId="37" xfId="10" applyNumberFormat="1" applyFont="1" applyFill="1" applyBorder="1" applyAlignment="1" applyProtection="1">
      <alignment vertical="center" wrapText="1"/>
    </xf>
    <xf numFmtId="165" fontId="4" fillId="0" borderId="15" xfId="7" applyNumberFormat="1" applyFont="1" applyBorder="1" applyAlignment="1" applyProtection="1">
      <alignment horizontal="left"/>
    </xf>
    <xf numFmtId="175" fontId="0" fillId="0" borderId="15" xfId="0" applyNumberFormat="1" applyBorder="1"/>
  </cellXfs>
  <cellStyles count="11">
    <cellStyle name="Comma 2" xfId="5"/>
    <cellStyle name="Cost_Green" xfId="4"/>
    <cellStyle name="Currency 2" xfId="2"/>
    <cellStyle name="Lien hypertexte" xfId="8" builtinId="8"/>
    <cellStyle name="Monétaire" xfId="10" builtinId="4"/>
    <cellStyle name="Monétaire 2" xfId="3"/>
    <cellStyle name="Normal" xfId="0" builtinId="0"/>
    <cellStyle name="Normal 2" xfId="1"/>
    <cellStyle name="Normal 3" xfId="6"/>
    <cellStyle name="Normal_Sheet1" xfId="9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  <color rgb="FFFFCCFF"/>
      <color rgb="FFFF66CC"/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FR_0700_000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FR_0700_001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FR_0700_002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FR_0700_003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FR_0700_004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hyperlink" Target="#FR_0700_005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hyperlink" Target="#FR_0700_006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FR_0700_007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335281</xdr:colOff>
      <xdr:row>1</xdr:row>
      <xdr:rowOff>162217</xdr:rowOff>
    </xdr:from>
    <xdr:to>
      <xdr:col>9</xdr:col>
      <xdr:colOff>716280</xdr:colOff>
      <xdr:row>31</xdr:row>
      <xdr:rowOff>27543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9E7E16-C0D4-478E-A615-C8C5C507D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5281" y="345097"/>
          <a:ext cx="7604759" cy="53517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2</xdr:row>
      <xdr:rowOff>60960</xdr:rowOff>
    </xdr:from>
    <xdr:to>
      <xdr:col>9</xdr:col>
      <xdr:colOff>751928</xdr:colOff>
      <xdr:row>32</xdr:row>
      <xdr:rowOff>84690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8DC9E3-89C1-4B40-A877-65D4C070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9560" y="426720"/>
          <a:ext cx="7792808" cy="55101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30480</xdr:rowOff>
    </xdr:from>
    <xdr:to>
      <xdr:col>10</xdr:col>
      <xdr:colOff>139686</xdr:colOff>
      <xdr:row>31</xdr:row>
      <xdr:rowOff>101834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F051E2-FF41-4202-8EA5-26FB400A5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3360" y="213360"/>
          <a:ext cx="7851126" cy="555775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79272</xdr:rowOff>
    </xdr:from>
    <xdr:to>
      <xdr:col>10</xdr:col>
      <xdr:colOff>266700</xdr:colOff>
      <xdr:row>31</xdr:row>
      <xdr:rowOff>170414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A50EA3-022C-4B20-81D9-DEF714DAE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262152"/>
          <a:ext cx="7879080" cy="557754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1</xdr:row>
      <xdr:rowOff>114300</xdr:rowOff>
    </xdr:from>
    <xdr:to>
      <xdr:col>9</xdr:col>
      <xdr:colOff>556567</xdr:colOff>
      <xdr:row>30</xdr:row>
      <xdr:rowOff>167640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54D659-8AFD-49AC-B4A6-B367AC539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" y="297180"/>
          <a:ext cx="7582207" cy="5356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1</xdr:row>
      <xdr:rowOff>129540</xdr:rowOff>
    </xdr:from>
    <xdr:to>
      <xdr:col>9</xdr:col>
      <xdr:colOff>716729</xdr:colOff>
      <xdr:row>31</xdr:row>
      <xdr:rowOff>21827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C7DD99-DB36-49DD-8E44-0DDDEB1B2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1" y="312420"/>
          <a:ext cx="7628068" cy="537868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1</xdr:row>
      <xdr:rowOff>121920</xdr:rowOff>
    </xdr:from>
    <xdr:to>
      <xdr:col>10</xdr:col>
      <xdr:colOff>15220</xdr:colOff>
      <xdr:row>31</xdr:row>
      <xdr:rowOff>69450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9798B4-8774-48B6-9141-551CCEDAE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6221" y="304800"/>
          <a:ext cx="7703799" cy="543393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312420</xdr:colOff>
      <xdr:row>1</xdr:row>
      <xdr:rowOff>129540</xdr:rowOff>
    </xdr:from>
    <xdr:to>
      <xdr:col>9</xdr:col>
      <xdr:colOff>661599</xdr:colOff>
      <xdr:row>30</xdr:row>
      <xdr:rowOff>105647</xdr:rowOff>
    </xdr:to>
    <xdr:pic>
      <xdr:nvPicPr>
        <xdr:cNvPr id="3" name="Imag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F91B09-9F57-42A5-96F5-05E74249E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" y="312420"/>
          <a:ext cx="7481499" cy="52796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82"/>
  <sheetViews>
    <sheetView workbookViewId="0">
      <selection activeCell="H69" sqref="H69"/>
    </sheetView>
  </sheetViews>
  <sheetFormatPr baseColWidth="10" defaultRowHeight="14.4" x14ac:dyDescent="0.3"/>
  <sheetData>
    <row r="1" spans="1:2" x14ac:dyDescent="0.3">
      <c r="A1" s="85" t="s">
        <v>135</v>
      </c>
    </row>
    <row r="3" spans="1:2" x14ac:dyDescent="0.3">
      <c r="A3" s="84" t="s">
        <v>67</v>
      </c>
      <c r="B3" s="81" t="s">
        <v>68</v>
      </c>
    </row>
    <row r="5" spans="1:2" x14ac:dyDescent="0.3">
      <c r="A5" t="s">
        <v>103</v>
      </c>
    </row>
    <row r="6" spans="1:2" x14ac:dyDescent="0.3">
      <c r="A6" t="s">
        <v>104</v>
      </c>
    </row>
    <row r="7" spans="1:2" x14ac:dyDescent="0.3">
      <c r="A7" t="s">
        <v>111</v>
      </c>
    </row>
    <row r="8" spans="1:2" x14ac:dyDescent="0.3">
      <c r="A8" t="s">
        <v>108</v>
      </c>
    </row>
    <row r="9" spans="1:2" x14ac:dyDescent="0.3">
      <c r="A9" t="s">
        <v>69</v>
      </c>
    </row>
    <row r="10" spans="1:2" x14ac:dyDescent="0.3">
      <c r="A10" s="81" t="s">
        <v>99</v>
      </c>
    </row>
    <row r="11" spans="1:2" x14ac:dyDescent="0.3">
      <c r="A11" t="s">
        <v>70</v>
      </c>
    </row>
    <row r="12" spans="1:2" x14ac:dyDescent="0.3">
      <c r="A12" t="s">
        <v>71</v>
      </c>
    </row>
    <row r="14" spans="1:2" x14ac:dyDescent="0.3">
      <c r="A14" t="s">
        <v>102</v>
      </c>
    </row>
    <row r="15" spans="1:2" x14ac:dyDescent="0.3">
      <c r="A15" t="s">
        <v>116</v>
      </c>
    </row>
    <row r="16" spans="1:2" x14ac:dyDescent="0.3">
      <c r="A16" t="s">
        <v>120</v>
      </c>
    </row>
    <row r="18" spans="1:3" x14ac:dyDescent="0.3">
      <c r="A18" s="84" t="s">
        <v>72</v>
      </c>
      <c r="B18" s="81" t="s">
        <v>106</v>
      </c>
      <c r="C18" s="81"/>
    </row>
    <row r="20" spans="1:3" x14ac:dyDescent="0.3">
      <c r="A20" t="s">
        <v>117</v>
      </c>
    </row>
    <row r="21" spans="1:3" x14ac:dyDescent="0.3">
      <c r="A21" t="s">
        <v>136</v>
      </c>
    </row>
    <row r="23" spans="1:3" x14ac:dyDescent="0.3">
      <c r="A23" s="84" t="s">
        <v>74</v>
      </c>
      <c r="B23" s="81" t="s">
        <v>75</v>
      </c>
    </row>
    <row r="25" spans="1:3" x14ac:dyDescent="0.3">
      <c r="A25" t="s">
        <v>128</v>
      </c>
    </row>
    <row r="26" spans="1:3" x14ac:dyDescent="0.3">
      <c r="A26" t="s">
        <v>81</v>
      </c>
    </row>
    <row r="27" spans="1:3" x14ac:dyDescent="0.3">
      <c r="A27" t="s">
        <v>76</v>
      </c>
    </row>
    <row r="28" spans="1:3" x14ac:dyDescent="0.3">
      <c r="A28" t="s">
        <v>112</v>
      </c>
    </row>
    <row r="29" spans="1:3" x14ac:dyDescent="0.3">
      <c r="A29" t="s">
        <v>109</v>
      </c>
    </row>
    <row r="30" spans="1:3" x14ac:dyDescent="0.3">
      <c r="A30" t="s">
        <v>77</v>
      </c>
    </row>
    <row r="31" spans="1:3" x14ac:dyDescent="0.3">
      <c r="A31" s="81" t="s">
        <v>99</v>
      </c>
    </row>
    <row r="32" spans="1:3" x14ac:dyDescent="0.3">
      <c r="A32" t="s">
        <v>110</v>
      </c>
    </row>
    <row r="33" spans="1:2" x14ac:dyDescent="0.3">
      <c r="A33" t="s">
        <v>113</v>
      </c>
    </row>
    <row r="35" spans="1:2" x14ac:dyDescent="0.3">
      <c r="A35" t="s">
        <v>114</v>
      </c>
    </row>
    <row r="36" spans="1:2" x14ac:dyDescent="0.3">
      <c r="A36" t="s">
        <v>115</v>
      </c>
    </row>
    <row r="37" spans="1:2" x14ac:dyDescent="0.3">
      <c r="A37" t="s">
        <v>121</v>
      </c>
    </row>
    <row r="39" spans="1:2" x14ac:dyDescent="0.3">
      <c r="A39" s="84" t="s">
        <v>78</v>
      </c>
      <c r="B39" s="81" t="s">
        <v>73</v>
      </c>
    </row>
    <row r="41" spans="1:2" x14ac:dyDescent="0.3">
      <c r="A41" t="s">
        <v>126</v>
      </c>
    </row>
    <row r="42" spans="1:2" x14ac:dyDescent="0.3">
      <c r="A42" t="s">
        <v>127</v>
      </c>
    </row>
    <row r="43" spans="1:2" x14ac:dyDescent="0.3">
      <c r="A43" t="s">
        <v>105</v>
      </c>
    </row>
    <row r="45" spans="1:2" x14ac:dyDescent="0.3">
      <c r="A45" s="84" t="s">
        <v>79</v>
      </c>
      <c r="B45" s="81" t="s">
        <v>96</v>
      </c>
    </row>
    <row r="47" spans="1:2" x14ac:dyDescent="0.3">
      <c r="A47" t="s">
        <v>129</v>
      </c>
    </row>
    <row r="48" spans="1:2" x14ac:dyDescent="0.3">
      <c r="A48" t="s">
        <v>97</v>
      </c>
    </row>
    <row r="49" spans="1:2" x14ac:dyDescent="0.3">
      <c r="A49" t="s">
        <v>98</v>
      </c>
    </row>
    <row r="50" spans="1:2" x14ac:dyDescent="0.3">
      <c r="A50" t="s">
        <v>118</v>
      </c>
    </row>
    <row r="51" spans="1:2" x14ac:dyDescent="0.3">
      <c r="A51" t="s">
        <v>130</v>
      </c>
    </row>
    <row r="52" spans="1:2" x14ac:dyDescent="0.3">
      <c r="A52" t="s">
        <v>131</v>
      </c>
    </row>
    <row r="53" spans="1:2" x14ac:dyDescent="0.3">
      <c r="A53" t="s">
        <v>100</v>
      </c>
    </row>
    <row r="55" spans="1:2" x14ac:dyDescent="0.3">
      <c r="A55" t="s">
        <v>122</v>
      </c>
    </row>
    <row r="57" spans="1:2" x14ac:dyDescent="0.3">
      <c r="A57" s="84" t="s">
        <v>83</v>
      </c>
      <c r="B57" s="81" t="s">
        <v>80</v>
      </c>
    </row>
    <row r="59" spans="1:2" x14ac:dyDescent="0.3">
      <c r="A59" t="s">
        <v>82</v>
      </c>
    </row>
    <row r="60" spans="1:2" x14ac:dyDescent="0.3">
      <c r="A60" t="s">
        <v>123</v>
      </c>
    </row>
    <row r="61" spans="1:2" x14ac:dyDescent="0.3">
      <c r="A61" t="s">
        <v>119</v>
      </c>
    </row>
    <row r="63" spans="1:2" x14ac:dyDescent="0.3">
      <c r="A63" s="84" t="s">
        <v>95</v>
      </c>
      <c r="B63" s="81" t="s">
        <v>84</v>
      </c>
    </row>
    <row r="65" spans="1:1" x14ac:dyDescent="0.3">
      <c r="A65" t="s">
        <v>85</v>
      </c>
    </row>
    <row r="66" spans="1:1" x14ac:dyDescent="0.3">
      <c r="A66" t="s">
        <v>87</v>
      </c>
    </row>
    <row r="67" spans="1:1" x14ac:dyDescent="0.3">
      <c r="A67" t="s">
        <v>86</v>
      </c>
    </row>
    <row r="68" spans="1:1" x14ac:dyDescent="0.3">
      <c r="A68" t="s">
        <v>88</v>
      </c>
    </row>
    <row r="69" spans="1:1" x14ac:dyDescent="0.3">
      <c r="A69" t="s">
        <v>89</v>
      </c>
    </row>
    <row r="70" spans="1:1" x14ac:dyDescent="0.3">
      <c r="A70" t="s">
        <v>90</v>
      </c>
    </row>
    <row r="71" spans="1:1" x14ac:dyDescent="0.3">
      <c r="A71" t="s">
        <v>124</v>
      </c>
    </row>
    <row r="72" spans="1:1" x14ac:dyDescent="0.3">
      <c r="A72" t="s">
        <v>125</v>
      </c>
    </row>
    <row r="74" spans="1:1" x14ac:dyDescent="0.3">
      <c r="A74" t="s">
        <v>132</v>
      </c>
    </row>
    <row r="75" spans="1:1" x14ac:dyDescent="0.3">
      <c r="A75" t="s">
        <v>91</v>
      </c>
    </row>
    <row r="76" spans="1:1" x14ac:dyDescent="0.3">
      <c r="A76" t="s">
        <v>92</v>
      </c>
    </row>
    <row r="77" spans="1:1" x14ac:dyDescent="0.3">
      <c r="A77" t="s">
        <v>124</v>
      </c>
    </row>
    <row r="78" spans="1:1" x14ac:dyDescent="0.3">
      <c r="A78" t="s">
        <v>125</v>
      </c>
    </row>
    <row r="80" spans="1:1" x14ac:dyDescent="0.3">
      <c r="A80" s="81" t="s">
        <v>101</v>
      </c>
    </row>
    <row r="82" spans="1:1" x14ac:dyDescent="0.3">
      <c r="A82" s="85" t="s">
        <v>107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5.777343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FR_0700_003_m+FR_0700_003_p</f>
        <v>2.1023579199999998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199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4.2047158399999995</v>
      </c>
      <c r="O5" s="60"/>
    </row>
    <row r="6" spans="1:15" x14ac:dyDescent="0.3">
      <c r="A6" s="118" t="s">
        <v>7</v>
      </c>
      <c r="B6" s="25" t="s">
        <v>161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198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148</v>
      </c>
      <c r="C11" s="16"/>
      <c r="D11" s="29">
        <v>4.2</v>
      </c>
      <c r="E11" s="16"/>
      <c r="F11" s="16"/>
      <c r="G11" s="16"/>
      <c r="H11" s="15"/>
      <c r="I11" s="17" t="s">
        <v>166</v>
      </c>
      <c r="J11" s="154">
        <v>1.0919999999999999E-2</v>
      </c>
      <c r="K11" s="158">
        <v>2.5000000000000001E-3</v>
      </c>
      <c r="L11" s="28">
        <v>2712</v>
      </c>
      <c r="M11" s="20">
        <v>1</v>
      </c>
      <c r="N11" s="29">
        <f>IF(J11="",D11*M11,D11*J11*K11*L11*M11)</f>
        <v>0.31095792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0.31095792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 t="s">
        <v>174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162</v>
      </c>
      <c r="C16" s="14"/>
      <c r="D16" s="29">
        <v>0.01</v>
      </c>
      <c r="E16" s="14" t="s">
        <v>47</v>
      </c>
      <c r="F16" s="150">
        <v>35.9</v>
      </c>
      <c r="G16" s="24" t="s">
        <v>178</v>
      </c>
      <c r="H16" s="23">
        <v>1</v>
      </c>
      <c r="I16" s="29">
        <f t="shared" si="0"/>
        <v>0.35899999999999999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70">
        <v>30</v>
      </c>
      <c r="B17" s="171" t="s">
        <v>163</v>
      </c>
      <c r="C17" s="172"/>
      <c r="D17" s="161">
        <v>0.25</v>
      </c>
      <c r="E17" s="173" t="s">
        <v>164</v>
      </c>
      <c r="F17" s="172">
        <v>3</v>
      </c>
      <c r="G17" s="172"/>
      <c r="H17" s="172"/>
      <c r="I17" s="161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75">
        <v>40</v>
      </c>
      <c r="B18" s="176" t="s">
        <v>175</v>
      </c>
      <c r="C18" s="175" t="s">
        <v>176</v>
      </c>
      <c r="D18" s="177">
        <v>0.2</v>
      </c>
      <c r="E18" s="178" t="s">
        <v>151</v>
      </c>
      <c r="F18" s="175">
        <v>0.16200000000000001</v>
      </c>
      <c r="G18" s="24" t="s">
        <v>178</v>
      </c>
      <c r="H18" s="23">
        <v>1</v>
      </c>
      <c r="I18" s="161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1.7913999999999999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3!A1" display="Drawing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24" sqref="L24"/>
    </sheetView>
  </sheetViews>
  <sheetFormatPr baseColWidth="10" defaultRowHeight="14.4" x14ac:dyDescent="0.3"/>
  <sheetData>
    <row r="1" spans="1:2" x14ac:dyDescent="0.3">
      <c r="A1" t="s">
        <v>171</v>
      </c>
      <c r="B1" s="83" t="s">
        <v>191</v>
      </c>
    </row>
  </sheetData>
  <hyperlinks>
    <hyperlink ref="B1" location="FR_0700_003!A1" display="FR_0700_003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36.21875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FR_0700_004_m+FR_0700_004_p</f>
        <v>2.0173139839999998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201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4.0346279679999997</v>
      </c>
      <c r="O5" s="60"/>
    </row>
    <row r="6" spans="1:15" x14ac:dyDescent="0.3">
      <c r="A6" s="118" t="s">
        <v>7</v>
      </c>
      <c r="B6" s="25" t="s">
        <v>165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201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148</v>
      </c>
      <c r="C11" s="16"/>
      <c r="D11" s="29">
        <v>4.2</v>
      </c>
      <c r="E11" s="16"/>
      <c r="F11" s="16"/>
      <c r="G11" s="16"/>
      <c r="H11" s="15"/>
      <c r="I11" s="17" t="s">
        <v>166</v>
      </c>
      <c r="J11" s="155">
        <v>9.5840000000000005E-3</v>
      </c>
      <c r="K11" s="158">
        <v>2.5000000000000001E-3</v>
      </c>
      <c r="L11" s="28">
        <v>2712</v>
      </c>
      <c r="M11" s="20">
        <v>1</v>
      </c>
      <c r="N11" s="29">
        <f>IF(J11="",D11*M11,D11*J11*K11*L11*M11)</f>
        <v>0.27291398400000005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0.27291398400000005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 t="s">
        <v>174</v>
      </c>
      <c r="H15" s="30">
        <v>0.5</v>
      </c>
      <c r="I15" s="31">
        <f t="shared" ref="I15:I18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162</v>
      </c>
      <c r="C16" s="14"/>
      <c r="D16" s="29">
        <v>0.01</v>
      </c>
      <c r="E16" s="14" t="s">
        <v>47</v>
      </c>
      <c r="F16" s="150">
        <v>31.2</v>
      </c>
      <c r="G16" s="24" t="s">
        <v>178</v>
      </c>
      <c r="H16" s="23">
        <v>1</v>
      </c>
      <c r="I16" s="29">
        <f t="shared" si="0"/>
        <v>0.312</v>
      </c>
      <c r="J16" s="54"/>
      <c r="K16" s="54"/>
      <c r="L16" s="54"/>
      <c r="M16" s="54"/>
      <c r="N16" s="54"/>
      <c r="O16" s="60"/>
    </row>
    <row r="17" spans="1:15" s="12" customFormat="1" x14ac:dyDescent="0.3">
      <c r="A17" s="170">
        <v>30</v>
      </c>
      <c r="B17" s="171" t="s">
        <v>163</v>
      </c>
      <c r="C17" s="172"/>
      <c r="D17" s="161">
        <v>0.25</v>
      </c>
      <c r="E17" s="173" t="s">
        <v>164</v>
      </c>
      <c r="F17" s="172">
        <v>3</v>
      </c>
      <c r="G17" s="172"/>
      <c r="H17" s="172"/>
      <c r="I17" s="161">
        <f t="shared" si="0"/>
        <v>0.75</v>
      </c>
      <c r="J17" s="55"/>
      <c r="K17" s="55"/>
      <c r="L17" s="55"/>
      <c r="M17" s="55"/>
      <c r="N17" s="55"/>
      <c r="O17" s="64"/>
    </row>
    <row r="18" spans="1:15" s="12" customFormat="1" x14ac:dyDescent="0.3">
      <c r="A18" s="174">
        <v>40</v>
      </c>
      <c r="B18" s="176" t="s">
        <v>175</v>
      </c>
      <c r="C18" s="175" t="s">
        <v>176</v>
      </c>
      <c r="D18" s="177">
        <v>0.2</v>
      </c>
      <c r="E18" s="178" t="s">
        <v>151</v>
      </c>
      <c r="F18" s="174">
        <v>0.16200000000000001</v>
      </c>
      <c r="G18" s="24" t="s">
        <v>178</v>
      </c>
      <c r="H18" s="23">
        <v>1</v>
      </c>
      <c r="I18" s="161">
        <f t="shared" si="0"/>
        <v>3.2400000000000005E-2</v>
      </c>
      <c r="J18" s="55"/>
      <c r="K18" s="55"/>
      <c r="L18" s="55"/>
      <c r="M18" s="55"/>
      <c r="N18" s="55"/>
      <c r="O18" s="64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1.7444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4!A1" display="Drawing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/>
  </sheetViews>
  <sheetFormatPr baseColWidth="10" defaultRowHeight="14.4" x14ac:dyDescent="0.3"/>
  <sheetData>
    <row r="1" spans="1:2" x14ac:dyDescent="0.3">
      <c r="A1" t="s">
        <v>171</v>
      </c>
      <c r="B1" s="83" t="s">
        <v>190</v>
      </c>
    </row>
  </sheetData>
  <hyperlinks>
    <hyperlink ref="B1" location="FR_0700_004!A1" display="FR_0700_004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9" max="9" width="10.6640625" bestFit="1" customWidth="1"/>
    <col min="10" max="10" width="9.441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FR_0700_005_m+FR_0700_005_p</f>
        <v>1.0759419618832944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183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2.1518839237665888</v>
      </c>
      <c r="O5" s="60"/>
    </row>
    <row r="6" spans="1:15" x14ac:dyDescent="0.3">
      <c r="A6" s="118" t="s">
        <v>7</v>
      </c>
      <c r="B6" s="25" t="s">
        <v>167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213</v>
      </c>
      <c r="C11" s="16"/>
      <c r="D11" s="29">
        <v>2.25</v>
      </c>
      <c r="E11" s="16"/>
      <c r="F11" s="16"/>
      <c r="G11" s="16"/>
      <c r="H11" s="15"/>
      <c r="I11" s="17" t="s">
        <v>166</v>
      </c>
      <c r="J11" s="156">
        <f>0.000581+PI()*0.003*0.003</f>
        <v>6.0927433388230812E-4</v>
      </c>
      <c r="K11" s="158">
        <v>1.5E-3</v>
      </c>
      <c r="L11" s="28">
        <v>7850</v>
      </c>
      <c r="M11" s="20">
        <v>1</v>
      </c>
      <c r="N11" s="29">
        <f>IF(J11="",D11*M11,D11*J11*K11*L11*M11)</f>
        <v>1.6141961883294399E-2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1.6141961883294399E-2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 t="s">
        <v>174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50">
        <v>13.66</v>
      </c>
      <c r="G16" s="24" t="s">
        <v>173</v>
      </c>
      <c r="H16" s="23">
        <v>3</v>
      </c>
      <c r="I16" s="29">
        <f t="shared" si="0"/>
        <v>0.4098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1.0598000000000001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5!A1" display="Drawing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L21" sqref="L21"/>
    </sheetView>
  </sheetViews>
  <sheetFormatPr baseColWidth="10" defaultRowHeight="14.4" x14ac:dyDescent="0.3"/>
  <sheetData>
    <row r="1" spans="1:2" x14ac:dyDescent="0.3">
      <c r="A1" t="s">
        <v>171</v>
      </c>
      <c r="B1" s="83" t="s">
        <v>189</v>
      </c>
    </row>
  </sheetData>
  <hyperlinks>
    <hyperlink ref="B1" location="FR_0700_005!A1" display="FR_0700_005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4.6640625" bestFit="1" customWidth="1"/>
    <col min="7" max="7" width="29.21875" customWidth="1"/>
    <col min="9" max="9" width="10.7773437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FR_0700_006_m+FR_0700_006_p</f>
        <v>1.0788162660645444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2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186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2.1576325321290888</v>
      </c>
      <c r="O5" s="60"/>
    </row>
    <row r="6" spans="1:15" x14ac:dyDescent="0.3">
      <c r="A6" s="118" t="s">
        <v>7</v>
      </c>
      <c r="B6" s="25" t="s">
        <v>168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213</v>
      </c>
      <c r="C11" s="16"/>
      <c r="D11" s="29">
        <v>2.25</v>
      </c>
      <c r="E11" s="16"/>
      <c r="F11" s="16"/>
      <c r="G11" s="16"/>
      <c r="H11" s="15"/>
      <c r="I11" s="17" t="s">
        <v>169</v>
      </c>
      <c r="J11" s="156">
        <f>0.000825371+PI()*0.003*0.003</f>
        <v>8.5364533388230808E-4</v>
      </c>
      <c r="K11" s="158">
        <v>1.5E-3</v>
      </c>
      <c r="L11" s="28">
        <v>7850</v>
      </c>
      <c r="M11" s="20">
        <v>1</v>
      </c>
      <c r="N11" s="29">
        <f>IF(J11="",D11*M11,D11*J11*K11*L11*M11)</f>
        <v>2.2616266064544401E-2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2.2616266064544401E-2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 t="s">
        <v>204</v>
      </c>
      <c r="H15" s="30">
        <v>0.5</v>
      </c>
      <c r="I15" s="31">
        <f t="shared" ref="I15:I16" si="0">IF(H15="",D15*F15,D15*F15*H15)</f>
        <v>0.65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44">
        <v>13.54</v>
      </c>
      <c r="G16" s="24" t="s">
        <v>173</v>
      </c>
      <c r="H16" s="23">
        <v>3</v>
      </c>
      <c r="I16" s="29">
        <f t="shared" si="0"/>
        <v>0.40620000000000001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1.0562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6!A1" display="Drawing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22" sqref="K22"/>
    </sheetView>
  </sheetViews>
  <sheetFormatPr baseColWidth="10" defaultRowHeight="14.4" x14ac:dyDescent="0.3"/>
  <sheetData>
    <row r="1" spans="1:2" x14ac:dyDescent="0.3">
      <c r="A1" t="s">
        <v>171</v>
      </c>
      <c r="B1" s="83" t="s">
        <v>188</v>
      </c>
    </row>
  </sheetData>
  <hyperlinks>
    <hyperlink ref="B1" location="FR_0700_006!A1" display="FR_0700_006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18"/>
  <sheetViews>
    <sheetView workbookViewId="0"/>
  </sheetViews>
  <sheetFormatPr baseColWidth="10" defaultColWidth="9.109375" defaultRowHeight="14.4" x14ac:dyDescent="0.3"/>
  <cols>
    <col min="2" max="2" width="33.44140625" bestFit="1" customWidth="1"/>
    <col min="7" max="7" width="33.109375" bestFit="1" customWidth="1"/>
    <col min="8" max="8" width="9.21875" bestFit="1" customWidth="1"/>
    <col min="9" max="9" width="10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FR_0700_007_m+FR_0700_007_p</f>
        <v>0.73773216315204448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4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203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2.9509286526081779</v>
      </c>
      <c r="O5" s="60"/>
    </row>
    <row r="6" spans="1:15" x14ac:dyDescent="0.3">
      <c r="A6" s="118" t="s">
        <v>7</v>
      </c>
      <c r="B6" s="25" t="s">
        <v>170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213</v>
      </c>
      <c r="C11" s="16"/>
      <c r="D11" s="29">
        <v>2.25</v>
      </c>
      <c r="E11" s="16"/>
      <c r="F11" s="16"/>
      <c r="G11" s="16"/>
      <c r="H11" s="15"/>
      <c r="I11" s="17" t="s">
        <v>166</v>
      </c>
      <c r="J11" s="156">
        <f>0.000603277+PI()*0.003*0.003</f>
        <v>6.3155133388230814E-4</v>
      </c>
      <c r="K11" s="158">
        <v>1.5E-3</v>
      </c>
      <c r="L11" s="28">
        <v>7850</v>
      </c>
      <c r="M11" s="20">
        <v>1</v>
      </c>
      <c r="N11" s="29">
        <f>IF(J11="",D11*M11,D11*J11*K11*L11*M11)</f>
        <v>1.6732163152044403E-2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1.6732163152044403E-2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 t="s">
        <v>172</v>
      </c>
      <c r="H15" s="30">
        <v>0.25</v>
      </c>
      <c r="I15" s="31">
        <f t="shared" ref="I15:I16" si="0">IF(H15="",D15*F15,D15*F15*H15)</f>
        <v>0.32500000000000001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24" t="s">
        <v>46</v>
      </c>
      <c r="C16" s="14"/>
      <c r="D16" s="29">
        <v>0.01</v>
      </c>
      <c r="E16" s="14" t="s">
        <v>47</v>
      </c>
      <c r="F16" s="144">
        <v>13.2</v>
      </c>
      <c r="G16" s="24" t="s">
        <v>173</v>
      </c>
      <c r="H16" s="23">
        <v>3</v>
      </c>
      <c r="I16" s="29">
        <f t="shared" si="0"/>
        <v>0.39600000000000002</v>
      </c>
      <c r="J16" s="54"/>
      <c r="K16" s="54"/>
      <c r="L16" s="54"/>
      <c r="M16" s="54"/>
      <c r="N16" s="54"/>
      <c r="O16" s="60"/>
    </row>
    <row r="17" spans="1:15" x14ac:dyDescent="0.3">
      <c r="A17" s="66"/>
      <c r="B17" s="21"/>
      <c r="C17" s="21"/>
      <c r="D17" s="21"/>
      <c r="E17" s="21"/>
      <c r="F17" s="21"/>
      <c r="G17" s="21"/>
      <c r="H17" s="127" t="s">
        <v>18</v>
      </c>
      <c r="I17" s="125">
        <f>SUM(I15:I16)</f>
        <v>0.72100000000000009</v>
      </c>
      <c r="J17" s="21"/>
      <c r="K17" s="21"/>
      <c r="L17" s="21"/>
      <c r="M17" s="21"/>
      <c r="N17" s="21"/>
      <c r="O17" s="60"/>
    </row>
    <row r="18" spans="1:15" ht="15" thickBot="1" x14ac:dyDescent="0.3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70"/>
    </row>
  </sheetData>
  <hyperlinks>
    <hyperlink ref="B4" location="'FR A0700'!A1" display="'FR A0700'!A1"/>
    <hyperlink ref="E3" location="dFR_0700_007!A1" display="Drawing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9" sqref="K19"/>
    </sheetView>
  </sheetViews>
  <sheetFormatPr baseColWidth="10" defaultRowHeight="14.4" x14ac:dyDescent="0.3"/>
  <sheetData>
    <row r="1" spans="1:2" x14ac:dyDescent="0.3">
      <c r="A1" t="s">
        <v>171</v>
      </c>
      <c r="B1" s="83" t="s">
        <v>187</v>
      </c>
    </row>
  </sheetData>
  <hyperlinks>
    <hyperlink ref="B1" location="FR_0700_007!A1" display="FR_0700_007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62"/>
  <sheetViews>
    <sheetView zoomScale="85" zoomScaleNormal="85" workbookViewId="0">
      <pane xSplit="3" ySplit="6" topLeftCell="D7" activePane="bottomRight" state="frozen"/>
      <selection activeCell="H10" sqref="H10"/>
      <selection pane="topRight" activeCell="H10" sqref="H10"/>
      <selection pane="bottomLeft" activeCell="H10" sqref="H10"/>
      <selection pane="bottomRight" activeCell="F15" sqref="F15"/>
    </sheetView>
  </sheetViews>
  <sheetFormatPr baseColWidth="10" defaultColWidth="9.109375" defaultRowHeight="13.2" x14ac:dyDescent="0.25"/>
  <cols>
    <col min="1" max="1" width="17.44140625" style="4" bestFit="1" customWidth="1"/>
    <col min="2" max="2" width="28.6640625" style="8" bestFit="1" customWidth="1"/>
    <col min="3" max="3" width="14.44140625" style="4" bestFit="1" customWidth="1"/>
    <col min="4" max="4" width="10" style="4" bestFit="1" customWidth="1"/>
    <col min="5" max="5" width="23" style="4" customWidth="1"/>
    <col min="6" max="6" width="39.109375" style="40" customWidth="1"/>
    <col min="7" max="7" width="14" style="4" customWidth="1"/>
    <col min="8" max="8" width="11" style="4" bestFit="1" customWidth="1"/>
    <col min="9" max="13" width="10.44140625" style="1" customWidth="1"/>
    <col min="14" max="14" width="9.6640625" style="4" bestFit="1" customWidth="1"/>
    <col min="15" max="15" width="11.109375" style="8" customWidth="1"/>
    <col min="16" max="16384" width="9.109375" style="8"/>
  </cols>
  <sheetData>
    <row r="1" spans="1:15" ht="15" thickBot="1" x14ac:dyDescent="0.35">
      <c r="A1" s="50" t="s">
        <v>0</v>
      </c>
      <c r="B1" s="88" t="s">
        <v>44</v>
      </c>
      <c r="D1" s="41"/>
      <c r="M1" s="53" t="s">
        <v>48</v>
      </c>
      <c r="N1" s="42"/>
      <c r="O1" s="52" t="e">
        <f>#REF!</f>
        <v>#REF!</v>
      </c>
    </row>
    <row r="2" spans="1:15" s="10" customFormat="1" ht="15" thickBot="1" x14ac:dyDescent="0.35">
      <c r="A2" s="48" t="s">
        <v>49</v>
      </c>
      <c r="B2" s="87" t="s">
        <v>133</v>
      </c>
      <c r="C2" s="9"/>
      <c r="F2" s="37"/>
    </row>
    <row r="3" spans="1:15" s="10" customFormat="1" ht="15.6" thickTop="1" thickBot="1" x14ac:dyDescent="0.35">
      <c r="A3" s="49" t="s">
        <v>50</v>
      </c>
      <c r="B3" s="51">
        <v>2018</v>
      </c>
      <c r="C3" s="9"/>
      <c r="F3" s="37"/>
    </row>
    <row r="4" spans="1:15" s="10" customFormat="1" ht="15.6" thickTop="1" thickBot="1" x14ac:dyDescent="0.35">
      <c r="A4" s="47" t="s">
        <v>1</v>
      </c>
      <c r="B4" s="86">
        <v>81</v>
      </c>
      <c r="C4" s="9"/>
      <c r="D4" s="41" t="s">
        <v>51</v>
      </c>
      <c r="F4" s="37"/>
    </row>
    <row r="5" spans="1:15" s="35" customFormat="1" ht="15" thickTop="1" x14ac:dyDescent="0.3">
      <c r="A5" s="34"/>
      <c r="B5" s="38"/>
      <c r="C5" s="36"/>
      <c r="F5" s="39"/>
    </row>
    <row r="6" spans="1:15" s="33" customFormat="1" ht="49.5" customHeight="1" x14ac:dyDescent="0.25">
      <c r="A6" s="32" t="s">
        <v>52</v>
      </c>
      <c r="B6" s="44" t="s">
        <v>53</v>
      </c>
      <c r="C6" s="44" t="s">
        <v>54</v>
      </c>
      <c r="D6" s="44" t="s">
        <v>55</v>
      </c>
      <c r="E6" s="44" t="s">
        <v>56</v>
      </c>
      <c r="F6" s="44" t="s">
        <v>57</v>
      </c>
      <c r="G6" s="44" t="s">
        <v>58</v>
      </c>
      <c r="H6" s="46" t="s">
        <v>59</v>
      </c>
      <c r="I6" s="44" t="s">
        <v>17</v>
      </c>
      <c r="J6" s="44" t="s">
        <v>60</v>
      </c>
      <c r="K6" s="44" t="s">
        <v>61</v>
      </c>
      <c r="L6" s="44" t="s">
        <v>62</v>
      </c>
      <c r="M6" s="44" t="s">
        <v>63</v>
      </c>
      <c r="N6" s="45" t="s">
        <v>64</v>
      </c>
      <c r="O6" s="44" t="s">
        <v>65</v>
      </c>
    </row>
    <row r="7" spans="1:15" ht="14.4" x14ac:dyDescent="0.3">
      <c r="A7" s="97"/>
      <c r="B7" s="98" t="str">
        <f>'FR A0700'!B3</f>
        <v>Frame and Body</v>
      </c>
      <c r="C7" s="99" t="str">
        <f>FR_A0700</f>
        <v>FR A0700</v>
      </c>
      <c r="D7" s="99" t="s">
        <v>11</v>
      </c>
      <c r="E7" s="99"/>
      <c r="F7" s="100" t="str">
        <f>'FR A0700'!B4</f>
        <v>Bodywork</v>
      </c>
      <c r="G7" s="99"/>
      <c r="H7" s="101">
        <f t="shared" ref="H7:H15" si="0">SUM(J7:M7)</f>
        <v>15.939629425916666</v>
      </c>
      <c r="I7" s="102">
        <f>FR_A0700_q</f>
        <v>1</v>
      </c>
      <c r="J7" s="103">
        <f>FR_A0700_m</f>
        <v>11.660500169999999</v>
      </c>
      <c r="K7" s="103">
        <f>FR_A0700_p</f>
        <v>1.61246258925</v>
      </c>
      <c r="L7" s="103">
        <f>FR_A0700_f</f>
        <v>0</v>
      </c>
      <c r="M7" s="103">
        <f>FR_A0700_t</f>
        <v>2.6666666666666665</v>
      </c>
      <c r="N7" s="104">
        <f t="shared" ref="N7:N15" si="1">H7*I7</f>
        <v>15.939629425916666</v>
      </c>
      <c r="O7" s="105"/>
    </row>
    <row r="8" spans="1:15" ht="14.4" x14ac:dyDescent="0.3">
      <c r="A8" s="106"/>
      <c r="B8" s="107" t="str">
        <f>'FR A0700'!B3</f>
        <v>Frame and Body</v>
      </c>
      <c r="C8" s="108" t="str">
        <f>FR_0700_000</f>
        <v>FR_0300_000</v>
      </c>
      <c r="D8" s="109" t="s">
        <v>11</v>
      </c>
      <c r="E8" s="109" t="str">
        <f>$F$7</f>
        <v>Bodywork</v>
      </c>
      <c r="F8" s="110" t="str">
        <f>FR_0700_000!B5</f>
        <v>Nose</v>
      </c>
      <c r="G8" s="109"/>
      <c r="H8" s="111">
        <f t="shared" si="0"/>
        <v>3.10793344</v>
      </c>
      <c r="I8" s="112">
        <f>FR_A0700_q*FR_0700_000_q</f>
        <v>1</v>
      </c>
      <c r="J8" s="113">
        <f>FR_0700_000_m</f>
        <v>0.8383334400000001</v>
      </c>
      <c r="K8" s="113">
        <f>FR_0700_000_p</f>
        <v>2.2696000000000001</v>
      </c>
      <c r="L8" s="113">
        <v>0</v>
      </c>
      <c r="M8" s="113">
        <v>0</v>
      </c>
      <c r="N8" s="114">
        <f t="shared" si="1"/>
        <v>3.10793344</v>
      </c>
      <c r="O8" s="115"/>
    </row>
    <row r="9" spans="1:15" ht="14.4" x14ac:dyDescent="0.3">
      <c r="A9" s="106"/>
      <c r="B9" s="107" t="str">
        <f>'FR A0700'!$B$3</f>
        <v>Frame and Body</v>
      </c>
      <c r="C9" s="109" t="str">
        <f>FR_0700_001</f>
        <v>FR_0300_001</v>
      </c>
      <c r="D9" s="109" t="s">
        <v>11</v>
      </c>
      <c r="E9" s="109" t="str">
        <f t="shared" ref="E9:E15" si="2">$F$7</f>
        <v>Bodywork</v>
      </c>
      <c r="F9" s="110" t="str">
        <f>FR_0700_001!B5</f>
        <v>Left Inlet</v>
      </c>
      <c r="G9" s="109"/>
      <c r="H9" s="111">
        <f t="shared" si="0"/>
        <v>5.6870399999999997</v>
      </c>
      <c r="I9" s="116">
        <f>FR_A0700_q*FR_0700_001_q</f>
        <v>1</v>
      </c>
      <c r="J9" s="113">
        <f>FR_0700_001_m</f>
        <v>1.1390400000000001</v>
      </c>
      <c r="K9" s="113">
        <f>FR_0700_001_p</f>
        <v>4.548</v>
      </c>
      <c r="L9" s="113">
        <v>0</v>
      </c>
      <c r="M9" s="113">
        <v>0</v>
      </c>
      <c r="N9" s="114">
        <f t="shared" si="1"/>
        <v>5.6870399999999997</v>
      </c>
      <c r="O9" s="115"/>
    </row>
    <row r="10" spans="1:15" ht="14.4" x14ac:dyDescent="0.3">
      <c r="A10" s="106"/>
      <c r="B10" s="107" t="str">
        <f>'FR A0700'!$B$3</f>
        <v>Frame and Body</v>
      </c>
      <c r="C10" s="109" t="str">
        <f>FR_0700_002</f>
        <v>FR_0300_002</v>
      </c>
      <c r="D10" s="109" t="s">
        <v>11</v>
      </c>
      <c r="E10" s="109" t="str">
        <f t="shared" si="2"/>
        <v>Bodywork</v>
      </c>
      <c r="F10" s="169" t="str">
        <f>FR_0700_002!B5</f>
        <v>Right Inlet</v>
      </c>
      <c r="G10" s="109"/>
      <c r="H10" s="111">
        <f t="shared" si="0"/>
        <v>4.8410399999999996</v>
      </c>
      <c r="I10" s="112">
        <f>FR_A0700_q*FR_0700_002_q</f>
        <v>1</v>
      </c>
      <c r="J10" s="113">
        <f>FR_0700_002_m</f>
        <v>1.1390400000000001</v>
      </c>
      <c r="K10" s="113">
        <f>FR_0700_002_p</f>
        <v>3.702</v>
      </c>
      <c r="L10" s="113">
        <v>0</v>
      </c>
      <c r="M10" s="113">
        <v>0</v>
      </c>
      <c r="N10" s="114">
        <f t="shared" si="1"/>
        <v>4.8410399999999996</v>
      </c>
      <c r="O10" s="115"/>
    </row>
    <row r="11" spans="1:15" ht="14.4" x14ac:dyDescent="0.3">
      <c r="A11" s="106"/>
      <c r="B11" s="107" t="str">
        <f>'FR A0700'!$B$3</f>
        <v>Frame and Body</v>
      </c>
      <c r="C11" s="109" t="str">
        <f>FR_0700_003</f>
        <v>FR_0300_003</v>
      </c>
      <c r="D11" s="109" t="s">
        <v>11</v>
      </c>
      <c r="E11" s="109" t="str">
        <f t="shared" si="2"/>
        <v>Bodywork</v>
      </c>
      <c r="F11" s="110" t="str">
        <f>FR_0700_003!B5</f>
        <v>Front Side plate</v>
      </c>
      <c r="G11" s="109"/>
      <c r="H11" s="111">
        <f t="shared" si="0"/>
        <v>2.1023579199999998</v>
      </c>
      <c r="I11" s="112">
        <f>FR_A0700_q*FR_0700_003_q</f>
        <v>2</v>
      </c>
      <c r="J11" s="113">
        <f>FR_0700_003_m</f>
        <v>0.31095792</v>
      </c>
      <c r="K11" s="113">
        <f>FR_0700_003_p</f>
        <v>1.7913999999999999</v>
      </c>
      <c r="L11" s="113">
        <v>0</v>
      </c>
      <c r="M11" s="113">
        <v>0</v>
      </c>
      <c r="N11" s="114">
        <f t="shared" si="1"/>
        <v>4.2047158399999995</v>
      </c>
      <c r="O11" s="115"/>
    </row>
    <row r="12" spans="1:15" ht="14.4" x14ac:dyDescent="0.3">
      <c r="A12" s="106"/>
      <c r="B12" s="107" t="str">
        <f>'FR A0700'!$B$3</f>
        <v>Frame and Body</v>
      </c>
      <c r="C12" s="109" t="str">
        <f>FR_0700_004</f>
        <v>FR_0300_004</v>
      </c>
      <c r="D12" s="109" t="s">
        <v>11</v>
      </c>
      <c r="E12" s="109" t="str">
        <f t="shared" si="2"/>
        <v>Bodywork</v>
      </c>
      <c r="F12" s="110" t="str">
        <f>FR_0700_004!B5</f>
        <v>Back Side Plate</v>
      </c>
      <c r="G12" s="109"/>
      <c r="H12" s="111">
        <f t="shared" si="0"/>
        <v>2.0173139839999998</v>
      </c>
      <c r="I12" s="112">
        <f>FR_A0700_q*FR_0700_004_q</f>
        <v>2</v>
      </c>
      <c r="J12" s="113">
        <f>FR_0700_004_m</f>
        <v>0.27291398400000005</v>
      </c>
      <c r="K12" s="113">
        <f>FR_0700_004_p</f>
        <v>1.7444</v>
      </c>
      <c r="L12" s="113">
        <v>0</v>
      </c>
      <c r="M12" s="113">
        <v>0</v>
      </c>
      <c r="N12" s="114">
        <f t="shared" si="1"/>
        <v>4.0346279679999997</v>
      </c>
      <c r="O12" s="115"/>
    </row>
    <row r="13" spans="1:15" ht="14.4" x14ac:dyDescent="0.3">
      <c r="A13" s="106"/>
      <c r="B13" s="107" t="str">
        <f>'FR A0700'!$B$3</f>
        <v>Frame and Body</v>
      </c>
      <c r="C13" s="109" t="str">
        <f>FR_0700_005</f>
        <v>FR_0300_005</v>
      </c>
      <c r="D13" s="109" t="s">
        <v>11</v>
      </c>
      <c r="E13" s="109" t="str">
        <f t="shared" si="2"/>
        <v>Bodywork</v>
      </c>
      <c r="F13" s="110" t="str">
        <f>FR_0700_005!B5</f>
        <v>Back Inlet Bracket</v>
      </c>
      <c r="G13" s="109"/>
      <c r="H13" s="111">
        <f t="shared" si="0"/>
        <v>1.0759419618832944</v>
      </c>
      <c r="I13" s="112">
        <f>FR_A0700_q*FR_0700_005_q</f>
        <v>2</v>
      </c>
      <c r="J13" s="113">
        <f>FR_0700_005_m</f>
        <v>1.6141961883294399E-2</v>
      </c>
      <c r="K13" s="113">
        <f>FR_0700_005_p</f>
        <v>1.0598000000000001</v>
      </c>
      <c r="L13" s="113">
        <v>0</v>
      </c>
      <c r="M13" s="113">
        <v>0</v>
      </c>
      <c r="N13" s="114">
        <f t="shared" si="1"/>
        <v>2.1518839237665888</v>
      </c>
      <c r="O13" s="115"/>
    </row>
    <row r="14" spans="1:15" ht="14.4" x14ac:dyDescent="0.3">
      <c r="A14" s="106"/>
      <c r="B14" s="107" t="str">
        <f>'FR A0700'!$B$3</f>
        <v>Frame and Body</v>
      </c>
      <c r="C14" s="109" t="str">
        <f>FR_0700_006</f>
        <v>FR_0300_006</v>
      </c>
      <c r="D14" s="109" t="s">
        <v>11</v>
      </c>
      <c r="E14" s="109" t="str">
        <f t="shared" si="2"/>
        <v>Bodywork</v>
      </c>
      <c r="F14" s="110" t="str">
        <f>FR_0700_006!B5</f>
        <v>Front Inlet Bracket</v>
      </c>
      <c r="G14" s="109"/>
      <c r="H14" s="111">
        <f t="shared" si="0"/>
        <v>1.0788162660645444</v>
      </c>
      <c r="I14" s="112">
        <f>FR_A0700_q*FR_0700_006_q</f>
        <v>2</v>
      </c>
      <c r="J14" s="113">
        <f>FR_0700_006_m</f>
        <v>2.2616266064544401E-2</v>
      </c>
      <c r="K14" s="113">
        <f>FR_0700_006_p</f>
        <v>1.0562</v>
      </c>
      <c r="L14" s="113">
        <v>0</v>
      </c>
      <c r="M14" s="113">
        <v>0</v>
      </c>
      <c r="N14" s="114">
        <f t="shared" si="1"/>
        <v>2.1576325321290888</v>
      </c>
      <c r="O14" s="115"/>
    </row>
    <row r="15" spans="1:15" ht="14.4" x14ac:dyDescent="0.3">
      <c r="A15" s="106"/>
      <c r="B15" s="107" t="str">
        <f>'FR A0700'!$B$3</f>
        <v>Frame and Body</v>
      </c>
      <c r="C15" s="109" t="str">
        <f>FR_0700_007</f>
        <v>FR_0300_007</v>
      </c>
      <c r="D15" s="109" t="s">
        <v>11</v>
      </c>
      <c r="E15" s="109" t="str">
        <f t="shared" si="2"/>
        <v>Bodywork</v>
      </c>
      <c r="F15" s="110" t="str">
        <f>FR_0700_007!B5</f>
        <v>Nose Bracket</v>
      </c>
      <c r="G15" s="117"/>
      <c r="H15" s="111">
        <f t="shared" si="0"/>
        <v>0.73773216315204448</v>
      </c>
      <c r="I15" s="112">
        <f>FR_A0700_q*FR_0700_007_q</f>
        <v>4</v>
      </c>
      <c r="J15" s="113">
        <f>FR_0700_007_m</f>
        <v>1.6732163152044403E-2</v>
      </c>
      <c r="K15" s="113">
        <f>FR_0700_007_p</f>
        <v>0.72100000000000009</v>
      </c>
      <c r="L15" s="113">
        <v>0</v>
      </c>
      <c r="M15" s="113">
        <v>0</v>
      </c>
      <c r="N15" s="114">
        <f t="shared" si="1"/>
        <v>2.9509286526081779</v>
      </c>
      <c r="O15" s="115"/>
    </row>
    <row r="16" spans="1:15" s="7" customFormat="1" ht="14.4" thickBot="1" x14ac:dyDescent="0.3">
      <c r="A16" s="162"/>
      <c r="B16" s="163" t="str">
        <f>'FR A0700'!B3</f>
        <v>Frame and Body</v>
      </c>
      <c r="C16" s="164"/>
      <c r="D16" s="164"/>
      <c r="E16" s="164"/>
      <c r="F16" s="163" t="s">
        <v>66</v>
      </c>
      <c r="G16" s="164"/>
      <c r="H16" s="165"/>
      <c r="I16" s="166"/>
      <c r="J16" s="167">
        <f>SUMPRODUCT($I7:$I15,J7:J15)</f>
        <v>16.089102526503851</v>
      </c>
      <c r="K16" s="167">
        <f>SUMPRODUCT($I7:$I15,K7:K15)</f>
        <v>26.319662589250001</v>
      </c>
      <c r="L16" s="167">
        <f>SUMPRODUCT($I7:$I15,L7:L15)</f>
        <v>0</v>
      </c>
      <c r="M16" s="167">
        <f>SUMPRODUCT($I7:$I15,M7:M15)</f>
        <v>2.6666666666666665</v>
      </c>
      <c r="N16" s="167">
        <f>SUM(N7:N15)</f>
        <v>45.07543178242053</v>
      </c>
      <c r="O16" s="168"/>
    </row>
    <row r="17" spans="1:14" ht="13.8" thickTop="1" x14ac:dyDescent="0.25">
      <c r="A17" s="6"/>
      <c r="B17" s="40"/>
      <c r="C17" s="8"/>
      <c r="D17" s="8"/>
      <c r="E17" s="8"/>
      <c r="F17" s="8"/>
      <c r="G17" s="8"/>
      <c r="H17" s="3"/>
      <c r="I17" s="8"/>
      <c r="J17" s="8"/>
      <c r="K17" s="8"/>
      <c r="L17" s="8"/>
      <c r="M17" s="8"/>
      <c r="N17" s="8"/>
    </row>
    <row r="18" spans="1:14" x14ac:dyDescent="0.25">
      <c r="A18" s="6"/>
      <c r="B18" s="40"/>
      <c r="C18" s="8"/>
      <c r="D18" s="8"/>
      <c r="E18" s="8"/>
      <c r="F18" s="8"/>
      <c r="G18" s="8"/>
      <c r="H18" s="3"/>
      <c r="I18" s="8"/>
      <c r="J18" s="8"/>
      <c r="K18" s="8"/>
      <c r="L18" s="8"/>
      <c r="M18" s="8"/>
      <c r="N18" s="8"/>
    </row>
    <row r="19" spans="1:14" x14ac:dyDescent="0.25">
      <c r="A19" s="6"/>
      <c r="B19" s="6"/>
      <c r="D19" s="8"/>
      <c r="E19" s="8"/>
      <c r="G19" s="8"/>
      <c r="H19" s="8"/>
      <c r="I19" s="3"/>
      <c r="J19" s="3"/>
      <c r="K19" s="3"/>
      <c r="L19" s="3"/>
      <c r="M19" s="3"/>
      <c r="N19" s="8"/>
    </row>
    <row r="20" spans="1:14" x14ac:dyDescent="0.25">
      <c r="A20" s="6"/>
      <c r="B20" s="6"/>
      <c r="D20" s="8"/>
      <c r="E20" s="8"/>
      <c r="G20" s="8"/>
      <c r="H20" s="8"/>
      <c r="I20" s="3"/>
      <c r="J20" s="3"/>
      <c r="K20" s="3"/>
      <c r="L20" s="3"/>
      <c r="M20" s="3"/>
      <c r="N20" s="43"/>
    </row>
    <row r="21" spans="1:14" x14ac:dyDescent="0.25">
      <c r="A21" s="6"/>
      <c r="B21" s="6"/>
      <c r="D21" s="8"/>
      <c r="E21" s="8"/>
      <c r="G21" s="8"/>
      <c r="H21" s="8"/>
      <c r="I21" s="3"/>
      <c r="J21" s="3"/>
      <c r="K21" s="3"/>
      <c r="L21" s="3"/>
      <c r="M21" s="3"/>
      <c r="N21" s="8"/>
    </row>
    <row r="22" spans="1:14" x14ac:dyDescent="0.25">
      <c r="A22" s="6"/>
      <c r="B22" s="6"/>
      <c r="D22" s="8"/>
      <c r="E22" s="8"/>
      <c r="G22" s="8"/>
      <c r="H22" s="8"/>
      <c r="I22" s="3"/>
      <c r="J22" s="3"/>
      <c r="K22" s="3"/>
      <c r="L22" s="3"/>
      <c r="M22" s="3"/>
      <c r="N22" s="43"/>
    </row>
    <row r="23" spans="1:14" x14ac:dyDescent="0.25">
      <c r="A23" s="6"/>
      <c r="B23" s="6"/>
      <c r="D23" s="8"/>
      <c r="E23" s="8"/>
      <c r="G23" s="8"/>
      <c r="H23" s="8"/>
      <c r="I23" s="3"/>
      <c r="J23" s="3"/>
      <c r="K23" s="3"/>
      <c r="L23" s="3"/>
      <c r="M23" s="3"/>
      <c r="N23" s="8"/>
    </row>
    <row r="24" spans="1:14" x14ac:dyDescent="0.25">
      <c r="A24" s="6"/>
      <c r="B24" s="6"/>
      <c r="D24" s="8"/>
      <c r="E24" s="8"/>
      <c r="G24" s="8"/>
      <c r="H24" s="8"/>
      <c r="I24" s="3"/>
      <c r="J24" s="3"/>
      <c r="K24" s="3"/>
      <c r="L24" s="3"/>
      <c r="M24" s="3"/>
      <c r="N24" s="8"/>
    </row>
    <row r="25" spans="1:14" x14ac:dyDescent="0.25">
      <c r="A25" s="6"/>
      <c r="B25" s="6"/>
      <c r="D25" s="8"/>
      <c r="E25" s="8"/>
      <c r="G25" s="8"/>
      <c r="H25" s="8"/>
      <c r="I25" s="3"/>
      <c r="J25" s="3"/>
      <c r="K25" s="3"/>
      <c r="L25" s="3"/>
      <c r="M25" s="3"/>
      <c r="N25" s="8"/>
    </row>
    <row r="26" spans="1:14" x14ac:dyDescent="0.25">
      <c r="A26" s="6"/>
      <c r="B26" s="6"/>
      <c r="D26" s="8"/>
      <c r="E26" s="8"/>
      <c r="G26" s="8"/>
      <c r="H26" s="8"/>
      <c r="I26" s="3"/>
      <c r="J26" s="3"/>
      <c r="K26" s="3"/>
      <c r="L26" s="3"/>
      <c r="M26" s="3"/>
      <c r="N26" s="8"/>
    </row>
    <row r="27" spans="1:14" x14ac:dyDescent="0.25">
      <c r="A27" s="6"/>
      <c r="B27" s="6"/>
      <c r="D27" s="8"/>
      <c r="E27" s="8"/>
      <c r="G27" s="8"/>
      <c r="H27" s="8"/>
      <c r="I27" s="3"/>
      <c r="J27" s="3"/>
      <c r="K27" s="3"/>
      <c r="L27" s="3"/>
      <c r="M27" s="3"/>
      <c r="N27" s="8"/>
    </row>
    <row r="28" spans="1:14" x14ac:dyDescent="0.25">
      <c r="A28" s="6"/>
      <c r="B28" s="6"/>
      <c r="D28" s="8"/>
      <c r="E28" s="8"/>
      <c r="G28" s="8"/>
      <c r="H28" s="8"/>
      <c r="I28" s="3"/>
      <c r="J28" s="3"/>
      <c r="K28" s="3"/>
      <c r="L28" s="3"/>
      <c r="M28" s="3"/>
      <c r="N28" s="8"/>
    </row>
    <row r="29" spans="1:14" x14ac:dyDescent="0.25">
      <c r="A29" s="6"/>
      <c r="B29" s="6"/>
      <c r="D29" s="8"/>
      <c r="E29" s="8"/>
      <c r="G29" s="8"/>
      <c r="H29" s="8"/>
      <c r="I29" s="3"/>
      <c r="J29" s="3"/>
      <c r="K29" s="3"/>
      <c r="L29" s="3"/>
      <c r="M29" s="3"/>
      <c r="N29" s="8"/>
    </row>
    <row r="30" spans="1:14" x14ac:dyDescent="0.25">
      <c r="A30" s="6"/>
      <c r="B30" s="6"/>
      <c r="D30" s="8"/>
      <c r="E30" s="8"/>
      <c r="G30" s="8"/>
      <c r="H30" s="8"/>
      <c r="I30" s="3"/>
      <c r="J30" s="3"/>
      <c r="K30" s="3"/>
      <c r="L30" s="3"/>
      <c r="M30" s="3"/>
      <c r="N30" s="8"/>
    </row>
    <row r="31" spans="1:14" x14ac:dyDescent="0.25">
      <c r="A31" s="6"/>
      <c r="B31" s="6"/>
      <c r="D31" s="8"/>
      <c r="E31" s="8"/>
      <c r="G31" s="8"/>
      <c r="H31" s="8"/>
      <c r="I31" s="3"/>
      <c r="J31" s="3"/>
      <c r="K31" s="3"/>
      <c r="L31" s="3"/>
      <c r="M31" s="3"/>
      <c r="N31" s="8"/>
    </row>
    <row r="32" spans="1:14" x14ac:dyDescent="0.25">
      <c r="A32" s="6"/>
      <c r="B32" s="6"/>
      <c r="D32" s="8"/>
      <c r="E32" s="8"/>
      <c r="G32" s="8"/>
      <c r="H32" s="8"/>
      <c r="I32" s="3"/>
      <c r="J32" s="3"/>
      <c r="K32" s="3"/>
      <c r="L32" s="3"/>
      <c r="M32" s="3"/>
      <c r="N32" s="8"/>
    </row>
    <row r="33" spans="1:14" x14ac:dyDescent="0.25">
      <c r="A33" s="6"/>
      <c r="B33" s="6"/>
      <c r="D33" s="8"/>
      <c r="E33" s="8"/>
      <c r="G33" s="8"/>
      <c r="H33" s="8"/>
      <c r="I33" s="3"/>
      <c r="J33" s="3"/>
      <c r="K33" s="3"/>
      <c r="L33" s="3"/>
      <c r="M33" s="3"/>
      <c r="N33" s="8"/>
    </row>
    <row r="34" spans="1:14" x14ac:dyDescent="0.25">
      <c r="A34" s="6"/>
      <c r="B34" s="6"/>
      <c r="D34" s="8"/>
      <c r="E34" s="8"/>
      <c r="G34" s="8"/>
      <c r="H34" s="8"/>
      <c r="I34" s="3"/>
      <c r="J34" s="3"/>
      <c r="K34" s="3"/>
      <c r="L34" s="3"/>
      <c r="M34" s="3"/>
      <c r="N34" s="8"/>
    </row>
    <row r="35" spans="1:14" x14ac:dyDescent="0.25">
      <c r="A35" s="6"/>
      <c r="B35" s="6"/>
      <c r="D35" s="8"/>
      <c r="E35" s="8"/>
      <c r="G35" s="8"/>
      <c r="H35" s="8"/>
      <c r="I35" s="3"/>
      <c r="J35" s="3"/>
      <c r="K35" s="3"/>
      <c r="L35" s="3"/>
      <c r="M35" s="3"/>
      <c r="N35" s="8"/>
    </row>
    <row r="36" spans="1:14" x14ac:dyDescent="0.25">
      <c r="A36" s="6"/>
      <c r="B36" s="6"/>
      <c r="D36" s="8"/>
      <c r="E36" s="8"/>
      <c r="G36" s="8"/>
      <c r="H36" s="8"/>
      <c r="I36" s="3"/>
      <c r="J36" s="3"/>
      <c r="K36" s="3"/>
      <c r="L36" s="3"/>
      <c r="M36" s="3"/>
      <c r="N36" s="8"/>
    </row>
    <row r="37" spans="1:14" x14ac:dyDescent="0.25">
      <c r="A37" s="6"/>
      <c r="B37" s="6"/>
      <c r="D37" s="8"/>
      <c r="E37" s="8"/>
      <c r="G37" s="8"/>
      <c r="H37" s="8"/>
      <c r="I37" s="3"/>
      <c r="J37" s="3"/>
      <c r="K37" s="3"/>
      <c r="L37" s="3"/>
      <c r="M37" s="3"/>
      <c r="N37" s="8"/>
    </row>
    <row r="38" spans="1:14" x14ac:dyDescent="0.25">
      <c r="A38" s="6"/>
      <c r="B38" s="6"/>
      <c r="D38" s="8"/>
      <c r="E38" s="8"/>
      <c r="G38" s="8"/>
      <c r="H38" s="8"/>
      <c r="I38" s="3"/>
      <c r="J38" s="3"/>
      <c r="K38" s="3"/>
      <c r="L38" s="3"/>
      <c r="M38" s="3"/>
      <c r="N38" s="8"/>
    </row>
    <row r="39" spans="1:14" x14ac:dyDescent="0.25">
      <c r="A39" s="6"/>
      <c r="B39" s="6"/>
      <c r="D39" s="8"/>
      <c r="E39" s="8"/>
      <c r="G39" s="8"/>
      <c r="H39" s="8"/>
      <c r="I39" s="3"/>
      <c r="J39" s="3"/>
      <c r="K39" s="3"/>
      <c r="L39" s="3"/>
      <c r="M39" s="3"/>
      <c r="N39" s="8"/>
    </row>
    <row r="40" spans="1:14" x14ac:dyDescent="0.25">
      <c r="A40" s="6"/>
      <c r="B40" s="6"/>
      <c r="D40" s="8"/>
      <c r="E40" s="8"/>
      <c r="G40" s="8"/>
      <c r="H40" s="8"/>
      <c r="I40" s="3"/>
      <c r="J40" s="3"/>
      <c r="K40" s="3"/>
      <c r="L40" s="3"/>
      <c r="M40" s="3"/>
      <c r="N40" s="8"/>
    </row>
    <row r="41" spans="1:14" x14ac:dyDescent="0.25">
      <c r="A41" s="6"/>
      <c r="B41" s="6"/>
      <c r="D41" s="8"/>
      <c r="E41" s="8"/>
      <c r="G41" s="8"/>
      <c r="H41" s="8"/>
      <c r="I41" s="3"/>
      <c r="J41" s="3"/>
      <c r="K41" s="3"/>
      <c r="L41" s="3"/>
      <c r="M41" s="3"/>
      <c r="N41" s="8"/>
    </row>
    <row r="42" spans="1:14" x14ac:dyDescent="0.25">
      <c r="A42" s="6"/>
      <c r="B42" s="6"/>
      <c r="D42" s="8"/>
      <c r="E42" s="8"/>
      <c r="G42" s="8"/>
      <c r="H42" s="8"/>
      <c r="I42" s="3"/>
      <c r="J42" s="3"/>
      <c r="K42" s="3"/>
      <c r="L42" s="3"/>
      <c r="M42" s="3"/>
      <c r="N42" s="8"/>
    </row>
    <row r="43" spans="1:14" x14ac:dyDescent="0.25">
      <c r="A43" s="6"/>
      <c r="B43" s="6"/>
      <c r="D43" s="8"/>
      <c r="E43" s="8"/>
      <c r="G43" s="8"/>
      <c r="H43" s="8"/>
      <c r="I43" s="3"/>
      <c r="J43" s="3"/>
      <c r="K43" s="3"/>
      <c r="L43" s="3"/>
      <c r="M43" s="3"/>
      <c r="N43" s="8"/>
    </row>
    <row r="44" spans="1:14" x14ac:dyDescent="0.25">
      <c r="A44" s="6"/>
      <c r="B44" s="6"/>
      <c r="D44" s="8"/>
      <c r="E44" s="8"/>
      <c r="G44" s="8"/>
      <c r="H44" s="8"/>
      <c r="I44" s="3"/>
      <c r="J44" s="3"/>
      <c r="K44" s="3"/>
      <c r="L44" s="3"/>
      <c r="M44" s="3"/>
      <c r="N44" s="8"/>
    </row>
    <row r="45" spans="1:14" x14ac:dyDescent="0.25">
      <c r="A45" s="6"/>
      <c r="B45" s="6"/>
      <c r="D45" s="8"/>
      <c r="E45" s="8"/>
      <c r="G45" s="8"/>
      <c r="H45" s="8"/>
      <c r="I45" s="3"/>
      <c r="J45" s="3"/>
      <c r="K45" s="3"/>
      <c r="L45" s="3"/>
      <c r="M45" s="3"/>
      <c r="N45" s="8"/>
    </row>
    <row r="46" spans="1:14" x14ac:dyDescent="0.25">
      <c r="A46" s="6"/>
      <c r="B46" s="6"/>
      <c r="D46" s="8"/>
      <c r="E46" s="8"/>
      <c r="G46" s="8"/>
      <c r="H46" s="8"/>
      <c r="I46" s="3"/>
      <c r="J46" s="3"/>
      <c r="K46" s="3"/>
      <c r="L46" s="3"/>
      <c r="M46" s="3"/>
      <c r="N46" s="8"/>
    </row>
    <row r="47" spans="1:14" s="4" customFormat="1" x14ac:dyDescent="0.25">
      <c r="A47" s="2"/>
      <c r="B47" s="6"/>
      <c r="F47" s="40"/>
      <c r="I47" s="1"/>
      <c r="J47" s="1"/>
      <c r="K47" s="1"/>
      <c r="L47" s="1"/>
      <c r="M47" s="1"/>
    </row>
    <row r="48" spans="1:14" s="4" customFormat="1" x14ac:dyDescent="0.25">
      <c r="A48" s="2"/>
      <c r="B48" s="6"/>
      <c r="F48" s="40"/>
      <c r="I48" s="1"/>
      <c r="J48" s="1"/>
      <c r="K48" s="1"/>
      <c r="L48" s="1"/>
      <c r="M48" s="1"/>
    </row>
    <row r="49" spans="1:14" s="4" customFormat="1" x14ac:dyDescent="0.25">
      <c r="A49" s="2"/>
      <c r="B49" s="6"/>
      <c r="F49" s="40"/>
      <c r="I49" s="1"/>
      <c r="J49" s="1"/>
      <c r="K49" s="1"/>
      <c r="L49" s="1"/>
      <c r="M49" s="1"/>
    </row>
    <row r="50" spans="1:14" s="4" customFormat="1" x14ac:dyDescent="0.25">
      <c r="A50" s="2"/>
      <c r="B50" s="6"/>
      <c r="F50" s="40"/>
      <c r="I50" s="1"/>
      <c r="J50" s="1"/>
      <c r="K50" s="1"/>
      <c r="L50" s="1"/>
      <c r="M50" s="1"/>
    </row>
    <row r="51" spans="1:14" s="4" customFormat="1" x14ac:dyDescent="0.25">
      <c r="A51" s="2"/>
      <c r="B51" s="6"/>
      <c r="F51" s="40"/>
      <c r="I51" s="1"/>
      <c r="J51" s="1"/>
      <c r="K51" s="1"/>
      <c r="L51" s="1"/>
      <c r="M51" s="1"/>
    </row>
    <row r="52" spans="1:14" s="4" customFormat="1" x14ac:dyDescent="0.25">
      <c r="A52" s="2"/>
      <c r="B52" s="6"/>
      <c r="F52" s="40"/>
      <c r="I52" s="1"/>
      <c r="J52" s="1"/>
      <c r="K52" s="1"/>
      <c r="L52" s="1"/>
      <c r="M52" s="1"/>
    </row>
    <row r="53" spans="1:14" s="4" customFormat="1" x14ac:dyDescent="0.25">
      <c r="A53" s="2"/>
      <c r="B53" s="6"/>
      <c r="F53" s="40"/>
      <c r="I53" s="1"/>
      <c r="J53" s="1"/>
      <c r="K53" s="1"/>
      <c r="L53" s="1"/>
      <c r="M53" s="1"/>
    </row>
    <row r="54" spans="1:14" s="4" customFormat="1" x14ac:dyDescent="0.25">
      <c r="A54" s="2"/>
      <c r="B54" s="6"/>
      <c r="F54" s="40"/>
      <c r="I54" s="1"/>
      <c r="J54" s="1"/>
      <c r="K54" s="1"/>
      <c r="L54" s="1"/>
      <c r="M54" s="1"/>
    </row>
    <row r="55" spans="1:14" s="4" customFormat="1" x14ac:dyDescent="0.25">
      <c r="A55" s="2"/>
      <c r="B55" s="6"/>
      <c r="F55" s="40"/>
      <c r="I55" s="1"/>
      <c r="J55" s="1"/>
      <c r="K55" s="1"/>
      <c r="L55" s="1"/>
      <c r="M55" s="1"/>
    </row>
    <row r="56" spans="1:14" s="4" customFormat="1" x14ac:dyDescent="0.25">
      <c r="A56" s="2"/>
      <c r="B56" s="6"/>
      <c r="F56" s="40"/>
      <c r="I56" s="1"/>
      <c r="J56" s="1"/>
      <c r="K56" s="1"/>
      <c r="L56" s="1"/>
      <c r="M56" s="1"/>
    </row>
    <row r="57" spans="1:14" s="5" customFormat="1" x14ac:dyDescent="0.25">
      <c r="A57" s="2"/>
      <c r="B57" s="6"/>
      <c r="C57" s="4"/>
      <c r="D57" s="4"/>
      <c r="E57" s="4"/>
      <c r="F57" s="40"/>
      <c r="G57" s="4"/>
      <c r="H57" s="4"/>
      <c r="I57" s="1"/>
      <c r="J57" s="1"/>
      <c r="K57" s="1"/>
      <c r="L57" s="1"/>
      <c r="M57" s="1"/>
      <c r="N57" s="4"/>
    </row>
    <row r="58" spans="1:14" s="5" customFormat="1" x14ac:dyDescent="0.25">
      <c r="A58" s="2"/>
      <c r="B58" s="6"/>
      <c r="C58" s="4"/>
      <c r="D58" s="4"/>
      <c r="E58" s="4"/>
      <c r="F58" s="40"/>
      <c r="G58" s="4"/>
      <c r="H58" s="4"/>
      <c r="I58" s="1"/>
      <c r="J58" s="1"/>
      <c r="K58" s="1"/>
      <c r="L58" s="1"/>
      <c r="M58" s="1"/>
      <c r="N58" s="4"/>
    </row>
    <row r="59" spans="1:14" s="5" customFormat="1" x14ac:dyDescent="0.25">
      <c r="A59" s="2"/>
      <c r="B59" s="6"/>
      <c r="C59" s="4"/>
      <c r="D59" s="4"/>
      <c r="E59" s="4"/>
      <c r="F59" s="40"/>
      <c r="G59" s="4"/>
      <c r="H59" s="4"/>
      <c r="I59" s="1"/>
      <c r="J59" s="1"/>
      <c r="K59" s="1"/>
      <c r="L59" s="1"/>
      <c r="M59" s="1"/>
      <c r="N59" s="4"/>
    </row>
    <row r="60" spans="1:14" s="5" customFormat="1" x14ac:dyDescent="0.25">
      <c r="A60" s="2"/>
      <c r="B60" s="6"/>
      <c r="C60" s="4"/>
      <c r="D60" s="4"/>
      <c r="E60" s="4"/>
      <c r="F60" s="40"/>
      <c r="G60" s="4"/>
      <c r="H60" s="4"/>
      <c r="I60" s="1"/>
      <c r="J60" s="1"/>
      <c r="K60" s="1"/>
      <c r="L60" s="1"/>
      <c r="M60" s="1"/>
      <c r="N60" s="4"/>
    </row>
    <row r="61" spans="1:14" s="5" customFormat="1" x14ac:dyDescent="0.25">
      <c r="A61" s="2"/>
      <c r="B61" s="6"/>
      <c r="C61" s="4"/>
      <c r="D61" s="4"/>
      <c r="E61" s="4"/>
      <c r="F61" s="40"/>
      <c r="G61" s="4"/>
      <c r="H61" s="4"/>
      <c r="I61" s="1"/>
      <c r="J61" s="1"/>
      <c r="K61" s="1"/>
      <c r="L61" s="1"/>
      <c r="M61" s="1"/>
      <c r="N61" s="4"/>
    </row>
    <row r="62" spans="1:14" s="5" customFormat="1" x14ac:dyDescent="0.25">
      <c r="A62" s="2"/>
      <c r="B62" s="6"/>
      <c r="C62" s="4"/>
      <c r="D62" s="4"/>
      <c r="E62" s="4"/>
      <c r="F62" s="40"/>
      <c r="G62" s="4"/>
      <c r="H62" s="4"/>
      <c r="I62" s="1"/>
      <c r="J62" s="1"/>
      <c r="K62" s="1"/>
      <c r="L62" s="1"/>
      <c r="M62" s="1"/>
      <c r="N62" s="4"/>
    </row>
    <row r="63" spans="1:14" s="5" customFormat="1" x14ac:dyDescent="0.25">
      <c r="A63" s="2"/>
      <c r="B63" s="6"/>
      <c r="C63" s="4"/>
      <c r="D63" s="4"/>
      <c r="E63" s="4"/>
      <c r="F63" s="40"/>
      <c r="G63" s="4"/>
      <c r="H63" s="4"/>
      <c r="I63" s="1"/>
      <c r="J63" s="1"/>
      <c r="K63" s="1"/>
      <c r="L63" s="1"/>
      <c r="M63" s="1"/>
      <c r="N63" s="4"/>
    </row>
    <row r="64" spans="1:14" s="5" customFormat="1" x14ac:dyDescent="0.25">
      <c r="A64" s="2"/>
      <c r="B64" s="6"/>
      <c r="C64" s="4"/>
      <c r="D64" s="4"/>
      <c r="E64" s="4"/>
      <c r="F64" s="40"/>
      <c r="G64" s="4"/>
      <c r="H64" s="4"/>
      <c r="I64" s="1"/>
      <c r="J64" s="1"/>
      <c r="K64" s="1"/>
      <c r="L64" s="1"/>
      <c r="M64" s="1"/>
      <c r="N64" s="4"/>
    </row>
    <row r="65" spans="1:14" s="5" customFormat="1" x14ac:dyDescent="0.25">
      <c r="A65" s="2"/>
      <c r="B65" s="6"/>
      <c r="C65" s="4"/>
      <c r="D65" s="4"/>
      <c r="E65" s="4"/>
      <c r="F65" s="40"/>
      <c r="G65" s="4"/>
      <c r="H65" s="4"/>
      <c r="I65" s="1"/>
      <c r="J65" s="1"/>
      <c r="K65" s="1"/>
      <c r="L65" s="1"/>
      <c r="M65" s="1"/>
      <c r="N65" s="4"/>
    </row>
    <row r="66" spans="1:14" s="5" customFormat="1" x14ac:dyDescent="0.25">
      <c r="A66" s="2"/>
      <c r="B66" s="6"/>
      <c r="C66" s="4"/>
      <c r="D66" s="4"/>
      <c r="E66" s="4"/>
      <c r="F66" s="40"/>
      <c r="G66" s="4"/>
      <c r="H66" s="4"/>
      <c r="I66" s="1"/>
      <c r="J66" s="1"/>
      <c r="K66" s="1"/>
      <c r="L66" s="1"/>
      <c r="M66" s="1"/>
      <c r="N66" s="4"/>
    </row>
    <row r="67" spans="1:14" s="5" customFormat="1" x14ac:dyDescent="0.25">
      <c r="A67" s="2"/>
      <c r="B67" s="6"/>
      <c r="C67" s="4"/>
      <c r="D67" s="4"/>
      <c r="E67" s="4"/>
      <c r="F67" s="40"/>
      <c r="G67" s="4"/>
      <c r="H67" s="4"/>
      <c r="I67" s="1"/>
      <c r="J67" s="1"/>
      <c r="K67" s="1"/>
      <c r="L67" s="1"/>
      <c r="M67" s="1"/>
      <c r="N67" s="4"/>
    </row>
    <row r="68" spans="1:14" s="5" customFormat="1" x14ac:dyDescent="0.25">
      <c r="A68" s="2"/>
      <c r="B68" s="6"/>
      <c r="C68" s="4"/>
      <c r="D68" s="4"/>
      <c r="E68" s="4"/>
      <c r="F68" s="40"/>
      <c r="G68" s="4"/>
      <c r="H68" s="4"/>
      <c r="I68" s="1"/>
      <c r="J68" s="1"/>
      <c r="K68" s="1"/>
      <c r="L68" s="1"/>
      <c r="M68" s="1"/>
      <c r="N68" s="4"/>
    </row>
    <row r="69" spans="1:14" s="5" customFormat="1" x14ac:dyDescent="0.25">
      <c r="A69" s="2"/>
      <c r="B69" s="6"/>
      <c r="C69" s="4"/>
      <c r="D69" s="4"/>
      <c r="E69" s="4"/>
      <c r="F69" s="40"/>
      <c r="G69" s="4"/>
      <c r="H69" s="4"/>
      <c r="I69" s="1"/>
      <c r="J69" s="1"/>
      <c r="K69" s="1"/>
      <c r="L69" s="1"/>
      <c r="M69" s="1"/>
      <c r="N69" s="4"/>
    </row>
    <row r="70" spans="1:14" s="5" customFormat="1" x14ac:dyDescent="0.25">
      <c r="A70" s="2"/>
      <c r="B70" s="6"/>
      <c r="C70" s="4"/>
      <c r="D70" s="4"/>
      <c r="E70" s="4"/>
      <c r="F70" s="40"/>
      <c r="G70" s="4"/>
      <c r="H70" s="4"/>
      <c r="I70" s="1"/>
      <c r="J70" s="1"/>
      <c r="K70" s="1"/>
      <c r="L70" s="1"/>
      <c r="M70" s="1"/>
      <c r="N70" s="4"/>
    </row>
    <row r="71" spans="1:14" s="5" customFormat="1" x14ac:dyDescent="0.25">
      <c r="A71" s="2"/>
      <c r="B71" s="6"/>
      <c r="C71" s="4"/>
      <c r="D71" s="4"/>
      <c r="E71" s="4"/>
      <c r="F71" s="40"/>
      <c r="G71" s="4"/>
      <c r="H71" s="4"/>
      <c r="I71" s="1"/>
      <c r="J71" s="1"/>
      <c r="K71" s="1"/>
      <c r="L71" s="1"/>
      <c r="M71" s="1"/>
      <c r="N71" s="4"/>
    </row>
    <row r="72" spans="1:14" s="5" customFormat="1" x14ac:dyDescent="0.25">
      <c r="A72" s="2"/>
      <c r="B72" s="6"/>
      <c r="C72" s="4"/>
      <c r="D72" s="4"/>
      <c r="E72" s="4"/>
      <c r="F72" s="40"/>
      <c r="G72" s="4"/>
      <c r="H72" s="4"/>
      <c r="I72" s="1"/>
      <c r="J72" s="1"/>
      <c r="K72" s="1"/>
      <c r="L72" s="1"/>
      <c r="M72" s="1"/>
      <c r="N72" s="4"/>
    </row>
    <row r="73" spans="1:14" s="5" customFormat="1" x14ac:dyDescent="0.25">
      <c r="A73" s="2"/>
      <c r="B73" s="6"/>
      <c r="C73" s="4"/>
      <c r="D73" s="4"/>
      <c r="E73" s="4"/>
      <c r="F73" s="40"/>
      <c r="G73" s="4"/>
      <c r="H73" s="4"/>
      <c r="I73" s="1"/>
      <c r="J73" s="1"/>
      <c r="K73" s="1"/>
      <c r="L73" s="1"/>
      <c r="M73" s="1"/>
      <c r="N73" s="4"/>
    </row>
    <row r="74" spans="1:14" s="5" customFormat="1" x14ac:dyDescent="0.25">
      <c r="A74" s="2"/>
      <c r="B74" s="6"/>
      <c r="C74" s="4"/>
      <c r="D74" s="4"/>
      <c r="E74" s="4"/>
      <c r="F74" s="40"/>
      <c r="G74" s="4"/>
      <c r="H74" s="4"/>
      <c r="I74" s="1"/>
      <c r="J74" s="1"/>
      <c r="K74" s="1"/>
      <c r="L74" s="1"/>
      <c r="M74" s="1"/>
      <c r="N74" s="4"/>
    </row>
    <row r="75" spans="1:14" s="5" customFormat="1" x14ac:dyDescent="0.25">
      <c r="A75" s="2"/>
      <c r="B75" s="6"/>
      <c r="C75" s="4"/>
      <c r="D75" s="4"/>
      <c r="E75" s="4"/>
      <c r="F75" s="40"/>
      <c r="G75" s="4"/>
      <c r="H75" s="4"/>
      <c r="I75" s="1"/>
      <c r="J75" s="1"/>
      <c r="K75" s="1"/>
      <c r="L75" s="1"/>
      <c r="M75" s="1"/>
      <c r="N75" s="4"/>
    </row>
    <row r="76" spans="1:14" s="5" customFormat="1" x14ac:dyDescent="0.25">
      <c r="A76" s="2"/>
      <c r="B76" s="6"/>
      <c r="C76" s="4"/>
      <c r="D76" s="4"/>
      <c r="E76" s="4"/>
      <c r="F76" s="40"/>
      <c r="G76" s="4"/>
      <c r="H76" s="4"/>
      <c r="I76" s="1"/>
      <c r="J76" s="1"/>
      <c r="K76" s="1"/>
      <c r="L76" s="1"/>
      <c r="M76" s="1"/>
      <c r="N76" s="4"/>
    </row>
    <row r="77" spans="1:14" s="5" customFormat="1" x14ac:dyDescent="0.25">
      <c r="A77" s="2"/>
      <c r="B77" s="6"/>
      <c r="C77" s="4"/>
      <c r="D77" s="4"/>
      <c r="E77" s="4"/>
      <c r="F77" s="40"/>
      <c r="G77" s="4"/>
      <c r="H77" s="4"/>
      <c r="I77" s="1"/>
      <c r="J77" s="1"/>
      <c r="K77" s="1"/>
      <c r="L77" s="1"/>
      <c r="M77" s="1"/>
      <c r="N77" s="4"/>
    </row>
    <row r="78" spans="1:14" s="5" customFormat="1" x14ac:dyDescent="0.25">
      <c r="A78" s="2"/>
      <c r="B78" s="6"/>
      <c r="C78" s="4"/>
      <c r="D78" s="4"/>
      <c r="E78" s="4"/>
      <c r="F78" s="40"/>
      <c r="G78" s="4"/>
      <c r="H78" s="4"/>
      <c r="I78" s="1"/>
      <c r="J78" s="1"/>
      <c r="K78" s="1"/>
      <c r="L78" s="1"/>
      <c r="M78" s="1"/>
      <c r="N78" s="4"/>
    </row>
    <row r="79" spans="1:14" s="5" customFormat="1" x14ac:dyDescent="0.25">
      <c r="A79" s="2"/>
      <c r="B79" s="6"/>
      <c r="C79" s="4"/>
      <c r="D79" s="4"/>
      <c r="E79" s="4"/>
      <c r="F79" s="40"/>
      <c r="G79" s="4"/>
      <c r="H79" s="4"/>
      <c r="I79" s="1"/>
      <c r="J79" s="1"/>
      <c r="K79" s="1"/>
      <c r="L79" s="1"/>
      <c r="M79" s="1"/>
      <c r="N79" s="4"/>
    </row>
    <row r="80" spans="1:14" s="5" customFormat="1" x14ac:dyDescent="0.25">
      <c r="A80" s="2"/>
      <c r="B80" s="6"/>
      <c r="C80" s="4"/>
      <c r="D80" s="4"/>
      <c r="E80" s="4"/>
      <c r="F80" s="40"/>
      <c r="G80" s="4"/>
      <c r="H80" s="4"/>
      <c r="I80" s="1"/>
      <c r="J80" s="1"/>
      <c r="K80" s="1"/>
      <c r="L80" s="1"/>
      <c r="M80" s="1"/>
      <c r="N80" s="4"/>
    </row>
    <row r="81" spans="1:14" s="5" customFormat="1" x14ac:dyDescent="0.25">
      <c r="A81" s="2"/>
      <c r="B81" s="6"/>
      <c r="C81" s="4"/>
      <c r="D81" s="4"/>
      <c r="E81" s="4"/>
      <c r="F81" s="40"/>
      <c r="G81" s="4"/>
      <c r="H81" s="4"/>
      <c r="I81" s="1"/>
      <c r="J81" s="1"/>
      <c r="K81" s="1"/>
      <c r="L81" s="1"/>
      <c r="M81" s="1"/>
      <c r="N81" s="4"/>
    </row>
    <row r="82" spans="1:14" s="5" customFormat="1" x14ac:dyDescent="0.25">
      <c r="A82" s="2"/>
      <c r="B82" s="6"/>
      <c r="C82" s="4"/>
      <c r="D82" s="4"/>
      <c r="E82" s="4"/>
      <c r="F82" s="40"/>
      <c r="G82" s="4"/>
      <c r="H82" s="4"/>
      <c r="I82" s="1"/>
      <c r="J82" s="1"/>
      <c r="K82" s="1"/>
      <c r="L82" s="1"/>
      <c r="M82" s="1"/>
      <c r="N82" s="4"/>
    </row>
    <row r="83" spans="1:14" s="5" customFormat="1" x14ac:dyDescent="0.25">
      <c r="A83" s="2"/>
      <c r="B83" s="6"/>
      <c r="C83" s="4"/>
      <c r="D83" s="4"/>
      <c r="E83" s="4"/>
      <c r="F83" s="40"/>
      <c r="G83" s="4"/>
      <c r="H83" s="4"/>
      <c r="I83" s="1"/>
      <c r="J83" s="1"/>
      <c r="K83" s="1"/>
      <c r="L83" s="1"/>
      <c r="M83" s="1"/>
      <c r="N83" s="4"/>
    </row>
    <row r="84" spans="1:14" s="5" customFormat="1" x14ac:dyDescent="0.25">
      <c r="A84" s="2"/>
      <c r="B84" s="6"/>
      <c r="C84" s="4"/>
      <c r="D84" s="4"/>
      <c r="E84" s="4"/>
      <c r="F84" s="40"/>
      <c r="G84" s="4"/>
      <c r="H84" s="4"/>
      <c r="I84" s="1"/>
      <c r="J84" s="1"/>
      <c r="K84" s="1"/>
      <c r="L84" s="1"/>
      <c r="M84" s="1"/>
      <c r="N84" s="4"/>
    </row>
    <row r="85" spans="1:14" s="5" customFormat="1" x14ac:dyDescent="0.25">
      <c r="A85" s="2"/>
      <c r="B85" s="6"/>
      <c r="C85" s="4"/>
      <c r="D85" s="4"/>
      <c r="E85" s="4"/>
      <c r="F85" s="40"/>
      <c r="G85" s="4"/>
      <c r="H85" s="4"/>
      <c r="I85" s="1"/>
      <c r="J85" s="1"/>
      <c r="K85" s="1"/>
      <c r="L85" s="1"/>
      <c r="M85" s="1"/>
      <c r="N85" s="4"/>
    </row>
    <row r="86" spans="1:14" s="5" customFormat="1" x14ac:dyDescent="0.25">
      <c r="A86" s="2"/>
      <c r="B86" s="6"/>
      <c r="C86" s="4"/>
      <c r="D86" s="4"/>
      <c r="E86" s="4"/>
      <c r="F86" s="40"/>
      <c r="G86" s="4"/>
      <c r="H86" s="4"/>
      <c r="I86" s="1"/>
      <c r="J86" s="1"/>
      <c r="K86" s="1"/>
      <c r="L86" s="1"/>
      <c r="M86" s="1"/>
      <c r="N86" s="4"/>
    </row>
    <row r="87" spans="1:14" s="5" customFormat="1" x14ac:dyDescent="0.25">
      <c r="A87" s="2"/>
      <c r="B87" s="6"/>
      <c r="C87" s="4"/>
      <c r="D87" s="4"/>
      <c r="E87" s="4"/>
      <c r="F87" s="40"/>
      <c r="G87" s="4"/>
      <c r="H87" s="4"/>
      <c r="I87" s="1"/>
      <c r="J87" s="1"/>
      <c r="K87" s="1"/>
      <c r="L87" s="1"/>
      <c r="M87" s="1"/>
      <c r="N87" s="4"/>
    </row>
    <row r="88" spans="1:14" s="5" customFormat="1" x14ac:dyDescent="0.25">
      <c r="A88" s="2"/>
      <c r="B88" s="6"/>
      <c r="C88" s="4"/>
      <c r="D88" s="4"/>
      <c r="E88" s="4"/>
      <c r="F88" s="40"/>
      <c r="G88" s="4"/>
      <c r="H88" s="4"/>
      <c r="I88" s="1"/>
      <c r="J88" s="1"/>
      <c r="K88" s="1"/>
      <c r="L88" s="1"/>
      <c r="M88" s="1"/>
      <c r="N88" s="4"/>
    </row>
    <row r="89" spans="1:14" s="5" customFormat="1" x14ac:dyDescent="0.25">
      <c r="A89" s="2"/>
      <c r="B89" s="6"/>
      <c r="C89" s="4"/>
      <c r="D89" s="4"/>
      <c r="E89" s="4"/>
      <c r="F89" s="40"/>
      <c r="G89" s="4"/>
      <c r="H89" s="4"/>
      <c r="I89" s="1"/>
      <c r="J89" s="1"/>
      <c r="K89" s="1"/>
      <c r="L89" s="1"/>
      <c r="M89" s="1"/>
      <c r="N89" s="4"/>
    </row>
    <row r="90" spans="1:14" s="5" customFormat="1" x14ac:dyDescent="0.25">
      <c r="A90" s="2"/>
      <c r="B90" s="6"/>
      <c r="C90" s="4"/>
      <c r="D90" s="4"/>
      <c r="E90" s="4"/>
      <c r="F90" s="40"/>
      <c r="G90" s="4"/>
      <c r="H90" s="4"/>
      <c r="I90" s="1"/>
      <c r="J90" s="1"/>
      <c r="K90" s="1"/>
      <c r="L90" s="1"/>
      <c r="M90" s="1"/>
      <c r="N90" s="4"/>
    </row>
    <row r="91" spans="1:14" s="5" customFormat="1" x14ac:dyDescent="0.25">
      <c r="A91" s="2"/>
      <c r="B91" s="6"/>
      <c r="C91" s="4"/>
      <c r="D91" s="4"/>
      <c r="E91" s="4"/>
      <c r="F91" s="40"/>
      <c r="G91" s="4"/>
      <c r="H91" s="4"/>
      <c r="I91" s="1"/>
      <c r="J91" s="1"/>
      <c r="K91" s="1"/>
      <c r="L91" s="1"/>
      <c r="M91" s="1"/>
      <c r="N91" s="4"/>
    </row>
    <row r="92" spans="1:14" s="5" customFormat="1" x14ac:dyDescent="0.25">
      <c r="A92" s="2"/>
      <c r="B92" s="6"/>
      <c r="C92" s="4"/>
      <c r="D92" s="4"/>
      <c r="E92" s="4"/>
      <c r="F92" s="40"/>
      <c r="G92" s="4"/>
      <c r="H92" s="4"/>
      <c r="I92" s="1"/>
      <c r="J92" s="1"/>
      <c r="K92" s="1"/>
      <c r="L92" s="1"/>
      <c r="M92" s="1"/>
      <c r="N92" s="4"/>
    </row>
    <row r="93" spans="1:14" s="5" customFormat="1" x14ac:dyDescent="0.25">
      <c r="A93" s="2"/>
      <c r="B93" s="6"/>
      <c r="C93" s="4"/>
      <c r="D93" s="4"/>
      <c r="E93" s="4"/>
      <c r="F93" s="40"/>
      <c r="G93" s="4"/>
      <c r="H93" s="4"/>
      <c r="I93" s="1"/>
      <c r="J93" s="1"/>
      <c r="K93" s="1"/>
      <c r="L93" s="1"/>
      <c r="M93" s="1"/>
      <c r="N93" s="4"/>
    </row>
    <row r="94" spans="1:14" s="5" customFormat="1" x14ac:dyDescent="0.25">
      <c r="A94" s="2"/>
      <c r="B94" s="6"/>
      <c r="C94" s="4"/>
      <c r="D94" s="4"/>
      <c r="E94" s="4"/>
      <c r="F94" s="40"/>
      <c r="G94" s="4"/>
      <c r="H94" s="4"/>
      <c r="I94" s="1"/>
      <c r="J94" s="1"/>
      <c r="K94" s="1"/>
      <c r="L94" s="1"/>
      <c r="M94" s="1"/>
      <c r="N94" s="4"/>
    </row>
    <row r="95" spans="1:14" s="5" customFormat="1" x14ac:dyDescent="0.25">
      <c r="A95" s="2"/>
      <c r="B95" s="6"/>
      <c r="C95" s="4"/>
      <c r="D95" s="4"/>
      <c r="E95" s="4"/>
      <c r="F95" s="40"/>
      <c r="G95" s="4"/>
      <c r="H95" s="4"/>
      <c r="I95" s="1"/>
      <c r="J95" s="1"/>
      <c r="K95" s="1"/>
      <c r="L95" s="1"/>
      <c r="M95" s="1"/>
      <c r="N95" s="4"/>
    </row>
    <row r="96" spans="1:14" s="5" customFormat="1" x14ac:dyDescent="0.25">
      <c r="A96" s="2"/>
      <c r="B96" s="6"/>
      <c r="C96" s="4"/>
      <c r="D96" s="4"/>
      <c r="E96" s="4"/>
      <c r="F96" s="40"/>
      <c r="G96" s="4"/>
      <c r="H96" s="4"/>
      <c r="I96" s="1"/>
      <c r="J96" s="1"/>
      <c r="K96" s="1"/>
      <c r="L96" s="1"/>
      <c r="M96" s="1"/>
      <c r="N96" s="4"/>
    </row>
    <row r="97" spans="1:14" s="5" customFormat="1" x14ac:dyDescent="0.25">
      <c r="A97" s="2"/>
      <c r="B97" s="6"/>
      <c r="C97" s="4"/>
      <c r="D97" s="4"/>
      <c r="E97" s="4"/>
      <c r="F97" s="40"/>
      <c r="G97" s="4"/>
      <c r="H97" s="4"/>
      <c r="I97" s="1"/>
      <c r="J97" s="1"/>
      <c r="K97" s="1"/>
      <c r="L97" s="1"/>
      <c r="M97" s="1"/>
      <c r="N97" s="4"/>
    </row>
    <row r="98" spans="1:14" s="5" customFormat="1" x14ac:dyDescent="0.25">
      <c r="A98" s="2"/>
      <c r="B98" s="6"/>
      <c r="C98" s="4"/>
      <c r="D98" s="4"/>
      <c r="E98" s="4"/>
      <c r="F98" s="40"/>
      <c r="G98" s="4"/>
      <c r="H98" s="4"/>
      <c r="I98" s="1"/>
      <c r="J98" s="1"/>
      <c r="K98" s="1"/>
      <c r="L98" s="1"/>
      <c r="M98" s="1"/>
      <c r="N98" s="4"/>
    </row>
    <row r="99" spans="1:14" s="5" customFormat="1" x14ac:dyDescent="0.25">
      <c r="A99" s="2"/>
      <c r="B99" s="6"/>
      <c r="C99" s="4"/>
      <c r="D99" s="4"/>
      <c r="E99" s="4"/>
      <c r="F99" s="40"/>
      <c r="G99" s="4"/>
      <c r="H99" s="4"/>
      <c r="I99" s="1"/>
      <c r="J99" s="1"/>
      <c r="K99" s="1"/>
      <c r="L99" s="1"/>
      <c r="M99" s="1"/>
      <c r="N99" s="4"/>
    </row>
    <row r="100" spans="1:14" s="5" customFormat="1" x14ac:dyDescent="0.25">
      <c r="A100" s="2"/>
      <c r="B100" s="6"/>
      <c r="C100" s="4"/>
      <c r="D100" s="4"/>
      <c r="E100" s="4"/>
      <c r="F100" s="40"/>
      <c r="G100" s="4"/>
      <c r="H100" s="4"/>
      <c r="I100" s="1"/>
      <c r="J100" s="1"/>
      <c r="K100" s="1"/>
      <c r="L100" s="1"/>
      <c r="M100" s="1"/>
      <c r="N100" s="4"/>
    </row>
    <row r="101" spans="1:14" s="5" customFormat="1" x14ac:dyDescent="0.25">
      <c r="A101" s="2"/>
      <c r="B101" s="6"/>
      <c r="C101" s="4"/>
      <c r="D101" s="4"/>
      <c r="E101" s="4"/>
      <c r="F101" s="40"/>
      <c r="G101" s="4"/>
      <c r="H101" s="4"/>
      <c r="I101" s="1"/>
      <c r="J101" s="1"/>
      <c r="K101" s="1"/>
      <c r="L101" s="1"/>
      <c r="M101" s="1"/>
      <c r="N101" s="4"/>
    </row>
    <row r="102" spans="1:14" s="5" customFormat="1" x14ac:dyDescent="0.25">
      <c r="A102" s="2"/>
      <c r="B102" s="6"/>
      <c r="C102" s="4"/>
      <c r="D102" s="4"/>
      <c r="E102" s="4"/>
      <c r="F102" s="40"/>
      <c r="G102" s="4"/>
      <c r="H102" s="4"/>
      <c r="I102" s="1"/>
      <c r="J102" s="1"/>
      <c r="K102" s="1"/>
      <c r="L102" s="1"/>
      <c r="M102" s="1"/>
      <c r="N102" s="4"/>
    </row>
    <row r="103" spans="1:14" s="5" customFormat="1" x14ac:dyDescent="0.25">
      <c r="A103" s="2"/>
      <c r="B103" s="6"/>
      <c r="C103" s="4"/>
      <c r="D103" s="4"/>
      <c r="E103" s="4"/>
      <c r="F103" s="40"/>
      <c r="G103" s="4"/>
      <c r="H103" s="4"/>
      <c r="I103" s="1"/>
      <c r="J103" s="1"/>
      <c r="K103" s="1"/>
      <c r="L103" s="1"/>
      <c r="M103" s="1"/>
      <c r="N103" s="4"/>
    </row>
    <row r="104" spans="1:14" s="5" customFormat="1" x14ac:dyDescent="0.25">
      <c r="A104" s="2"/>
      <c r="B104" s="6"/>
      <c r="C104" s="4"/>
      <c r="D104" s="4"/>
      <c r="E104" s="4"/>
      <c r="F104" s="40"/>
      <c r="G104" s="4"/>
      <c r="H104" s="4"/>
      <c r="I104" s="1"/>
      <c r="J104" s="1"/>
      <c r="K104" s="1"/>
      <c r="L104" s="1"/>
      <c r="M104" s="1"/>
      <c r="N104" s="4"/>
    </row>
    <row r="105" spans="1:14" s="5" customFormat="1" x14ac:dyDescent="0.25">
      <c r="A105" s="2"/>
      <c r="B105" s="6"/>
      <c r="C105" s="4"/>
      <c r="D105" s="4"/>
      <c r="E105" s="4"/>
      <c r="F105" s="40"/>
      <c r="G105" s="4"/>
      <c r="H105" s="4"/>
      <c r="I105" s="1"/>
      <c r="J105" s="1"/>
      <c r="K105" s="1"/>
      <c r="L105" s="1"/>
      <c r="M105" s="1"/>
      <c r="N105" s="4"/>
    </row>
    <row r="106" spans="1:14" s="5" customFormat="1" x14ac:dyDescent="0.25">
      <c r="A106" s="2"/>
      <c r="B106" s="6"/>
      <c r="C106" s="4"/>
      <c r="D106" s="4"/>
      <c r="E106" s="4"/>
      <c r="F106" s="40"/>
      <c r="G106" s="4"/>
      <c r="H106" s="4"/>
      <c r="I106" s="1"/>
      <c r="J106" s="1"/>
      <c r="K106" s="1"/>
      <c r="L106" s="1"/>
      <c r="M106" s="1"/>
      <c r="N106" s="4"/>
    </row>
    <row r="107" spans="1:14" s="5" customFormat="1" x14ac:dyDescent="0.25">
      <c r="A107" s="2"/>
      <c r="B107" s="6"/>
      <c r="C107" s="4"/>
      <c r="D107" s="4"/>
      <c r="E107" s="4"/>
      <c r="F107" s="40"/>
      <c r="G107" s="4"/>
      <c r="H107" s="4"/>
      <c r="I107" s="1"/>
      <c r="J107" s="1"/>
      <c r="K107" s="1"/>
      <c r="L107" s="1"/>
      <c r="M107" s="1"/>
      <c r="N107" s="4"/>
    </row>
    <row r="108" spans="1:14" s="5" customFormat="1" x14ac:dyDescent="0.25">
      <c r="A108" s="2"/>
      <c r="B108" s="6"/>
      <c r="C108" s="4"/>
      <c r="D108" s="4"/>
      <c r="E108" s="4"/>
      <c r="F108" s="40"/>
      <c r="G108" s="4"/>
      <c r="H108" s="4"/>
      <c r="I108" s="1"/>
      <c r="J108" s="1"/>
      <c r="K108" s="1"/>
      <c r="L108" s="1"/>
      <c r="M108" s="1"/>
      <c r="N108" s="4"/>
    </row>
    <row r="109" spans="1:14" s="5" customFormat="1" x14ac:dyDescent="0.25">
      <c r="A109" s="2"/>
      <c r="B109" s="6"/>
      <c r="C109" s="4"/>
      <c r="D109" s="4"/>
      <c r="E109" s="4"/>
      <c r="F109" s="40"/>
      <c r="G109" s="4"/>
      <c r="H109" s="4"/>
      <c r="I109" s="1"/>
      <c r="J109" s="1"/>
      <c r="K109" s="1"/>
      <c r="L109" s="1"/>
      <c r="M109" s="1"/>
      <c r="N109" s="4"/>
    </row>
    <row r="110" spans="1:14" s="5" customFormat="1" x14ac:dyDescent="0.25">
      <c r="A110" s="2"/>
      <c r="B110" s="6"/>
      <c r="C110" s="4"/>
      <c r="D110" s="4"/>
      <c r="E110" s="4"/>
      <c r="F110" s="40"/>
      <c r="G110" s="4"/>
      <c r="H110" s="4"/>
      <c r="I110" s="1"/>
      <c r="J110" s="1"/>
      <c r="K110" s="1"/>
      <c r="L110" s="1"/>
      <c r="M110" s="1"/>
      <c r="N110" s="4"/>
    </row>
    <row r="111" spans="1:14" s="5" customFormat="1" x14ac:dyDescent="0.25">
      <c r="A111" s="2"/>
      <c r="B111" s="6"/>
      <c r="C111" s="4"/>
      <c r="D111" s="4"/>
      <c r="E111" s="4"/>
      <c r="F111" s="40"/>
      <c r="G111" s="4"/>
      <c r="H111" s="4"/>
      <c r="I111" s="1"/>
      <c r="J111" s="1"/>
      <c r="K111" s="1"/>
      <c r="L111" s="1"/>
      <c r="M111" s="1"/>
      <c r="N111" s="4"/>
    </row>
    <row r="112" spans="1:14" s="5" customFormat="1" x14ac:dyDescent="0.25">
      <c r="A112" s="2"/>
      <c r="B112" s="6"/>
      <c r="C112" s="4"/>
      <c r="D112" s="4"/>
      <c r="E112" s="4"/>
      <c r="F112" s="40"/>
      <c r="G112" s="4"/>
      <c r="H112" s="4"/>
      <c r="I112" s="1"/>
      <c r="J112" s="1"/>
      <c r="K112" s="1"/>
      <c r="L112" s="1"/>
      <c r="M112" s="1"/>
      <c r="N112" s="4"/>
    </row>
    <row r="113" spans="1:14" s="5" customFormat="1" x14ac:dyDescent="0.25">
      <c r="A113" s="2"/>
      <c r="B113" s="6"/>
      <c r="C113" s="4"/>
      <c r="D113" s="4"/>
      <c r="E113" s="4"/>
      <c r="F113" s="40"/>
      <c r="G113" s="4"/>
      <c r="H113" s="4"/>
      <c r="I113" s="1"/>
      <c r="J113" s="1"/>
      <c r="K113" s="1"/>
      <c r="L113" s="1"/>
      <c r="M113" s="1"/>
      <c r="N113" s="4"/>
    </row>
    <row r="114" spans="1:14" s="5" customFormat="1" x14ac:dyDescent="0.25">
      <c r="A114" s="2"/>
      <c r="B114" s="6"/>
      <c r="C114" s="4"/>
      <c r="D114" s="4"/>
      <c r="E114" s="4"/>
      <c r="F114" s="40"/>
      <c r="G114" s="4"/>
      <c r="H114" s="4"/>
      <c r="I114" s="1"/>
      <c r="J114" s="1"/>
      <c r="K114" s="1"/>
      <c r="L114" s="1"/>
      <c r="M114" s="1"/>
      <c r="N114" s="4"/>
    </row>
    <row r="115" spans="1:14" s="5" customFormat="1" x14ac:dyDescent="0.25">
      <c r="A115" s="2"/>
      <c r="B115" s="6"/>
      <c r="C115" s="4"/>
      <c r="D115" s="4"/>
      <c r="E115" s="4"/>
      <c r="F115" s="40"/>
      <c r="G115" s="4"/>
      <c r="H115" s="4"/>
      <c r="I115" s="1"/>
      <c r="J115" s="1"/>
      <c r="K115" s="1"/>
      <c r="L115" s="1"/>
      <c r="M115" s="1"/>
      <c r="N115" s="4"/>
    </row>
    <row r="116" spans="1:14" s="5" customFormat="1" x14ac:dyDescent="0.25">
      <c r="A116" s="2"/>
      <c r="B116" s="6"/>
      <c r="C116" s="4"/>
      <c r="D116" s="4"/>
      <c r="E116" s="4"/>
      <c r="F116" s="40"/>
      <c r="G116" s="4"/>
      <c r="H116" s="4"/>
      <c r="I116" s="1"/>
      <c r="J116" s="1"/>
      <c r="K116" s="1"/>
      <c r="L116" s="1"/>
      <c r="M116" s="1"/>
      <c r="N116" s="4"/>
    </row>
    <row r="117" spans="1:14" s="5" customFormat="1" x14ac:dyDescent="0.25">
      <c r="A117" s="2"/>
      <c r="B117" s="6"/>
      <c r="C117" s="4"/>
      <c r="D117" s="4"/>
      <c r="E117" s="4"/>
      <c r="F117" s="40"/>
      <c r="G117" s="4"/>
      <c r="H117" s="4"/>
      <c r="I117" s="1"/>
      <c r="J117" s="1"/>
      <c r="K117" s="1"/>
      <c r="L117" s="1"/>
      <c r="M117" s="1"/>
      <c r="N117" s="4"/>
    </row>
    <row r="118" spans="1:14" s="5" customFormat="1" x14ac:dyDescent="0.25">
      <c r="A118" s="2"/>
      <c r="B118" s="6"/>
      <c r="C118" s="4"/>
      <c r="D118" s="4"/>
      <c r="E118" s="4"/>
      <c r="F118" s="40"/>
      <c r="G118" s="4"/>
      <c r="H118" s="4"/>
      <c r="I118" s="1"/>
      <c r="J118" s="1"/>
      <c r="K118" s="1"/>
      <c r="L118" s="1"/>
      <c r="M118" s="1"/>
      <c r="N118" s="4"/>
    </row>
    <row r="119" spans="1:14" s="5" customFormat="1" x14ac:dyDescent="0.25">
      <c r="A119" s="2"/>
      <c r="B119" s="6"/>
      <c r="C119" s="4"/>
      <c r="D119" s="4"/>
      <c r="E119" s="4"/>
      <c r="F119" s="40"/>
      <c r="G119" s="4"/>
      <c r="H119" s="4"/>
      <c r="I119" s="1"/>
      <c r="J119" s="1"/>
      <c r="K119" s="1"/>
      <c r="L119" s="1"/>
      <c r="M119" s="1"/>
      <c r="N119" s="4"/>
    </row>
    <row r="120" spans="1:14" s="5" customFormat="1" x14ac:dyDescent="0.25">
      <c r="A120" s="2"/>
      <c r="B120" s="6"/>
      <c r="C120" s="4"/>
      <c r="D120" s="4"/>
      <c r="E120" s="4"/>
      <c r="F120" s="40"/>
      <c r="G120" s="4"/>
      <c r="H120" s="4"/>
      <c r="I120" s="1"/>
      <c r="J120" s="1"/>
      <c r="K120" s="1"/>
      <c r="L120" s="1"/>
      <c r="M120" s="1"/>
      <c r="N120" s="4"/>
    </row>
    <row r="121" spans="1:14" s="5" customFormat="1" x14ac:dyDescent="0.25">
      <c r="A121" s="2"/>
      <c r="B121" s="6"/>
      <c r="C121" s="4"/>
      <c r="D121" s="4"/>
      <c r="E121" s="4"/>
      <c r="F121" s="40"/>
      <c r="G121" s="4"/>
      <c r="H121" s="4"/>
      <c r="I121" s="1"/>
      <c r="J121" s="1"/>
      <c r="K121" s="1"/>
      <c r="L121" s="1"/>
      <c r="M121" s="1"/>
      <c r="N121" s="4"/>
    </row>
    <row r="122" spans="1:14" s="5" customFormat="1" x14ac:dyDescent="0.25">
      <c r="A122" s="2"/>
      <c r="B122" s="6"/>
      <c r="C122" s="4"/>
      <c r="D122" s="4"/>
      <c r="E122" s="4"/>
      <c r="F122" s="40"/>
      <c r="G122" s="4"/>
      <c r="H122" s="4"/>
      <c r="I122" s="1"/>
      <c r="J122" s="1"/>
      <c r="K122" s="1"/>
      <c r="L122" s="1"/>
      <c r="M122" s="1"/>
      <c r="N122" s="4"/>
    </row>
    <row r="123" spans="1:14" s="5" customFormat="1" x14ac:dyDescent="0.25">
      <c r="A123" s="2"/>
      <c r="B123" s="6"/>
      <c r="C123" s="4"/>
      <c r="D123" s="4"/>
      <c r="E123" s="4"/>
      <c r="F123" s="40"/>
      <c r="G123" s="4"/>
      <c r="H123" s="4"/>
      <c r="I123" s="1"/>
      <c r="J123" s="1"/>
      <c r="K123" s="1"/>
      <c r="L123" s="1"/>
      <c r="M123" s="1"/>
      <c r="N123" s="4"/>
    </row>
    <row r="124" spans="1:14" s="5" customFormat="1" x14ac:dyDescent="0.25">
      <c r="A124" s="2"/>
      <c r="B124" s="6"/>
      <c r="C124" s="4"/>
      <c r="D124" s="4"/>
      <c r="E124" s="4"/>
      <c r="F124" s="40"/>
      <c r="G124" s="4"/>
      <c r="H124" s="4"/>
      <c r="I124" s="1"/>
      <c r="J124" s="1"/>
      <c r="K124" s="1"/>
      <c r="L124" s="1"/>
      <c r="M124" s="1"/>
      <c r="N124" s="4"/>
    </row>
    <row r="125" spans="1:14" s="5" customFormat="1" x14ac:dyDescent="0.25">
      <c r="A125" s="2"/>
      <c r="B125" s="6"/>
      <c r="C125" s="4"/>
      <c r="D125" s="4"/>
      <c r="E125" s="4"/>
      <c r="F125" s="40"/>
      <c r="G125" s="4"/>
      <c r="H125" s="4"/>
      <c r="I125" s="1"/>
      <c r="J125" s="1"/>
      <c r="K125" s="1"/>
      <c r="L125" s="1"/>
      <c r="M125" s="1"/>
      <c r="N125" s="4"/>
    </row>
    <row r="126" spans="1:14" s="5" customFormat="1" x14ac:dyDescent="0.25">
      <c r="A126" s="2"/>
      <c r="B126" s="6"/>
      <c r="C126" s="4"/>
      <c r="D126" s="4"/>
      <c r="E126" s="4"/>
      <c r="F126" s="40"/>
      <c r="G126" s="4"/>
      <c r="H126" s="4"/>
      <c r="I126" s="1"/>
      <c r="J126" s="1"/>
      <c r="K126" s="1"/>
      <c r="L126" s="1"/>
      <c r="M126" s="1"/>
      <c r="N126" s="4"/>
    </row>
    <row r="127" spans="1:14" s="5" customFormat="1" x14ac:dyDescent="0.25">
      <c r="A127" s="2"/>
      <c r="B127" s="6"/>
      <c r="C127" s="4"/>
      <c r="D127" s="4"/>
      <c r="E127" s="4"/>
      <c r="F127" s="40"/>
      <c r="G127" s="4"/>
      <c r="H127" s="4"/>
      <c r="I127" s="1"/>
      <c r="J127" s="1"/>
      <c r="K127" s="1"/>
      <c r="L127" s="1"/>
      <c r="M127" s="1"/>
      <c r="N127" s="4"/>
    </row>
    <row r="128" spans="1:14" s="5" customFormat="1" x14ac:dyDescent="0.25">
      <c r="A128" s="2"/>
      <c r="B128" s="6"/>
      <c r="C128" s="4"/>
      <c r="D128" s="4"/>
      <c r="E128" s="4"/>
      <c r="F128" s="40"/>
      <c r="G128" s="4"/>
      <c r="H128" s="4"/>
      <c r="I128" s="1"/>
      <c r="J128" s="1"/>
      <c r="K128" s="1"/>
      <c r="L128" s="1"/>
      <c r="M128" s="1"/>
      <c r="N128" s="4"/>
    </row>
    <row r="129" spans="1:14" s="5" customFormat="1" x14ac:dyDescent="0.25">
      <c r="A129" s="2"/>
      <c r="B129" s="6"/>
      <c r="C129" s="4"/>
      <c r="D129" s="4"/>
      <c r="E129" s="4"/>
      <c r="F129" s="40"/>
      <c r="G129" s="4"/>
      <c r="H129" s="4"/>
      <c r="I129" s="1"/>
      <c r="J129" s="1"/>
      <c r="K129" s="1"/>
      <c r="L129" s="1"/>
      <c r="M129" s="1"/>
      <c r="N129" s="4"/>
    </row>
    <row r="130" spans="1:14" s="5" customFormat="1" x14ac:dyDescent="0.25">
      <c r="A130" s="2"/>
      <c r="B130" s="6"/>
      <c r="C130" s="4"/>
      <c r="D130" s="4"/>
      <c r="E130" s="4"/>
      <c r="F130" s="40"/>
      <c r="G130" s="4"/>
      <c r="H130" s="4"/>
      <c r="I130" s="1"/>
      <c r="J130" s="1"/>
      <c r="K130" s="1"/>
      <c r="L130" s="1"/>
      <c r="M130" s="1"/>
      <c r="N130" s="4"/>
    </row>
    <row r="131" spans="1:14" s="5" customFormat="1" x14ac:dyDescent="0.25">
      <c r="A131" s="2"/>
      <c r="B131" s="6"/>
      <c r="C131" s="4"/>
      <c r="D131" s="4"/>
      <c r="E131" s="4"/>
      <c r="F131" s="40"/>
      <c r="G131" s="4"/>
      <c r="H131" s="4"/>
      <c r="I131" s="1"/>
      <c r="J131" s="1"/>
      <c r="K131" s="1"/>
      <c r="L131" s="1"/>
      <c r="M131" s="1"/>
      <c r="N131" s="4"/>
    </row>
    <row r="132" spans="1:14" s="5" customFormat="1" x14ac:dyDescent="0.25">
      <c r="A132" s="2"/>
      <c r="B132" s="6"/>
      <c r="C132" s="4"/>
      <c r="D132" s="4"/>
      <c r="E132" s="4"/>
      <c r="F132" s="40"/>
      <c r="G132" s="4"/>
      <c r="H132" s="4"/>
      <c r="I132" s="1"/>
      <c r="J132" s="1"/>
      <c r="K132" s="1"/>
      <c r="L132" s="1"/>
      <c r="M132" s="1"/>
      <c r="N132" s="4"/>
    </row>
    <row r="133" spans="1:14" s="5" customFormat="1" x14ac:dyDescent="0.25">
      <c r="A133" s="2"/>
      <c r="B133" s="6"/>
      <c r="C133" s="4"/>
      <c r="D133" s="4"/>
      <c r="E133" s="4"/>
      <c r="F133" s="40"/>
      <c r="G133" s="4"/>
      <c r="H133" s="4"/>
      <c r="I133" s="1"/>
      <c r="J133" s="1"/>
      <c r="K133" s="1"/>
      <c r="L133" s="1"/>
      <c r="M133" s="1"/>
      <c r="N133" s="4"/>
    </row>
    <row r="134" spans="1:14" s="5" customFormat="1" x14ac:dyDescent="0.25">
      <c r="A134" s="2"/>
      <c r="B134" s="6"/>
      <c r="C134" s="4"/>
      <c r="D134" s="4"/>
      <c r="E134" s="4"/>
      <c r="F134" s="40"/>
      <c r="G134" s="4"/>
      <c r="H134" s="4"/>
      <c r="I134" s="1"/>
      <c r="J134" s="1"/>
      <c r="K134" s="1"/>
      <c r="L134" s="1"/>
      <c r="M134" s="1"/>
      <c r="N134" s="4"/>
    </row>
    <row r="135" spans="1:14" s="5" customFormat="1" x14ac:dyDescent="0.25">
      <c r="A135" s="2"/>
      <c r="B135" s="6"/>
      <c r="C135" s="4"/>
      <c r="D135" s="4"/>
      <c r="E135" s="4"/>
      <c r="F135" s="40"/>
      <c r="G135" s="4"/>
      <c r="H135" s="4"/>
      <c r="I135" s="1"/>
      <c r="J135" s="1"/>
      <c r="K135" s="1"/>
      <c r="L135" s="1"/>
      <c r="M135" s="1"/>
      <c r="N135" s="4"/>
    </row>
    <row r="136" spans="1:14" s="5" customFormat="1" x14ac:dyDescent="0.25">
      <c r="A136" s="2"/>
      <c r="B136" s="6"/>
      <c r="C136" s="4"/>
      <c r="D136" s="4"/>
      <c r="E136" s="4"/>
      <c r="F136" s="40"/>
      <c r="G136" s="4"/>
      <c r="H136" s="4"/>
      <c r="I136" s="1"/>
      <c r="J136" s="1"/>
      <c r="K136" s="1"/>
      <c r="L136" s="1"/>
      <c r="M136" s="1"/>
      <c r="N136" s="4"/>
    </row>
    <row r="137" spans="1:14" s="5" customFormat="1" x14ac:dyDescent="0.25">
      <c r="A137" s="2"/>
      <c r="B137" s="6"/>
      <c r="C137" s="4"/>
      <c r="D137" s="4"/>
      <c r="E137" s="4"/>
      <c r="F137" s="40"/>
      <c r="G137" s="4"/>
      <c r="H137" s="4"/>
      <c r="I137" s="1"/>
      <c r="J137" s="1"/>
      <c r="K137" s="1"/>
      <c r="L137" s="1"/>
      <c r="M137" s="1"/>
      <c r="N137" s="4"/>
    </row>
    <row r="138" spans="1:14" s="5" customFormat="1" x14ac:dyDescent="0.25">
      <c r="A138" s="2"/>
      <c r="B138" s="6"/>
      <c r="C138" s="4"/>
      <c r="D138" s="4"/>
      <c r="E138" s="4"/>
      <c r="F138" s="40"/>
      <c r="G138" s="4"/>
      <c r="H138" s="4"/>
      <c r="I138" s="1"/>
      <c r="J138" s="1"/>
      <c r="K138" s="1"/>
      <c r="L138" s="1"/>
      <c r="M138" s="1"/>
      <c r="N138" s="4"/>
    </row>
    <row r="139" spans="1:14" s="5" customFormat="1" x14ac:dyDescent="0.25">
      <c r="A139" s="2"/>
      <c r="B139" s="6"/>
      <c r="C139" s="4"/>
      <c r="D139" s="4"/>
      <c r="E139" s="4"/>
      <c r="F139" s="40"/>
      <c r="G139" s="4"/>
      <c r="H139" s="4"/>
      <c r="I139" s="1"/>
      <c r="J139" s="1"/>
      <c r="K139" s="1"/>
      <c r="L139" s="1"/>
      <c r="M139" s="1"/>
      <c r="N139" s="4"/>
    </row>
    <row r="140" spans="1:14" s="5" customFormat="1" x14ac:dyDescent="0.25">
      <c r="A140" s="2"/>
      <c r="B140" s="6"/>
      <c r="C140" s="4"/>
      <c r="D140" s="4"/>
      <c r="E140" s="4"/>
      <c r="F140" s="40"/>
      <c r="G140" s="4"/>
      <c r="H140" s="4"/>
      <c r="I140" s="1"/>
      <c r="J140" s="1"/>
      <c r="K140" s="1"/>
      <c r="L140" s="1"/>
      <c r="M140" s="1"/>
      <c r="N140" s="4"/>
    </row>
    <row r="141" spans="1:14" s="5" customFormat="1" x14ac:dyDescent="0.25">
      <c r="A141" s="2"/>
      <c r="B141" s="6"/>
      <c r="C141" s="4"/>
      <c r="D141" s="4"/>
      <c r="E141" s="4"/>
      <c r="F141" s="40"/>
      <c r="G141" s="4"/>
      <c r="H141" s="4"/>
      <c r="I141" s="1"/>
      <c r="J141" s="1"/>
      <c r="K141" s="1"/>
      <c r="L141" s="1"/>
      <c r="M141" s="1"/>
      <c r="N141" s="4"/>
    </row>
    <row r="142" spans="1:14" s="5" customFormat="1" x14ac:dyDescent="0.25">
      <c r="A142" s="2"/>
      <c r="B142" s="6"/>
      <c r="C142" s="4"/>
      <c r="D142" s="4"/>
      <c r="E142" s="4"/>
      <c r="F142" s="40"/>
      <c r="G142" s="4"/>
      <c r="H142" s="4"/>
      <c r="I142" s="1"/>
      <c r="J142" s="1"/>
      <c r="K142" s="1"/>
      <c r="L142" s="1"/>
      <c r="M142" s="1"/>
      <c r="N142" s="4"/>
    </row>
    <row r="143" spans="1:14" s="5" customFormat="1" x14ac:dyDescent="0.25">
      <c r="A143" s="2"/>
      <c r="B143" s="6"/>
      <c r="C143" s="4"/>
      <c r="D143" s="4"/>
      <c r="E143" s="4"/>
      <c r="F143" s="40"/>
      <c r="G143" s="4"/>
      <c r="H143" s="4"/>
      <c r="I143" s="1"/>
      <c r="J143" s="1"/>
      <c r="K143" s="1"/>
      <c r="L143" s="1"/>
      <c r="M143" s="1"/>
      <c r="N143" s="4"/>
    </row>
    <row r="144" spans="1:14" s="5" customFormat="1" x14ac:dyDescent="0.25">
      <c r="A144" s="2"/>
      <c r="B144" s="6"/>
      <c r="C144" s="4"/>
      <c r="D144" s="4"/>
      <c r="E144" s="4"/>
      <c r="F144" s="40"/>
      <c r="G144" s="4"/>
      <c r="H144" s="4"/>
      <c r="I144" s="1"/>
      <c r="J144" s="1"/>
      <c r="K144" s="1"/>
      <c r="L144" s="1"/>
      <c r="M144" s="1"/>
      <c r="N144" s="4"/>
    </row>
    <row r="145" spans="1:14" s="5" customFormat="1" x14ac:dyDescent="0.25">
      <c r="A145" s="2"/>
      <c r="B145" s="6"/>
      <c r="C145" s="4"/>
      <c r="D145" s="4"/>
      <c r="E145" s="4"/>
      <c r="F145" s="40"/>
      <c r="G145" s="4"/>
      <c r="H145" s="4"/>
      <c r="I145" s="1"/>
      <c r="J145" s="1"/>
      <c r="K145" s="1"/>
      <c r="L145" s="1"/>
      <c r="M145" s="1"/>
      <c r="N145" s="4"/>
    </row>
    <row r="146" spans="1:14" s="5" customFormat="1" x14ac:dyDescent="0.25">
      <c r="A146" s="2"/>
      <c r="B146" s="6"/>
      <c r="C146" s="4"/>
      <c r="D146" s="4"/>
      <c r="E146" s="4"/>
      <c r="F146" s="40"/>
      <c r="G146" s="4"/>
      <c r="H146" s="4"/>
      <c r="I146" s="1"/>
      <c r="J146" s="1"/>
      <c r="K146" s="1"/>
      <c r="L146" s="1"/>
      <c r="M146" s="1"/>
      <c r="N146" s="4"/>
    </row>
    <row r="147" spans="1:14" s="5" customFormat="1" x14ac:dyDescent="0.25">
      <c r="A147" s="2"/>
      <c r="B147" s="6"/>
      <c r="C147" s="4"/>
      <c r="D147" s="4"/>
      <c r="E147" s="4"/>
      <c r="F147" s="40"/>
      <c r="G147" s="4"/>
      <c r="H147" s="4"/>
      <c r="I147" s="1"/>
      <c r="J147" s="1"/>
      <c r="K147" s="1"/>
      <c r="L147" s="1"/>
      <c r="M147" s="1"/>
      <c r="N147" s="4"/>
    </row>
    <row r="148" spans="1:14" s="5" customFormat="1" x14ac:dyDescent="0.25">
      <c r="A148" s="2"/>
      <c r="B148" s="6"/>
      <c r="C148" s="4"/>
      <c r="D148" s="4"/>
      <c r="E148" s="4"/>
      <c r="F148" s="40"/>
      <c r="G148" s="4"/>
      <c r="H148" s="4"/>
      <c r="I148" s="1"/>
      <c r="J148" s="1"/>
      <c r="K148" s="1"/>
      <c r="L148" s="1"/>
      <c r="M148" s="1"/>
      <c r="N148" s="4"/>
    </row>
    <row r="149" spans="1:14" s="5" customFormat="1" x14ac:dyDescent="0.25">
      <c r="A149" s="2"/>
      <c r="B149" s="6"/>
      <c r="C149" s="4"/>
      <c r="D149" s="4"/>
      <c r="E149" s="4"/>
      <c r="F149" s="40"/>
      <c r="G149" s="4"/>
      <c r="H149" s="4"/>
      <c r="I149" s="1"/>
      <c r="J149" s="1"/>
      <c r="K149" s="1"/>
      <c r="L149" s="1"/>
      <c r="M149" s="1"/>
      <c r="N149" s="4"/>
    </row>
    <row r="150" spans="1:14" s="5" customFormat="1" x14ac:dyDescent="0.25">
      <c r="A150" s="2"/>
      <c r="B150" s="6"/>
      <c r="C150" s="4"/>
      <c r="D150" s="4"/>
      <c r="E150" s="4"/>
      <c r="F150" s="40"/>
      <c r="G150" s="4"/>
      <c r="H150" s="4"/>
      <c r="I150" s="1"/>
      <c r="J150" s="1"/>
      <c r="K150" s="1"/>
      <c r="L150" s="1"/>
      <c r="M150" s="1"/>
      <c r="N150" s="4"/>
    </row>
    <row r="151" spans="1:14" s="5" customFormat="1" x14ac:dyDescent="0.25">
      <c r="A151" s="2"/>
      <c r="B151" s="6"/>
      <c r="C151" s="4"/>
      <c r="D151" s="4"/>
      <c r="E151" s="4"/>
      <c r="F151" s="40"/>
      <c r="G151" s="4"/>
      <c r="H151" s="4"/>
      <c r="I151" s="1"/>
      <c r="J151" s="1"/>
      <c r="K151" s="1"/>
      <c r="L151" s="1"/>
      <c r="M151" s="1"/>
      <c r="N151" s="4"/>
    </row>
    <row r="152" spans="1:14" s="5" customFormat="1" x14ac:dyDescent="0.25">
      <c r="A152" s="2"/>
      <c r="B152" s="6"/>
      <c r="C152" s="4"/>
      <c r="D152" s="4"/>
      <c r="E152" s="4"/>
      <c r="F152" s="40"/>
      <c r="G152" s="4"/>
      <c r="H152" s="4"/>
      <c r="I152" s="1"/>
      <c r="J152" s="1"/>
      <c r="K152" s="1"/>
      <c r="L152" s="1"/>
      <c r="M152" s="1"/>
      <c r="N152" s="4"/>
    </row>
    <row r="153" spans="1:14" s="5" customFormat="1" x14ac:dyDescent="0.25">
      <c r="A153" s="2"/>
      <c r="B153" s="6"/>
      <c r="C153" s="4"/>
      <c r="D153" s="4"/>
      <c r="E153" s="4"/>
      <c r="F153" s="40"/>
      <c r="G153" s="4"/>
      <c r="H153" s="4"/>
      <c r="I153" s="1"/>
      <c r="J153" s="1"/>
      <c r="K153" s="1"/>
      <c r="L153" s="1"/>
      <c r="M153" s="1"/>
      <c r="N153" s="4"/>
    </row>
    <row r="154" spans="1:14" s="5" customFormat="1" x14ac:dyDescent="0.25">
      <c r="A154" s="2"/>
      <c r="B154" s="6"/>
      <c r="C154" s="4"/>
      <c r="D154" s="4"/>
      <c r="E154" s="4"/>
      <c r="F154" s="40"/>
      <c r="G154" s="4"/>
      <c r="H154" s="4"/>
      <c r="I154" s="1"/>
      <c r="J154" s="1"/>
      <c r="K154" s="1"/>
      <c r="L154" s="1"/>
      <c r="M154" s="1"/>
      <c r="N154" s="4"/>
    </row>
    <row r="155" spans="1:14" s="5" customFormat="1" x14ac:dyDescent="0.25">
      <c r="A155" s="2"/>
      <c r="B155" s="6"/>
      <c r="C155" s="4"/>
      <c r="D155" s="4"/>
      <c r="E155" s="4"/>
      <c r="F155" s="40"/>
      <c r="G155" s="4"/>
      <c r="H155" s="4"/>
      <c r="I155" s="1"/>
      <c r="J155" s="1"/>
      <c r="K155" s="1"/>
      <c r="L155" s="1"/>
      <c r="M155" s="1"/>
      <c r="N155" s="4"/>
    </row>
    <row r="156" spans="1:14" s="5" customFormat="1" x14ac:dyDescent="0.25">
      <c r="A156" s="2"/>
      <c r="B156" s="6"/>
      <c r="C156" s="4"/>
      <c r="D156" s="4"/>
      <c r="E156" s="4"/>
      <c r="F156" s="40"/>
      <c r="G156" s="4"/>
      <c r="H156" s="4"/>
      <c r="I156" s="1"/>
      <c r="J156" s="1"/>
      <c r="K156" s="1"/>
      <c r="L156" s="1"/>
      <c r="M156" s="1"/>
      <c r="N156" s="4"/>
    </row>
    <row r="157" spans="1:14" s="5" customFormat="1" x14ac:dyDescent="0.25">
      <c r="A157" s="2"/>
      <c r="B157" s="6"/>
      <c r="C157" s="4"/>
      <c r="D157" s="4"/>
      <c r="E157" s="4"/>
      <c r="F157" s="40"/>
      <c r="G157" s="4"/>
      <c r="H157" s="4"/>
      <c r="I157" s="1"/>
      <c r="J157" s="1"/>
      <c r="K157" s="1"/>
      <c r="L157" s="1"/>
      <c r="M157" s="1"/>
      <c r="N157" s="4"/>
    </row>
    <row r="158" spans="1:14" s="5" customFormat="1" x14ac:dyDescent="0.25">
      <c r="A158" s="2"/>
      <c r="B158" s="6"/>
      <c r="C158" s="4"/>
      <c r="D158" s="4"/>
      <c r="E158" s="4"/>
      <c r="F158" s="40"/>
      <c r="G158" s="4"/>
      <c r="H158" s="4"/>
      <c r="I158" s="1"/>
      <c r="J158" s="1"/>
      <c r="K158" s="1"/>
      <c r="L158" s="1"/>
      <c r="M158" s="1"/>
      <c r="N158" s="4"/>
    </row>
    <row r="159" spans="1:14" s="5" customFormat="1" x14ac:dyDescent="0.25">
      <c r="A159" s="2"/>
      <c r="B159" s="6"/>
      <c r="C159" s="4"/>
      <c r="D159" s="4"/>
      <c r="E159" s="4"/>
      <c r="F159" s="40"/>
      <c r="G159" s="4"/>
      <c r="H159" s="4"/>
      <c r="I159" s="1"/>
      <c r="J159" s="1"/>
      <c r="K159" s="1"/>
      <c r="L159" s="1"/>
      <c r="M159" s="1"/>
      <c r="N159" s="4"/>
    </row>
    <row r="160" spans="1:14" s="5" customFormat="1" x14ac:dyDescent="0.25">
      <c r="A160" s="2"/>
      <c r="B160" s="6"/>
      <c r="C160" s="4"/>
      <c r="D160" s="4"/>
      <c r="E160" s="4"/>
      <c r="F160" s="40"/>
      <c r="G160" s="4"/>
      <c r="H160" s="4"/>
      <c r="I160" s="1"/>
      <c r="J160" s="1"/>
      <c r="K160" s="1"/>
      <c r="L160" s="1"/>
      <c r="M160" s="1"/>
      <c r="N160" s="4"/>
    </row>
    <row r="161" spans="1:14" s="5" customFormat="1" x14ac:dyDescent="0.25">
      <c r="A161" s="2"/>
      <c r="B161" s="6"/>
      <c r="C161" s="4"/>
      <c r="D161" s="4"/>
      <c r="E161" s="4"/>
      <c r="F161" s="40"/>
      <c r="G161" s="4"/>
      <c r="H161" s="4"/>
      <c r="I161" s="1"/>
      <c r="J161" s="1"/>
      <c r="K161" s="1"/>
      <c r="L161" s="1"/>
      <c r="M161" s="1"/>
      <c r="N161" s="4"/>
    </row>
    <row r="162" spans="1:14" s="5" customFormat="1" x14ac:dyDescent="0.25">
      <c r="A162" s="2"/>
      <c r="B162" s="6"/>
      <c r="C162" s="4"/>
      <c r="D162" s="4"/>
      <c r="E162" s="4"/>
      <c r="F162" s="40"/>
      <c r="G162" s="4"/>
      <c r="H162" s="4"/>
      <c r="I162" s="1"/>
      <c r="J162" s="1"/>
      <c r="K162" s="1"/>
      <c r="L162" s="1"/>
      <c r="M162" s="1"/>
      <c r="N162" s="4"/>
    </row>
  </sheetData>
  <hyperlinks>
    <hyperlink ref="F7" location="'FR A0700'!A1" display="'FR A0700'!A1"/>
    <hyperlink ref="F8" location="FR_0700_000!A1" display="FR_0700_000!A1"/>
    <hyperlink ref="F9" location="FR_0700_001!A1" display="FR_0700_001!A1"/>
    <hyperlink ref="F10" location="FR_0700_002!A1" display="FR_0700_002!A1"/>
    <hyperlink ref="F11" location="FR_0700_003!A1" display="FR_0700_003!A1"/>
    <hyperlink ref="F12" location="FR_0700_004!A1" display="FR_0700_004!A1"/>
    <hyperlink ref="F13" location="FR_0700_005!A1" display="FR_0700_005!A1"/>
    <hyperlink ref="F14" location="FR_0700_006!A1" display="FR_0700_006!A1"/>
    <hyperlink ref="F15" location="FR_0700_007!A1" display="FR_0700_007!A1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O46"/>
  <sheetViews>
    <sheetView tabSelected="1" zoomScale="75" zoomScaleNormal="75" zoomScaleSheetLayoutView="80" workbookViewId="0">
      <selection activeCell="H13" sqref="H13"/>
    </sheetView>
  </sheetViews>
  <sheetFormatPr baseColWidth="10" defaultColWidth="9.109375" defaultRowHeight="14.4" x14ac:dyDescent="0.3"/>
  <cols>
    <col min="1" max="1" width="11.44140625"/>
    <col min="2" max="2" width="37.88671875" customWidth="1"/>
    <col min="3" max="3" width="55.44140625" customWidth="1"/>
    <col min="4" max="4" width="11.44140625"/>
    <col min="5" max="5" width="13.109375"/>
    <col min="6" max="7" width="11.44140625"/>
    <col min="8" max="8" width="15.6640625"/>
    <col min="9" max="9" width="15.44140625"/>
    <col min="10" max="12" width="11.44140625"/>
    <col min="13" max="13" width="15.33203125"/>
    <col min="14" max="14" width="11.44140625"/>
    <col min="15" max="15" width="5.33203125" customWidth="1"/>
    <col min="16" max="1025" width="11.4414062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91" t="s">
        <v>0</v>
      </c>
      <c r="B2" s="11" t="s">
        <v>44</v>
      </c>
      <c r="C2" s="54"/>
      <c r="D2" s="54"/>
      <c r="E2" s="54" t="s">
        <v>134</v>
      </c>
      <c r="F2" s="54"/>
      <c r="G2" s="54"/>
      <c r="H2" s="54"/>
      <c r="I2" s="54"/>
      <c r="J2" s="91" t="s">
        <v>1</v>
      </c>
      <c r="K2" s="76">
        <v>81</v>
      </c>
      <c r="L2" s="54"/>
      <c r="M2" s="91" t="s">
        <v>2</v>
      </c>
      <c r="N2" s="89">
        <f>FR_A0700_pa+FR_A0700_m+FR_A0700_p+FR_A0700_f+FR_A0700_t</f>
        <v>45.075431782420516</v>
      </c>
      <c r="O2" s="60"/>
    </row>
    <row r="3" spans="1:15" x14ac:dyDescent="0.3">
      <c r="A3" s="91" t="s">
        <v>3</v>
      </c>
      <c r="B3" s="11" t="s">
        <v>137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91" t="s">
        <v>4</v>
      </c>
      <c r="N3" s="75">
        <v>1</v>
      </c>
      <c r="O3" s="60"/>
    </row>
    <row r="4" spans="1:15" x14ac:dyDescent="0.3">
      <c r="A4" s="91" t="s">
        <v>5</v>
      </c>
      <c r="B4" s="55" t="s">
        <v>180</v>
      </c>
      <c r="C4" s="54"/>
      <c r="D4" s="54"/>
      <c r="E4" s="54"/>
      <c r="F4" s="54"/>
      <c r="G4" s="54"/>
      <c r="H4" s="54"/>
      <c r="I4" s="54"/>
      <c r="J4" s="94" t="s">
        <v>6</v>
      </c>
      <c r="K4" s="54"/>
      <c r="L4" s="54"/>
      <c r="M4" s="54"/>
      <c r="N4" s="54"/>
      <c r="O4" s="60"/>
    </row>
    <row r="5" spans="1:15" x14ac:dyDescent="0.3">
      <c r="A5" s="91" t="s">
        <v>7</v>
      </c>
      <c r="B5" s="13" t="s">
        <v>179</v>
      </c>
      <c r="C5" s="54"/>
      <c r="D5" s="54"/>
      <c r="E5" s="54"/>
      <c r="F5" s="54"/>
      <c r="G5" s="54"/>
      <c r="H5" s="54"/>
      <c r="I5" s="54"/>
      <c r="J5" s="94" t="s">
        <v>8</v>
      </c>
      <c r="K5" s="54"/>
      <c r="L5" s="54"/>
      <c r="M5" s="91" t="s">
        <v>9</v>
      </c>
      <c r="N5" s="72">
        <f>N2*N3</f>
        <v>45.075431782420516</v>
      </c>
      <c r="O5" s="60"/>
    </row>
    <row r="6" spans="1:15" x14ac:dyDescent="0.3">
      <c r="A6" s="91" t="s">
        <v>10</v>
      </c>
      <c r="B6" s="11" t="s">
        <v>11</v>
      </c>
      <c r="C6" s="54"/>
      <c r="D6" s="54"/>
      <c r="E6" s="54"/>
      <c r="F6" s="54"/>
      <c r="G6" s="54"/>
      <c r="H6" s="54"/>
      <c r="I6" s="54"/>
      <c r="J6" s="94" t="s">
        <v>12</v>
      </c>
      <c r="K6" s="54"/>
      <c r="L6" s="54"/>
      <c r="M6" s="54"/>
      <c r="N6" s="54"/>
      <c r="O6" s="60"/>
    </row>
    <row r="7" spans="1:15" x14ac:dyDescent="0.3">
      <c r="A7" s="91" t="s">
        <v>13</v>
      </c>
      <c r="B7" s="11" t="s">
        <v>181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61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130" t="s">
        <v>14</v>
      </c>
      <c r="B9" s="130" t="s">
        <v>15</v>
      </c>
      <c r="C9" s="91" t="s">
        <v>16</v>
      </c>
      <c r="D9" s="91" t="s">
        <v>17</v>
      </c>
      <c r="E9" s="91" t="s">
        <v>18</v>
      </c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60">
        <v>10</v>
      </c>
      <c r="B10" s="188" t="s">
        <v>182</v>
      </c>
      <c r="C10" s="189">
        <f>FR_0700_000!N2</f>
        <v>3.10793344</v>
      </c>
      <c r="D10" s="159">
        <f>FR_0700_000_q</f>
        <v>1</v>
      </c>
      <c r="E10" s="72">
        <f>C10*D10</f>
        <v>3.10793344</v>
      </c>
      <c r="F10" s="54" t="s">
        <v>214</v>
      </c>
      <c r="G10" s="54"/>
      <c r="H10" s="54"/>
      <c r="I10" s="54"/>
      <c r="J10" s="54"/>
      <c r="K10" s="54"/>
      <c r="L10" s="54"/>
      <c r="M10" s="54"/>
      <c r="N10" s="54"/>
      <c r="O10" s="60"/>
    </row>
    <row r="11" spans="1:15" x14ac:dyDescent="0.3">
      <c r="A11" s="182">
        <v>20</v>
      </c>
      <c r="B11" s="193" t="s">
        <v>185</v>
      </c>
      <c r="C11" s="183">
        <f>FR_0700_001!N2</f>
        <v>5.6870399999999997</v>
      </c>
      <c r="D11" s="129">
        <f>FR_0700_001_q</f>
        <v>1</v>
      </c>
      <c r="E11" s="72">
        <f t="shared" ref="E11:E17" si="0">C11*D11</f>
        <v>5.6870399999999997</v>
      </c>
      <c r="F11" s="55" t="s">
        <v>214</v>
      </c>
      <c r="G11" s="55"/>
      <c r="H11" s="55"/>
      <c r="I11" s="55"/>
      <c r="J11" s="55"/>
      <c r="K11" s="55"/>
      <c r="L11" s="55"/>
      <c r="M11" s="55"/>
      <c r="N11" s="55"/>
      <c r="O11" s="60"/>
    </row>
    <row r="12" spans="1:15" x14ac:dyDescent="0.3">
      <c r="A12" s="182">
        <v>30</v>
      </c>
      <c r="B12" s="193" t="s">
        <v>184</v>
      </c>
      <c r="C12" s="183">
        <f>FR_0700_002!N2</f>
        <v>4.8410399999999996</v>
      </c>
      <c r="D12" s="129">
        <f>FR_0700_002_q</f>
        <v>1</v>
      </c>
      <c r="E12" s="72">
        <f t="shared" si="0"/>
        <v>4.8410399999999996</v>
      </c>
      <c r="F12" s="55" t="s">
        <v>214</v>
      </c>
      <c r="G12" s="55"/>
      <c r="H12" s="55"/>
      <c r="I12" s="55"/>
      <c r="J12" s="55"/>
      <c r="K12" s="55"/>
      <c r="L12" s="55"/>
      <c r="M12" s="55"/>
      <c r="N12" s="55"/>
      <c r="O12" s="63"/>
    </row>
    <row r="13" spans="1:15" x14ac:dyDescent="0.3">
      <c r="A13" s="190">
        <v>40</v>
      </c>
      <c r="B13" s="191" t="s">
        <v>200</v>
      </c>
      <c r="C13" s="192">
        <f>FR_0700_003!N2</f>
        <v>2.1023579199999998</v>
      </c>
      <c r="D13" s="71">
        <f>FR_0700_003_q</f>
        <v>2</v>
      </c>
      <c r="E13" s="72">
        <f t="shared" si="0"/>
        <v>4.2047158399999995</v>
      </c>
      <c r="F13" s="55" t="s">
        <v>214</v>
      </c>
      <c r="G13" s="55"/>
      <c r="H13" s="55"/>
      <c r="I13" s="55"/>
      <c r="J13" s="55"/>
      <c r="K13" s="55"/>
      <c r="L13" s="55"/>
      <c r="M13" s="55"/>
      <c r="N13" s="55"/>
      <c r="O13" s="63"/>
    </row>
    <row r="14" spans="1:15" x14ac:dyDescent="0.3">
      <c r="A14" s="14">
        <v>50</v>
      </c>
      <c r="B14" s="157" t="s">
        <v>201</v>
      </c>
      <c r="C14" s="128">
        <f>FR_0700_004!N2</f>
        <v>2.0173139839999998</v>
      </c>
      <c r="D14" s="71">
        <f>FR_0700_004_q</f>
        <v>2</v>
      </c>
      <c r="E14" s="72">
        <f t="shared" si="0"/>
        <v>4.0346279679999997</v>
      </c>
      <c r="F14" s="55" t="s">
        <v>214</v>
      </c>
      <c r="G14" s="55"/>
      <c r="H14" s="55"/>
      <c r="I14" s="55"/>
      <c r="J14" s="55"/>
      <c r="K14" s="55"/>
      <c r="L14" s="55"/>
      <c r="M14" s="55"/>
      <c r="N14" s="55"/>
      <c r="O14" s="63"/>
    </row>
    <row r="15" spans="1:15" x14ac:dyDescent="0.3">
      <c r="A15" s="14">
        <v>60</v>
      </c>
      <c r="B15" s="157" t="s">
        <v>183</v>
      </c>
      <c r="C15" s="128">
        <f>FR_0700_005!N2</f>
        <v>1.0759419618832944</v>
      </c>
      <c r="D15" s="71">
        <f>FR_0700_005_q</f>
        <v>2</v>
      </c>
      <c r="E15" s="72">
        <f t="shared" si="0"/>
        <v>2.1518839237665888</v>
      </c>
      <c r="F15" s="55"/>
      <c r="G15" s="55"/>
      <c r="H15" s="55"/>
      <c r="I15" s="55"/>
      <c r="J15" s="55"/>
      <c r="K15" s="55"/>
      <c r="L15" s="55"/>
      <c r="M15" s="55"/>
      <c r="N15" s="55"/>
      <c r="O15" s="63"/>
    </row>
    <row r="16" spans="1:15" x14ac:dyDescent="0.3">
      <c r="A16" s="14">
        <v>70</v>
      </c>
      <c r="B16" s="157" t="s">
        <v>186</v>
      </c>
      <c r="C16" s="128">
        <f>FR_0700_006!N2</f>
        <v>1.0788162660645444</v>
      </c>
      <c r="D16" s="71">
        <f>FR_0700_006_q</f>
        <v>2</v>
      </c>
      <c r="E16" s="72">
        <f t="shared" si="0"/>
        <v>2.1576325321290888</v>
      </c>
      <c r="F16" s="55"/>
      <c r="G16" s="55"/>
      <c r="H16" s="55"/>
      <c r="I16" s="55"/>
      <c r="J16" s="55"/>
      <c r="K16" s="55"/>
      <c r="L16" s="55"/>
      <c r="M16" s="55"/>
      <c r="N16" s="55"/>
      <c r="O16" s="63"/>
    </row>
    <row r="17" spans="1:15" x14ac:dyDescent="0.3">
      <c r="A17" s="14">
        <v>80</v>
      </c>
      <c r="B17" s="157" t="s">
        <v>203</v>
      </c>
      <c r="C17" s="128">
        <f>FR_0700_007!N2</f>
        <v>0.73773216315204448</v>
      </c>
      <c r="D17" s="71">
        <f>FR_0700_007_q</f>
        <v>4</v>
      </c>
      <c r="E17" s="72">
        <f t="shared" si="0"/>
        <v>2.9509286526081779</v>
      </c>
      <c r="F17" s="55"/>
      <c r="G17" s="55"/>
      <c r="H17" s="55"/>
      <c r="I17" s="55"/>
      <c r="J17" s="55"/>
      <c r="K17" s="55"/>
      <c r="L17" s="55"/>
      <c r="M17" s="55"/>
      <c r="N17" s="55"/>
      <c r="O17" s="63"/>
    </row>
    <row r="18" spans="1:15" ht="15" thickBot="1" x14ac:dyDescent="0.35">
      <c r="A18" s="61"/>
      <c r="B18" s="131"/>
      <c r="C18" s="54"/>
      <c r="D18" s="92" t="s">
        <v>18</v>
      </c>
      <c r="E18" s="93">
        <f>SUM(E10:E17)</f>
        <v>29.135802356503852</v>
      </c>
      <c r="F18" s="55"/>
      <c r="G18" s="55"/>
      <c r="H18" s="55"/>
      <c r="I18" s="55"/>
      <c r="J18" s="55"/>
      <c r="K18" s="55"/>
      <c r="L18" s="55"/>
      <c r="M18" s="55"/>
      <c r="N18" s="55"/>
      <c r="O18" s="60"/>
    </row>
    <row r="19" spans="1:15" x14ac:dyDescent="0.3">
      <c r="A19" s="61"/>
      <c r="B19" s="133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60"/>
    </row>
    <row r="20" spans="1:15" x14ac:dyDescent="0.3">
      <c r="A20" s="134" t="s">
        <v>14</v>
      </c>
      <c r="B20" s="134" t="s">
        <v>19</v>
      </c>
      <c r="C20" s="134" t="s">
        <v>20</v>
      </c>
      <c r="D20" s="132" t="s">
        <v>21</v>
      </c>
      <c r="E20" s="91" t="s">
        <v>22</v>
      </c>
      <c r="F20" s="91" t="s">
        <v>23</v>
      </c>
      <c r="G20" s="91" t="s">
        <v>24</v>
      </c>
      <c r="H20" s="91" t="s">
        <v>25</v>
      </c>
      <c r="I20" s="91" t="s">
        <v>26</v>
      </c>
      <c r="J20" s="91" t="s">
        <v>27</v>
      </c>
      <c r="K20" s="91" t="s">
        <v>28</v>
      </c>
      <c r="L20" s="91" t="s">
        <v>29</v>
      </c>
      <c r="M20" s="91" t="s">
        <v>17</v>
      </c>
      <c r="N20" s="91" t="s">
        <v>18</v>
      </c>
      <c r="O20" s="60"/>
    </row>
    <row r="21" spans="1:15" x14ac:dyDescent="0.3">
      <c r="A21" s="160">
        <v>10</v>
      </c>
      <c r="B21" s="181" t="s">
        <v>177</v>
      </c>
      <c r="C21" s="160" t="s">
        <v>202</v>
      </c>
      <c r="D21" s="194">
        <v>10</v>
      </c>
      <c r="E21" s="200">
        <f>0.001367374+2*0.001404596+0.001873451</f>
        <v>6.0500169999999995E-3</v>
      </c>
      <c r="F21" s="160" t="s">
        <v>144</v>
      </c>
      <c r="G21" s="160"/>
      <c r="H21" s="195"/>
      <c r="I21" s="196"/>
      <c r="J21" s="197"/>
      <c r="K21" s="195"/>
      <c r="L21" s="198"/>
      <c r="M21" s="199">
        <f>E21</f>
        <v>6.0500169999999995E-3</v>
      </c>
      <c r="N21" s="135">
        <f t="shared" ref="N21:N22" si="1">M21*D21</f>
        <v>6.0500169999999992E-2</v>
      </c>
      <c r="O21" s="60"/>
    </row>
    <row r="22" spans="1:15" x14ac:dyDescent="0.3">
      <c r="A22" s="182">
        <v>20</v>
      </c>
      <c r="B22" s="179" t="s">
        <v>177</v>
      </c>
      <c r="C22" s="182" t="s">
        <v>205</v>
      </c>
      <c r="D22" s="183">
        <v>10</v>
      </c>
      <c r="E22" s="182">
        <f>(1.38+0.47*2)/2</f>
        <v>1.1599999999999999</v>
      </c>
      <c r="F22" s="182" t="s">
        <v>144</v>
      </c>
      <c r="G22" s="182"/>
      <c r="H22" s="184"/>
      <c r="I22" s="185"/>
      <c r="J22" s="186"/>
      <c r="K22" s="184"/>
      <c r="L22" s="187"/>
      <c r="M22" s="184">
        <f>E22</f>
        <v>1.1599999999999999</v>
      </c>
      <c r="N22" s="135">
        <f t="shared" si="1"/>
        <v>11.6</v>
      </c>
      <c r="O22" s="60"/>
    </row>
    <row r="23" spans="1:15" x14ac:dyDescent="0.3">
      <c r="A23" s="6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180" t="s">
        <v>18</v>
      </c>
      <c r="N23" s="96">
        <f>SUM(N21:N22)</f>
        <v>11.660500169999999</v>
      </c>
      <c r="O23" s="60"/>
    </row>
    <row r="24" spans="1:15" x14ac:dyDescent="0.3">
      <c r="A24" s="6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60"/>
    </row>
    <row r="25" spans="1:15" s="22" customFormat="1" x14ac:dyDescent="0.3">
      <c r="A25" s="91" t="s">
        <v>14</v>
      </c>
      <c r="B25" s="91" t="s">
        <v>31</v>
      </c>
      <c r="C25" s="91" t="s">
        <v>20</v>
      </c>
      <c r="D25" s="91" t="s">
        <v>21</v>
      </c>
      <c r="E25" s="91" t="s">
        <v>32</v>
      </c>
      <c r="F25" s="91" t="s">
        <v>17</v>
      </c>
      <c r="G25" s="91" t="s">
        <v>33</v>
      </c>
      <c r="H25" s="91" t="s">
        <v>34</v>
      </c>
      <c r="I25" s="91" t="s">
        <v>18</v>
      </c>
      <c r="J25" s="21"/>
      <c r="K25" s="21"/>
      <c r="L25" s="21"/>
      <c r="M25" s="21"/>
      <c r="N25" s="21"/>
      <c r="O25" s="67"/>
    </row>
    <row r="26" spans="1:15" x14ac:dyDescent="0.3">
      <c r="A26" s="71">
        <v>10</v>
      </c>
      <c r="B26" s="71" t="s">
        <v>138</v>
      </c>
      <c r="C26" s="71" t="s">
        <v>212</v>
      </c>
      <c r="D26" s="72">
        <v>0.15</v>
      </c>
      <c r="E26" s="71" t="s">
        <v>47</v>
      </c>
      <c r="F26" s="73">
        <f>2*(2.769+2.5)</f>
        <v>10.538</v>
      </c>
      <c r="G26" s="73"/>
      <c r="H26" s="73"/>
      <c r="I26" s="72">
        <f t="shared" ref="I26:I30" si="2">IF(H26="",D26*F26,D26*F26*H26)</f>
        <v>1.5807</v>
      </c>
      <c r="J26" s="54"/>
      <c r="K26" s="54"/>
      <c r="L26" s="54"/>
      <c r="M26" s="54"/>
      <c r="N26" s="54"/>
      <c r="O26" s="60"/>
    </row>
    <row r="27" spans="1:15" x14ac:dyDescent="0.3">
      <c r="A27" s="71">
        <v>30</v>
      </c>
      <c r="B27" s="137" t="s">
        <v>142</v>
      </c>
      <c r="C27" s="71" t="s">
        <v>143</v>
      </c>
      <c r="D27" s="72">
        <v>5.25</v>
      </c>
      <c r="E27" s="74" t="s">
        <v>144</v>
      </c>
      <c r="F27" s="209">
        <f>E21</f>
        <v>6.0500169999999995E-3</v>
      </c>
      <c r="G27" s="71"/>
      <c r="H27" s="71"/>
      <c r="I27" s="208">
        <f t="shared" si="2"/>
        <v>3.1762589250000001E-2</v>
      </c>
      <c r="J27" s="54"/>
      <c r="K27" s="54"/>
      <c r="L27" s="54"/>
      <c r="M27" s="54"/>
      <c r="N27" s="54"/>
      <c r="O27" s="60"/>
    </row>
    <row r="28" spans="1:15" x14ac:dyDescent="0.3">
      <c r="A28" s="71">
        <v>40</v>
      </c>
      <c r="B28" s="74" t="s">
        <v>139</v>
      </c>
      <c r="C28" s="71"/>
      <c r="D28" s="72">
        <v>0.06</v>
      </c>
      <c r="E28" s="71"/>
      <c r="F28" s="73"/>
      <c r="G28" s="71"/>
      <c r="H28" s="71"/>
      <c r="I28" s="72">
        <f t="shared" si="2"/>
        <v>0</v>
      </c>
      <c r="J28" s="54"/>
      <c r="K28" s="54"/>
      <c r="L28" s="54"/>
      <c r="M28" s="54"/>
      <c r="N28" s="54"/>
      <c r="O28" s="60"/>
    </row>
    <row r="29" spans="1:15" x14ac:dyDescent="0.3">
      <c r="A29" s="71">
        <v>50</v>
      </c>
      <c r="B29" s="74" t="s">
        <v>141</v>
      </c>
      <c r="C29" s="71"/>
      <c r="D29" s="72">
        <v>0.75</v>
      </c>
      <c r="E29" s="71"/>
      <c r="F29" s="73"/>
      <c r="G29" s="71"/>
      <c r="H29" s="71"/>
      <c r="I29" s="72">
        <f t="shared" si="2"/>
        <v>0</v>
      </c>
      <c r="J29" s="54"/>
      <c r="K29" s="54"/>
      <c r="L29" s="54"/>
      <c r="M29" s="54"/>
      <c r="N29" s="54"/>
      <c r="O29" s="60"/>
    </row>
    <row r="30" spans="1:15" x14ac:dyDescent="0.3">
      <c r="A30" s="71">
        <v>60</v>
      </c>
      <c r="B30" s="74" t="s">
        <v>140</v>
      </c>
      <c r="C30" s="71"/>
      <c r="D30" s="72">
        <v>0.25</v>
      </c>
      <c r="E30" s="71"/>
      <c r="F30" s="73"/>
      <c r="G30" s="71"/>
      <c r="H30" s="71"/>
      <c r="I30" s="72">
        <f t="shared" si="2"/>
        <v>0</v>
      </c>
      <c r="J30" s="54"/>
      <c r="K30" s="54"/>
      <c r="L30" s="54"/>
      <c r="M30" s="54"/>
      <c r="N30" s="54"/>
      <c r="O30" s="60"/>
    </row>
    <row r="31" spans="1:15" x14ac:dyDescent="0.3">
      <c r="A31" s="66"/>
      <c r="B31" s="21"/>
      <c r="C31" s="21"/>
      <c r="D31" s="21"/>
      <c r="E31" s="21"/>
      <c r="F31" s="21"/>
      <c r="G31" s="21"/>
      <c r="H31" s="95" t="s">
        <v>18</v>
      </c>
      <c r="I31" s="93">
        <f>SUM(I26:I30)</f>
        <v>1.61246258925</v>
      </c>
      <c r="J31" s="54"/>
      <c r="K31" s="54"/>
      <c r="L31" s="54"/>
      <c r="M31" s="54"/>
      <c r="N31" s="54"/>
      <c r="O31" s="60"/>
    </row>
    <row r="32" spans="1:15" x14ac:dyDescent="0.3">
      <c r="A32" s="61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60"/>
    </row>
    <row r="33" spans="1:15" x14ac:dyDescent="0.3">
      <c r="A33" s="91" t="s">
        <v>14</v>
      </c>
      <c r="B33" s="91" t="s">
        <v>36</v>
      </c>
      <c r="C33" s="91" t="s">
        <v>20</v>
      </c>
      <c r="D33" s="91" t="s">
        <v>21</v>
      </c>
      <c r="E33" s="91" t="s">
        <v>22</v>
      </c>
      <c r="F33" s="91" t="s">
        <v>23</v>
      </c>
      <c r="G33" s="91" t="s">
        <v>24</v>
      </c>
      <c r="H33" s="91" t="s">
        <v>25</v>
      </c>
      <c r="I33" s="91" t="s">
        <v>17</v>
      </c>
      <c r="J33" s="91" t="s">
        <v>18</v>
      </c>
      <c r="K33" s="54"/>
      <c r="L33" s="54"/>
      <c r="M33" s="54"/>
      <c r="N33" s="54"/>
      <c r="O33" s="60"/>
    </row>
    <row r="34" spans="1:15" s="140" customFormat="1" x14ac:dyDescent="0.3">
      <c r="A34" s="142">
        <v>10</v>
      </c>
      <c r="B34" s="142" t="s">
        <v>145</v>
      </c>
      <c r="C34" s="142"/>
      <c r="D34" s="72">
        <f>0.8/105154*E34^2*G34*SQRT(G34)+(0.003*EXP(0.319*E34))</f>
        <v>3.0000000000000001E-3</v>
      </c>
      <c r="E34" s="142"/>
      <c r="F34" s="142" t="s">
        <v>30</v>
      </c>
      <c r="G34" s="142"/>
      <c r="H34" s="142" t="s">
        <v>30</v>
      </c>
      <c r="I34" s="142"/>
      <c r="J34" s="141">
        <f t="shared" ref="J34:J39" si="3">I34*D34</f>
        <v>0</v>
      </c>
      <c r="K34" s="138"/>
      <c r="L34" s="138"/>
      <c r="M34" s="138"/>
      <c r="N34" s="138"/>
      <c r="O34" s="139"/>
    </row>
    <row r="35" spans="1:15" s="140" customFormat="1" x14ac:dyDescent="0.3">
      <c r="A35" s="142">
        <v>20</v>
      </c>
      <c r="B35" s="142" t="s">
        <v>37</v>
      </c>
      <c r="C35" s="142"/>
      <c r="D35" s="72">
        <v>0.01</v>
      </c>
      <c r="E35" s="142"/>
      <c r="F35" s="142"/>
      <c r="G35" s="142"/>
      <c r="H35" s="142"/>
      <c r="I35" s="142"/>
      <c r="J35" s="141">
        <f t="shared" si="3"/>
        <v>0</v>
      </c>
      <c r="K35" s="138"/>
      <c r="L35" s="138"/>
      <c r="M35" s="138"/>
      <c r="N35" s="138"/>
      <c r="O35" s="139"/>
    </row>
    <row r="36" spans="1:15" s="140" customFormat="1" x14ac:dyDescent="0.3">
      <c r="A36" s="201">
        <v>30</v>
      </c>
      <c r="B36" s="201" t="s">
        <v>38</v>
      </c>
      <c r="C36" s="201"/>
      <c r="D36" s="135">
        <f>(0.009*EXP(0.2*E36))</f>
        <v>8.9999999999999993E-3</v>
      </c>
      <c r="E36" s="201"/>
      <c r="F36" s="201" t="s">
        <v>30</v>
      </c>
      <c r="G36" s="201"/>
      <c r="H36" s="201"/>
      <c r="I36" s="201"/>
      <c r="J36" s="202">
        <f t="shared" si="3"/>
        <v>0</v>
      </c>
      <c r="K36" s="138"/>
      <c r="L36" s="138"/>
      <c r="M36" s="138"/>
      <c r="N36" s="138"/>
      <c r="O36" s="139"/>
    </row>
    <row r="37" spans="1:15" s="140" customFormat="1" x14ac:dyDescent="0.3">
      <c r="A37" s="142">
        <v>40</v>
      </c>
      <c r="B37" s="203" t="s">
        <v>206</v>
      </c>
      <c r="C37" s="203" t="s">
        <v>207</v>
      </c>
      <c r="D37" s="183">
        <f>(0.001*E37^2*G37+14)</f>
        <v>16.559999999999999</v>
      </c>
      <c r="E37" s="203">
        <v>8</v>
      </c>
      <c r="F37" s="203"/>
      <c r="G37" s="203">
        <v>40</v>
      </c>
      <c r="H37" s="203"/>
      <c r="I37" s="203">
        <v>4</v>
      </c>
      <c r="J37" s="204">
        <f t="shared" si="3"/>
        <v>66.239999999999995</v>
      </c>
      <c r="K37" s="138"/>
      <c r="L37" s="138"/>
      <c r="M37" s="138"/>
      <c r="N37" s="138"/>
      <c r="O37" s="139"/>
    </row>
    <row r="38" spans="1:15" s="140" customFormat="1" x14ac:dyDescent="0.3">
      <c r="A38" s="142">
        <v>50</v>
      </c>
      <c r="B38" s="205" t="s">
        <v>208</v>
      </c>
      <c r="C38" s="206" t="s">
        <v>211</v>
      </c>
      <c r="D38" s="207">
        <v>3.0000000000000001E-3</v>
      </c>
      <c r="E38" s="205">
        <v>2000</v>
      </c>
      <c r="F38" s="203" t="s">
        <v>209</v>
      </c>
      <c r="G38" s="203"/>
      <c r="H38" s="203"/>
      <c r="I38" s="203">
        <v>1000</v>
      </c>
      <c r="J38" s="204">
        <f t="shared" si="3"/>
        <v>3</v>
      </c>
      <c r="K38" s="138"/>
      <c r="L38" s="138"/>
      <c r="M38" s="138"/>
      <c r="N38" s="138"/>
      <c r="O38" s="139"/>
    </row>
    <row r="39" spans="1:15" s="140" customFormat="1" x14ac:dyDescent="0.3">
      <c r="A39" s="201">
        <v>60</v>
      </c>
      <c r="B39" s="205" t="s">
        <v>210</v>
      </c>
      <c r="C39" s="206" t="s">
        <v>211</v>
      </c>
      <c r="D39" s="207">
        <v>2E-3</v>
      </c>
      <c r="E39" s="205">
        <v>2000</v>
      </c>
      <c r="F39" s="203" t="s">
        <v>209</v>
      </c>
      <c r="G39" s="203"/>
      <c r="H39" s="203"/>
      <c r="I39" s="203">
        <v>1000</v>
      </c>
      <c r="J39" s="204">
        <f t="shared" si="3"/>
        <v>2</v>
      </c>
      <c r="K39" s="138"/>
      <c r="L39" s="138"/>
      <c r="M39" s="138"/>
      <c r="N39" s="138"/>
      <c r="O39" s="139"/>
    </row>
    <row r="40" spans="1:15" x14ac:dyDescent="0.3">
      <c r="A40" s="66"/>
      <c r="B40" s="21"/>
      <c r="C40" s="21"/>
      <c r="D40" s="21"/>
      <c r="E40" s="21"/>
      <c r="F40" s="21"/>
      <c r="G40" s="21"/>
      <c r="H40" s="21"/>
      <c r="I40" s="95" t="s">
        <v>18</v>
      </c>
      <c r="J40" s="96">
        <f>SUM(J34:J36)</f>
        <v>0</v>
      </c>
      <c r="K40" s="54"/>
      <c r="L40" s="54"/>
      <c r="M40" s="54"/>
      <c r="N40" s="54"/>
      <c r="O40" s="60"/>
    </row>
    <row r="41" spans="1:15" x14ac:dyDescent="0.3">
      <c r="A41" s="61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60"/>
    </row>
    <row r="42" spans="1:15" x14ac:dyDescent="0.3">
      <c r="A42" s="91" t="s">
        <v>14</v>
      </c>
      <c r="B42" s="91" t="s">
        <v>39</v>
      </c>
      <c r="C42" s="91" t="s">
        <v>20</v>
      </c>
      <c r="D42" s="91" t="s">
        <v>21</v>
      </c>
      <c r="E42" s="91" t="s">
        <v>32</v>
      </c>
      <c r="F42" s="91" t="s">
        <v>17</v>
      </c>
      <c r="G42" s="91" t="s">
        <v>40</v>
      </c>
      <c r="H42" s="91" t="s">
        <v>41</v>
      </c>
      <c r="I42" s="91" t="s">
        <v>18</v>
      </c>
      <c r="J42" s="21"/>
      <c r="K42" s="54"/>
      <c r="L42" s="54"/>
      <c r="M42" s="54"/>
      <c r="N42" s="54"/>
      <c r="O42" s="60"/>
    </row>
    <row r="43" spans="1:15" x14ac:dyDescent="0.3">
      <c r="A43" s="71">
        <v>10</v>
      </c>
      <c r="B43" s="71" t="s">
        <v>42</v>
      </c>
      <c r="C43" s="71" t="s">
        <v>146</v>
      </c>
      <c r="D43" s="72">
        <v>500</v>
      </c>
      <c r="E43" s="71" t="s">
        <v>43</v>
      </c>
      <c r="F43" s="71">
        <v>16</v>
      </c>
      <c r="G43" s="71">
        <v>3000</v>
      </c>
      <c r="H43" s="71">
        <v>1</v>
      </c>
      <c r="I43" s="72">
        <f>D43*F43/G43*H43</f>
        <v>2.6666666666666665</v>
      </c>
      <c r="J43" s="21"/>
      <c r="K43" s="54"/>
      <c r="L43" s="54"/>
      <c r="M43" s="54"/>
      <c r="N43" s="54"/>
      <c r="O43" s="60"/>
    </row>
    <row r="44" spans="1:15" x14ac:dyDescent="0.3">
      <c r="A44" s="66"/>
      <c r="B44" s="21"/>
      <c r="C44" s="21"/>
      <c r="D44" s="21"/>
      <c r="E44" s="21"/>
      <c r="F44" s="21"/>
      <c r="G44" s="21"/>
      <c r="H44" s="95" t="s">
        <v>18</v>
      </c>
      <c r="I44" s="96">
        <f>SUM(I43:I43)</f>
        <v>2.6666666666666665</v>
      </c>
      <c r="J44" s="21"/>
      <c r="K44" s="54"/>
      <c r="L44" s="54"/>
      <c r="M44" s="54"/>
      <c r="N44" s="54"/>
      <c r="O44" s="60"/>
    </row>
    <row r="45" spans="1:15" ht="15" thickBot="1" x14ac:dyDescent="0.35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70"/>
    </row>
    <row r="46" spans="1:15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hyperlinks>
    <hyperlink ref="B10" location="FR_0700_000!A1" display="Nose"/>
    <hyperlink ref="B11" location="FR_0700_001!A1" display="Left Inlet"/>
    <hyperlink ref="B13" location="FR_0700_003!A1" display="Front Plate"/>
    <hyperlink ref="B12" location="FR_0700_002!A1" display="Right Inlet"/>
    <hyperlink ref="B14" location="FR_0700_004!A1" display="Back Plate"/>
    <hyperlink ref="B15" location="FR_0700_005!A1" display="Back Inlet Bracket"/>
    <hyperlink ref="B16" location="FR_0700_006!A1" display="Front Inlet Bracket"/>
    <hyperlink ref="B17" location="FR_0700_007!A1" display="Back Nose Bracket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  <rowBreaks count="1" manualBreakCount="1">
    <brk id="45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O21"/>
  <sheetViews>
    <sheetView zoomScale="75" zoomScaleNormal="75" workbookViewId="0">
      <selection activeCell="B4" sqref="B4"/>
    </sheetView>
  </sheetViews>
  <sheetFormatPr baseColWidth="10" defaultColWidth="9.109375" defaultRowHeight="14.4" x14ac:dyDescent="0.3"/>
  <cols>
    <col min="1" max="1" width="10.5546875"/>
    <col min="2" max="2" width="33.44140625"/>
    <col min="3" max="3" width="23"/>
    <col min="4" max="6" width="10.5546875"/>
    <col min="7" max="7" width="18.33203125" bestFit="1" customWidth="1"/>
    <col min="8" max="12" width="10.5546875"/>
    <col min="13" max="13" width="15.33203125"/>
    <col min="14" max="14" width="10.5546875"/>
    <col min="15" max="15" width="3.109375" customWidth="1"/>
    <col min="16" max="1025" width="10.5546875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FR_0700_000_m+FR_0700_000_p</f>
        <v>3.10793344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182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3.10793344</v>
      </c>
      <c r="O5" s="60"/>
    </row>
    <row r="6" spans="1:15" x14ac:dyDescent="0.3">
      <c r="A6" s="118" t="s">
        <v>7</v>
      </c>
      <c r="B6" s="25" t="s">
        <v>147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195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148</v>
      </c>
      <c r="C11" s="16"/>
      <c r="D11" s="29">
        <v>4.2</v>
      </c>
      <c r="E11" s="16"/>
      <c r="F11" s="16"/>
      <c r="G11" s="16"/>
      <c r="H11" s="15"/>
      <c r="I11" s="17"/>
      <c r="J11" s="156">
        <v>1.84E-4</v>
      </c>
      <c r="K11" s="18">
        <v>0.4</v>
      </c>
      <c r="L11" s="28">
        <v>2712</v>
      </c>
      <c r="M11" s="20">
        <v>1</v>
      </c>
      <c r="N11" s="29">
        <f>IF(J11="",D11*M11,D11*J11*K11*L11*M11)</f>
        <v>0.8383334400000001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0.8383334400000001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3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6" t="s">
        <v>150</v>
      </c>
      <c r="C16" s="14" t="s">
        <v>153</v>
      </c>
      <c r="D16" s="29">
        <v>0.04</v>
      </c>
      <c r="E16" s="14" t="s">
        <v>151</v>
      </c>
      <c r="F16" s="144">
        <v>3.45</v>
      </c>
      <c r="G16" s="24" t="s">
        <v>178</v>
      </c>
      <c r="H16" s="23">
        <v>1</v>
      </c>
      <c r="I16" s="29">
        <f t="shared" si="0"/>
        <v>0.13800000000000001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80">
        <v>30</v>
      </c>
      <c r="B17" s="136" t="s">
        <v>149</v>
      </c>
      <c r="C17" s="23"/>
      <c r="D17" s="29">
        <v>0.65</v>
      </c>
      <c r="E17" s="24" t="s">
        <v>35</v>
      </c>
      <c r="F17" s="145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6" t="s">
        <v>150</v>
      </c>
      <c r="C18" s="14" t="s">
        <v>152</v>
      </c>
      <c r="D18" s="29">
        <v>0.04</v>
      </c>
      <c r="E18" s="14" t="s">
        <v>151</v>
      </c>
      <c r="F18" s="144">
        <v>4.54</v>
      </c>
      <c r="G18" s="24" t="s">
        <v>178</v>
      </c>
      <c r="H18" s="23">
        <v>1</v>
      </c>
      <c r="I18" s="29">
        <f t="shared" si="0"/>
        <v>0.18160000000000001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2.2696000000000001</v>
      </c>
      <c r="J19" s="21"/>
      <c r="K19" s="21"/>
      <c r="L19" s="21"/>
      <c r="M19" s="21"/>
      <c r="N19" s="21"/>
      <c r="O19" s="60"/>
    </row>
    <row r="20" spans="1:15" x14ac:dyDescent="0.3">
      <c r="A20" s="61"/>
      <c r="B20" s="54"/>
      <c r="C20" s="54"/>
      <c r="D20" s="54"/>
      <c r="E20" s="54"/>
      <c r="F20" s="54"/>
      <c r="G20" s="54"/>
      <c r="H20" s="54"/>
      <c r="I20" s="55"/>
      <c r="J20" s="54"/>
      <c r="K20" s="54"/>
      <c r="L20" s="54"/>
      <c r="M20" s="54"/>
      <c r="N20" s="54"/>
      <c r="O20" s="60"/>
    </row>
    <row r="21" spans="1:15" ht="15" thickBot="1" x14ac:dyDescent="0.35">
      <c r="A21" s="68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70"/>
    </row>
  </sheetData>
  <hyperlinks>
    <hyperlink ref="B4" location="'FR A0700'!A1" display="'FR A0700'!A1"/>
    <hyperlink ref="E3" location="dFR_0700_000!A1" display="Drawing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21" max="16383" man="1"/>
    <brk id="5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  <pageSetUpPr fitToPage="1"/>
  </sheetPr>
  <dimension ref="A1:B1"/>
  <sheetViews>
    <sheetView workbookViewId="0">
      <selection activeCell="L17" sqref="L17"/>
    </sheetView>
  </sheetViews>
  <sheetFormatPr baseColWidth="10" defaultRowHeight="14.4" x14ac:dyDescent="0.3"/>
  <cols>
    <col min="1" max="1" width="12.44140625" bestFit="1" customWidth="1"/>
    <col min="2" max="2" width="12" bestFit="1" customWidth="1"/>
  </cols>
  <sheetData>
    <row r="1" spans="1:2" x14ac:dyDescent="0.3">
      <c r="A1" s="140" t="s">
        <v>93</v>
      </c>
      <c r="B1" s="153" t="s">
        <v>194</v>
      </c>
    </row>
  </sheetData>
  <hyperlinks>
    <hyperlink ref="B1" location="FR_0700_000!A1" display="FR_0700_000"/>
  </hyperlinks>
  <pageMargins left="0.7" right="0.7" top="0.75" bottom="0.75" header="0.3" footer="0.3"/>
  <pageSetup paperSize="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2"/>
  <sheetViews>
    <sheetView zoomScale="85" zoomScaleNormal="85" workbookViewId="0">
      <selection activeCell="B4" sqref="B4"/>
    </sheetView>
  </sheetViews>
  <sheetFormatPr baseColWidth="10" defaultColWidth="9.109375" defaultRowHeight="14.4" x14ac:dyDescent="0.3"/>
  <cols>
    <col min="1" max="1" width="10.21875" bestFit="1" customWidth="1"/>
    <col min="2" max="2" width="32.21875" customWidth="1"/>
    <col min="3" max="3" width="19.44140625" bestFit="1" customWidth="1"/>
    <col min="7" max="7" width="18.441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FR_0700_001_m+FR_0700_001_p</f>
        <v>5.6870399999999997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185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5.6870399999999997</v>
      </c>
      <c r="O5" s="60"/>
    </row>
    <row r="6" spans="1:15" x14ac:dyDescent="0.3">
      <c r="A6" s="118" t="s">
        <v>7</v>
      </c>
      <c r="B6" s="25" t="s">
        <v>158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196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148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9">
        <v>1</v>
      </c>
      <c r="G15" s="30"/>
      <c r="H15" s="30"/>
      <c r="I15" s="29">
        <f t="shared" ref="I15:I20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6" t="s">
        <v>150</v>
      </c>
      <c r="C16" s="14" t="s">
        <v>156</v>
      </c>
      <c r="D16" s="29">
        <v>0.04</v>
      </c>
      <c r="E16" s="14" t="s">
        <v>151</v>
      </c>
      <c r="F16" s="150">
        <v>18.3</v>
      </c>
      <c r="G16" s="24" t="s">
        <v>178</v>
      </c>
      <c r="H16" s="23">
        <v>1</v>
      </c>
      <c r="I16" s="29">
        <f t="shared" si="0"/>
        <v>0.7320000000000001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36" t="s">
        <v>149</v>
      </c>
      <c r="C17" s="23"/>
      <c r="D17" s="29">
        <v>0.65</v>
      </c>
      <c r="E17" s="24" t="s">
        <v>35</v>
      </c>
      <c r="F17" s="151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6" t="s">
        <v>150</v>
      </c>
      <c r="C18" s="14" t="s">
        <v>154</v>
      </c>
      <c r="D18" s="29">
        <v>0.04</v>
      </c>
      <c r="E18" s="14" t="s">
        <v>151</v>
      </c>
      <c r="F18" s="150">
        <v>14.2</v>
      </c>
      <c r="G18" s="24" t="s">
        <v>178</v>
      </c>
      <c r="H18" s="23">
        <v>1</v>
      </c>
      <c r="I18" s="29">
        <f t="shared" si="0"/>
        <v>0.56799999999999995</v>
      </c>
      <c r="J18" s="54"/>
      <c r="K18" s="54"/>
      <c r="L18" s="54"/>
      <c r="M18" s="54"/>
      <c r="N18" s="54"/>
      <c r="O18" s="60"/>
    </row>
    <row r="19" spans="1:15" x14ac:dyDescent="0.3">
      <c r="A19" s="79">
        <v>50</v>
      </c>
      <c r="B19" s="136" t="s">
        <v>149</v>
      </c>
      <c r="C19" s="146"/>
      <c r="D19" s="29">
        <v>0.65</v>
      </c>
      <c r="E19" s="24" t="s">
        <v>35</v>
      </c>
      <c r="F19" s="152">
        <v>1</v>
      </c>
      <c r="G19" s="147"/>
      <c r="H19" s="148"/>
      <c r="I19" s="29">
        <f t="shared" si="0"/>
        <v>0.65</v>
      </c>
      <c r="J19" s="54"/>
      <c r="K19" s="54"/>
      <c r="L19" s="54"/>
      <c r="M19" s="54"/>
      <c r="N19" s="54"/>
      <c r="O19" s="60"/>
    </row>
    <row r="20" spans="1:15" x14ac:dyDescent="0.3">
      <c r="A20" s="62">
        <v>60</v>
      </c>
      <c r="B20" s="136" t="s">
        <v>150</v>
      </c>
      <c r="C20" s="14" t="s">
        <v>155</v>
      </c>
      <c r="D20" s="29">
        <v>0.04</v>
      </c>
      <c r="E20" s="14" t="s">
        <v>151</v>
      </c>
      <c r="F20" s="150">
        <v>16.2</v>
      </c>
      <c r="G20" s="24" t="s">
        <v>178</v>
      </c>
      <c r="H20" s="23">
        <v>1</v>
      </c>
      <c r="I20" s="29">
        <f t="shared" si="0"/>
        <v>0.64800000000000002</v>
      </c>
      <c r="J20" s="54"/>
      <c r="K20" s="54"/>
      <c r="L20" s="54"/>
      <c r="M20" s="54"/>
      <c r="N20" s="54"/>
      <c r="O20" s="60"/>
    </row>
    <row r="21" spans="1:15" x14ac:dyDescent="0.3">
      <c r="A21" s="66"/>
      <c r="B21" s="21"/>
      <c r="C21" s="21"/>
      <c r="D21" s="21"/>
      <c r="E21" s="21"/>
      <c r="F21" s="21"/>
      <c r="G21" s="21"/>
      <c r="H21" s="127" t="s">
        <v>18</v>
      </c>
      <c r="I21" s="125">
        <f>SUM(I15:I20)</f>
        <v>4.548</v>
      </c>
      <c r="J21" s="21"/>
      <c r="K21" s="21"/>
      <c r="L21" s="21"/>
      <c r="M21" s="21"/>
      <c r="N21" s="21"/>
      <c r="O21" s="60"/>
    </row>
    <row r="22" spans="1:15" ht="15" thickBot="1" x14ac:dyDescent="0.35">
      <c r="A22" s="68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70"/>
    </row>
  </sheetData>
  <hyperlinks>
    <hyperlink ref="B4" location="'FR A0700'!A1" display="'FR A0700'!A1"/>
    <hyperlink ref="E3" location="dFR_0700_001!A1" display="Drawing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K15" sqref="K15"/>
    </sheetView>
  </sheetViews>
  <sheetFormatPr baseColWidth="10" defaultRowHeight="14.4" x14ac:dyDescent="0.3"/>
  <cols>
    <col min="1" max="1" width="12.88671875" bestFit="1" customWidth="1"/>
    <col min="2" max="2" width="13.109375" bestFit="1" customWidth="1"/>
  </cols>
  <sheetData>
    <row r="1" spans="1:2" x14ac:dyDescent="0.3">
      <c r="A1" s="140" t="s">
        <v>157</v>
      </c>
      <c r="B1" s="153" t="s">
        <v>193</v>
      </c>
    </row>
  </sheetData>
  <hyperlinks>
    <hyperlink ref="B1" location="FR_0700_001!A1" display="FR_0700_001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O20"/>
  <sheetViews>
    <sheetView workbookViewId="0">
      <selection activeCell="B4" sqref="B4"/>
    </sheetView>
  </sheetViews>
  <sheetFormatPr baseColWidth="10" defaultColWidth="9.109375" defaultRowHeight="14.4" x14ac:dyDescent="0.3"/>
  <cols>
    <col min="2" max="2" width="33.44140625" bestFit="1" customWidth="1"/>
    <col min="7" max="7" width="17.6640625" bestFit="1" customWidth="1"/>
    <col min="15" max="15" width="3.109375" customWidth="1"/>
  </cols>
  <sheetData>
    <row r="1" spans="1:15" x14ac:dyDescent="0.3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</row>
    <row r="2" spans="1:15" x14ac:dyDescent="0.3">
      <c r="A2" s="118" t="s">
        <v>0</v>
      </c>
      <c r="B2" s="11" t="s">
        <v>44</v>
      </c>
      <c r="C2" s="54"/>
      <c r="D2" s="54"/>
      <c r="E2" s="54"/>
      <c r="F2" s="54"/>
      <c r="G2" s="54" t="s">
        <v>134</v>
      </c>
      <c r="H2" s="54"/>
      <c r="I2" s="54"/>
      <c r="J2" s="119" t="s">
        <v>1</v>
      </c>
      <c r="K2" s="76">
        <v>81</v>
      </c>
      <c r="L2" s="54"/>
      <c r="M2" s="118" t="s">
        <v>16</v>
      </c>
      <c r="N2" s="72">
        <f>FR_0700_002_m+FR_0700_002_p</f>
        <v>4.8410399999999996</v>
      </c>
      <c r="O2" s="60"/>
    </row>
    <row r="3" spans="1:15" x14ac:dyDescent="0.3">
      <c r="A3" s="118" t="s">
        <v>3</v>
      </c>
      <c r="B3" s="11" t="str">
        <f>'FR A0700'!B3</f>
        <v>Frame and Body</v>
      </c>
      <c r="C3" s="54"/>
      <c r="D3" s="118" t="s">
        <v>6</v>
      </c>
      <c r="E3" s="83" t="s">
        <v>94</v>
      </c>
      <c r="F3" s="54"/>
      <c r="G3" s="54"/>
      <c r="H3" s="54"/>
      <c r="I3" s="54"/>
      <c r="J3" s="54"/>
      <c r="K3" s="54"/>
      <c r="L3" s="54"/>
      <c r="M3" s="118" t="s">
        <v>4</v>
      </c>
      <c r="N3" s="75">
        <v>1</v>
      </c>
      <c r="O3" s="60"/>
    </row>
    <row r="4" spans="1:15" x14ac:dyDescent="0.3">
      <c r="A4" s="118" t="s">
        <v>5</v>
      </c>
      <c r="B4" s="82" t="str">
        <f>'FR A0700'!B4</f>
        <v>Bodywork</v>
      </c>
      <c r="C4" s="54"/>
      <c r="D4" s="118" t="s">
        <v>8</v>
      </c>
      <c r="E4" s="54"/>
      <c r="F4" s="54"/>
      <c r="G4" s="54"/>
      <c r="H4" s="54"/>
      <c r="I4" s="54"/>
      <c r="J4" s="120" t="s">
        <v>6</v>
      </c>
      <c r="K4" s="54"/>
      <c r="L4" s="54"/>
      <c r="M4" s="54"/>
      <c r="N4" s="54"/>
      <c r="O4" s="60"/>
    </row>
    <row r="5" spans="1:15" x14ac:dyDescent="0.3">
      <c r="A5" s="118" t="s">
        <v>15</v>
      </c>
      <c r="B5" s="13" t="s">
        <v>184</v>
      </c>
      <c r="C5" s="54"/>
      <c r="D5" s="118" t="s">
        <v>12</v>
      </c>
      <c r="E5" s="54"/>
      <c r="F5" s="54"/>
      <c r="G5" s="54"/>
      <c r="H5" s="54"/>
      <c r="I5" s="54"/>
      <c r="J5" s="120" t="s">
        <v>8</v>
      </c>
      <c r="K5" s="54"/>
      <c r="L5" s="54"/>
      <c r="M5" s="118" t="s">
        <v>9</v>
      </c>
      <c r="N5" s="72">
        <f>N3*N2</f>
        <v>4.8410399999999996</v>
      </c>
      <c r="O5" s="60"/>
    </row>
    <row r="6" spans="1:15" x14ac:dyDescent="0.3">
      <c r="A6" s="118" t="s">
        <v>7</v>
      </c>
      <c r="B6" s="25" t="s">
        <v>159</v>
      </c>
      <c r="C6" s="54"/>
      <c r="D6" s="54"/>
      <c r="E6" s="54"/>
      <c r="F6" s="54"/>
      <c r="G6" s="54"/>
      <c r="H6" s="54"/>
      <c r="I6" s="54"/>
      <c r="J6" s="120" t="s">
        <v>12</v>
      </c>
      <c r="K6" s="54"/>
      <c r="L6" s="54"/>
      <c r="M6" s="54"/>
      <c r="N6" s="54"/>
      <c r="O6" s="60"/>
    </row>
    <row r="7" spans="1:15" x14ac:dyDescent="0.3">
      <c r="A7" s="118" t="s">
        <v>10</v>
      </c>
      <c r="B7" s="11" t="s">
        <v>11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60"/>
    </row>
    <row r="8" spans="1:15" x14ac:dyDescent="0.3">
      <c r="A8" s="118" t="s">
        <v>13</v>
      </c>
      <c r="B8" s="11" t="s">
        <v>197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60"/>
    </row>
    <row r="9" spans="1:15" x14ac:dyDescent="0.3">
      <c r="A9" s="77"/>
      <c r="B9" s="26"/>
      <c r="C9" s="26"/>
      <c r="D9" s="26"/>
      <c r="E9" s="26"/>
      <c r="F9" s="54"/>
      <c r="G9" s="54"/>
      <c r="H9" s="54"/>
      <c r="I9" s="54"/>
      <c r="J9" s="54"/>
      <c r="K9" s="54"/>
      <c r="L9" s="54"/>
      <c r="M9" s="54"/>
      <c r="N9" s="54"/>
      <c r="O9" s="60"/>
    </row>
    <row r="10" spans="1:15" x14ac:dyDescent="0.3">
      <c r="A10" s="121" t="s">
        <v>14</v>
      </c>
      <c r="B10" s="122" t="s">
        <v>19</v>
      </c>
      <c r="C10" s="122" t="s">
        <v>20</v>
      </c>
      <c r="D10" s="122" t="s">
        <v>21</v>
      </c>
      <c r="E10" s="122" t="s">
        <v>22</v>
      </c>
      <c r="F10" s="123" t="s">
        <v>23</v>
      </c>
      <c r="G10" s="123" t="s">
        <v>24</v>
      </c>
      <c r="H10" s="123" t="s">
        <v>25</v>
      </c>
      <c r="I10" s="123" t="s">
        <v>26</v>
      </c>
      <c r="J10" s="123" t="s">
        <v>27</v>
      </c>
      <c r="K10" s="123" t="s">
        <v>28</v>
      </c>
      <c r="L10" s="123" t="s">
        <v>29</v>
      </c>
      <c r="M10" s="123" t="s">
        <v>17</v>
      </c>
      <c r="N10" s="123" t="s">
        <v>18</v>
      </c>
      <c r="O10" s="60"/>
    </row>
    <row r="11" spans="1:15" s="19" customFormat="1" x14ac:dyDescent="0.3">
      <c r="A11" s="78">
        <v>10</v>
      </c>
      <c r="B11" s="27" t="s">
        <v>148</v>
      </c>
      <c r="C11" s="16"/>
      <c r="D11" s="29">
        <v>4.2</v>
      </c>
      <c r="E11" s="16"/>
      <c r="F11" s="16"/>
      <c r="G11" s="16"/>
      <c r="H11" s="15"/>
      <c r="I11" s="17"/>
      <c r="J11" s="90">
        <v>5.0000000000000001E-3</v>
      </c>
      <c r="K11" s="18">
        <v>0.02</v>
      </c>
      <c r="L11" s="28">
        <v>2712</v>
      </c>
      <c r="M11" s="20">
        <v>1</v>
      </c>
      <c r="N11" s="29">
        <f>IF(J11="",D11*M11,D11*J11*K11*L11*M11)</f>
        <v>1.1390400000000001</v>
      </c>
      <c r="O11" s="65"/>
    </row>
    <row r="12" spans="1:15" x14ac:dyDescent="0.3">
      <c r="A12" s="6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124" t="s">
        <v>18</v>
      </c>
      <c r="N12" s="125">
        <f>SUM(N11:N11)</f>
        <v>1.1390400000000001</v>
      </c>
      <c r="O12" s="60"/>
    </row>
    <row r="13" spans="1:15" x14ac:dyDescent="0.3">
      <c r="A13" s="61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60"/>
    </row>
    <row r="14" spans="1:15" x14ac:dyDescent="0.3">
      <c r="A14" s="126" t="s">
        <v>14</v>
      </c>
      <c r="B14" s="123" t="s">
        <v>31</v>
      </c>
      <c r="C14" s="123" t="s">
        <v>20</v>
      </c>
      <c r="D14" s="123" t="s">
        <v>21</v>
      </c>
      <c r="E14" s="123" t="s">
        <v>32</v>
      </c>
      <c r="F14" s="123" t="s">
        <v>17</v>
      </c>
      <c r="G14" s="123" t="s">
        <v>33</v>
      </c>
      <c r="H14" s="123" t="s">
        <v>34</v>
      </c>
      <c r="I14" s="123" t="s">
        <v>18</v>
      </c>
      <c r="J14" s="21"/>
      <c r="K14" s="21"/>
      <c r="L14" s="21"/>
      <c r="M14" s="21"/>
      <c r="N14" s="21"/>
      <c r="O14" s="60"/>
    </row>
    <row r="15" spans="1:15" s="22" customFormat="1" x14ac:dyDescent="0.3">
      <c r="A15" s="79">
        <v>10</v>
      </c>
      <c r="B15" s="136" t="s">
        <v>45</v>
      </c>
      <c r="C15" s="30"/>
      <c r="D15" s="31">
        <v>1.3</v>
      </c>
      <c r="E15" s="24" t="s">
        <v>35</v>
      </c>
      <c r="F15" s="149">
        <v>1</v>
      </c>
      <c r="G15" s="30"/>
      <c r="H15" s="30"/>
      <c r="I15" s="31">
        <f t="shared" ref="I15:I18" si="0">IF(H15="",D15*F15,D15*F15*H15)</f>
        <v>1.3</v>
      </c>
      <c r="J15" s="56"/>
      <c r="K15" s="56"/>
      <c r="L15" s="56"/>
      <c r="M15" s="56"/>
      <c r="N15" s="56"/>
      <c r="O15" s="67"/>
    </row>
    <row r="16" spans="1:15" x14ac:dyDescent="0.3">
      <c r="A16" s="62">
        <v>20</v>
      </c>
      <c r="B16" s="136" t="s">
        <v>150</v>
      </c>
      <c r="C16" s="14" t="s">
        <v>156</v>
      </c>
      <c r="D16" s="29">
        <v>0.04</v>
      </c>
      <c r="E16" s="14" t="s">
        <v>151</v>
      </c>
      <c r="F16" s="150">
        <v>43.6</v>
      </c>
      <c r="G16" s="24" t="s">
        <v>178</v>
      </c>
      <c r="H16" s="23">
        <v>1</v>
      </c>
      <c r="I16" s="29">
        <f t="shared" si="0"/>
        <v>1.744</v>
      </c>
      <c r="J16" s="54"/>
      <c r="K16" s="54"/>
      <c r="L16" s="54"/>
      <c r="M16" s="54"/>
      <c r="N16" s="54"/>
      <c r="O16" s="60"/>
    </row>
    <row r="17" spans="1:15" s="12" customFormat="1" x14ac:dyDescent="0.3">
      <c r="A17" s="79">
        <v>30</v>
      </c>
      <c r="B17" s="136" t="s">
        <v>149</v>
      </c>
      <c r="C17" s="23"/>
      <c r="D17" s="29">
        <v>0.65</v>
      </c>
      <c r="E17" s="24" t="s">
        <v>35</v>
      </c>
      <c r="F17" s="151">
        <v>1</v>
      </c>
      <c r="G17" s="23"/>
      <c r="H17" s="23"/>
      <c r="I17" s="29">
        <f t="shared" si="0"/>
        <v>0.65</v>
      </c>
      <c r="J17" s="55"/>
      <c r="K17" s="55"/>
      <c r="L17" s="55"/>
      <c r="M17" s="55"/>
      <c r="N17" s="55"/>
      <c r="O17" s="64"/>
    </row>
    <row r="18" spans="1:15" x14ac:dyDescent="0.3">
      <c r="A18" s="62">
        <v>40</v>
      </c>
      <c r="B18" s="136" t="s">
        <v>150</v>
      </c>
      <c r="C18" s="14" t="s">
        <v>160</v>
      </c>
      <c r="D18" s="29">
        <v>0.04</v>
      </c>
      <c r="E18" s="14" t="s">
        <v>151</v>
      </c>
      <c r="F18" s="150">
        <v>0.2</v>
      </c>
      <c r="G18" s="24" t="s">
        <v>178</v>
      </c>
      <c r="H18" s="23">
        <v>1</v>
      </c>
      <c r="I18" s="29">
        <f t="shared" si="0"/>
        <v>8.0000000000000002E-3</v>
      </c>
      <c r="J18" s="54"/>
      <c r="K18" s="54"/>
      <c r="L18" s="54"/>
      <c r="M18" s="54"/>
      <c r="N18" s="54"/>
      <c r="O18" s="60"/>
    </row>
    <row r="19" spans="1:15" x14ac:dyDescent="0.3">
      <c r="A19" s="66"/>
      <c r="B19" s="21"/>
      <c r="C19" s="21"/>
      <c r="D19" s="21"/>
      <c r="E19" s="21"/>
      <c r="F19" s="21"/>
      <c r="G19" s="21"/>
      <c r="H19" s="127" t="s">
        <v>18</v>
      </c>
      <c r="I19" s="125">
        <f>SUM(I15:I18)</f>
        <v>3.702</v>
      </c>
      <c r="J19" s="21"/>
      <c r="K19" s="21"/>
      <c r="L19" s="21"/>
      <c r="M19" s="21"/>
      <c r="N19" s="21"/>
      <c r="O19" s="60"/>
    </row>
    <row r="20" spans="1:15" ht="15" thickBot="1" x14ac:dyDescent="0.35">
      <c r="A20" s="68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70"/>
    </row>
  </sheetData>
  <hyperlinks>
    <hyperlink ref="B4" location="'FR A0700'!A1" display="'FR A0700'!A1"/>
    <hyperlink ref="E3" location="dFR_0700_002!A1" display="Drawing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B1"/>
  <sheetViews>
    <sheetView workbookViewId="0">
      <selection activeCell="M16" sqref="M16"/>
    </sheetView>
  </sheetViews>
  <sheetFormatPr baseColWidth="10" defaultRowHeight="14.4" x14ac:dyDescent="0.3"/>
  <sheetData>
    <row r="1" spans="1:2" x14ac:dyDescent="0.3">
      <c r="A1" t="s">
        <v>171</v>
      </c>
      <c r="B1" s="83" t="s">
        <v>192</v>
      </c>
    </row>
  </sheetData>
  <hyperlinks>
    <hyperlink ref="B1" location="FR_0700_002!A1" display="FR_0700_002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19</vt:i4>
      </vt:variant>
      <vt:variant>
        <vt:lpstr>Plages nommées</vt:lpstr>
      </vt:variant>
      <vt:variant>
        <vt:i4>44</vt:i4>
      </vt:variant>
    </vt:vector>
  </HeadingPairs>
  <TitlesOfParts>
    <vt:vector size="63" baseType="lpstr">
      <vt:lpstr>Instructions</vt:lpstr>
      <vt:lpstr>BOM</vt:lpstr>
      <vt:lpstr>FR A0700</vt:lpstr>
      <vt:lpstr>FR_0700_000</vt:lpstr>
      <vt:lpstr>dFR_0700_000</vt:lpstr>
      <vt:lpstr>FR_0700_001</vt:lpstr>
      <vt:lpstr>dFR_0700_001</vt:lpstr>
      <vt:lpstr>FR_0700_002</vt:lpstr>
      <vt:lpstr>dFR_0700_002</vt:lpstr>
      <vt:lpstr>FR_0700_003</vt:lpstr>
      <vt:lpstr>dFR_0700_003</vt:lpstr>
      <vt:lpstr>FR_0700_004</vt:lpstr>
      <vt:lpstr>dFR_0700_004</vt:lpstr>
      <vt:lpstr>FR_0700_005</vt:lpstr>
      <vt:lpstr>dFR_0700_005</vt:lpstr>
      <vt:lpstr>FR_0700_006</vt:lpstr>
      <vt:lpstr>dFR_0700_006</vt:lpstr>
      <vt:lpstr>FR_0700_007</vt:lpstr>
      <vt:lpstr>dFR_0700_007</vt:lpstr>
      <vt:lpstr>BOM!Car</vt:lpstr>
      <vt:lpstr>BOM!CompCode</vt:lpstr>
      <vt:lpstr>FR_0700_000</vt:lpstr>
      <vt:lpstr>FR_0700_000_m</vt:lpstr>
      <vt:lpstr>FR_0700_000_p</vt:lpstr>
      <vt:lpstr>FR_0700_000_q</vt:lpstr>
      <vt:lpstr>FR_0700_001</vt:lpstr>
      <vt:lpstr>FR_0700_001_m</vt:lpstr>
      <vt:lpstr>FR_0700_001_p</vt:lpstr>
      <vt:lpstr>FR_0700_001_q</vt:lpstr>
      <vt:lpstr>FR_0700_002</vt:lpstr>
      <vt:lpstr>FR_0700_002_m</vt:lpstr>
      <vt:lpstr>FR_0700_002_p</vt:lpstr>
      <vt:lpstr>FR_0700_002_q</vt:lpstr>
      <vt:lpstr>FR_0700_003</vt:lpstr>
      <vt:lpstr>FR_0700_003_m</vt:lpstr>
      <vt:lpstr>FR_0700_003_p</vt:lpstr>
      <vt:lpstr>FR_0700_003_q</vt:lpstr>
      <vt:lpstr>FR_0700_004</vt:lpstr>
      <vt:lpstr>FR_0700_004_m</vt:lpstr>
      <vt:lpstr>FR_0700_004_p</vt:lpstr>
      <vt:lpstr>FR_0700_004_q</vt:lpstr>
      <vt:lpstr>FR_0700_005</vt:lpstr>
      <vt:lpstr>FR_0700_005_m</vt:lpstr>
      <vt:lpstr>FR_0700_005_p</vt:lpstr>
      <vt:lpstr>FR_0700_005_q</vt:lpstr>
      <vt:lpstr>FR_0700_006</vt:lpstr>
      <vt:lpstr>FR_0700_006_m</vt:lpstr>
      <vt:lpstr>FR_0700_006_p</vt:lpstr>
      <vt:lpstr>FR_0700_006_q</vt:lpstr>
      <vt:lpstr>FR_0700_007</vt:lpstr>
      <vt:lpstr>FR_0700_007_m</vt:lpstr>
      <vt:lpstr>FR_0700_007_p</vt:lpstr>
      <vt:lpstr>FR_0700_007_q</vt:lpstr>
      <vt:lpstr>FR_A0700</vt:lpstr>
      <vt:lpstr>FR_A0700_f</vt:lpstr>
      <vt:lpstr>FR_A0700_m</vt:lpstr>
      <vt:lpstr>FR_A0700_p</vt:lpstr>
      <vt:lpstr>FR_A0700_pa</vt:lpstr>
      <vt:lpstr>FR_A0700_q</vt:lpstr>
      <vt:lpstr>FR_A0700_t</vt:lpstr>
      <vt:lpstr>BOM!Impression_des_titres</vt:lpstr>
      <vt:lpstr>P_N_Base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Benjamin Delalande</cp:lastModifiedBy>
  <cp:revision>0</cp:revision>
  <dcterms:created xsi:type="dcterms:W3CDTF">2015-05-29T18:57:13Z</dcterms:created>
  <dcterms:modified xsi:type="dcterms:W3CDTF">2018-03-30T09:47:49Z</dcterms:modified>
  <dc:language>fr-FR</dc:language>
</cp:coreProperties>
</file>