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2"/>
  </bookViews>
  <sheets>
    <sheet name="BOM" sheetId="2" r:id="rId1"/>
    <sheet name="WT A0100" sheetId="3" r:id="rId2"/>
    <sheet name="WT A0200" sheetId="4" r:id="rId3"/>
    <sheet name="WT 02001" sheetId="5" r:id="rId4"/>
    <sheet name="dWT 02001" sheetId="6" r:id="rId5"/>
    <sheet name="WT 02002" sheetId="7" r:id="rId6"/>
    <sheet name="dWT 02002" sheetId="8" r:id="rId7"/>
    <sheet name="WT 02003" sheetId="9" r:id="rId8"/>
    <sheet name="dWT 02003" sheetId="10" r:id="rId9"/>
    <sheet name="WT 02004" sheetId="11" r:id="rId10"/>
    <sheet name="dWT 02004" sheetId="12" r:id="rId11"/>
    <sheet name="WT 02005" sheetId="13" r:id="rId12"/>
    <sheet name="dWT 02005" sheetId="14" r:id="rId13"/>
  </sheets>
  <definedNames>
    <definedName name="WT_0200_001">'WT 02001'!$B$6</definedName>
    <definedName name="WT_0200_001_m">'WT 02001'!$N$12</definedName>
    <definedName name="WT_0200_001_p">'WT 02001'!$I$25</definedName>
    <definedName name="WT_0200_001_q">'WT 02001'!$N$3</definedName>
    <definedName name="WT_0200_003">'WT 02003'!$B$6</definedName>
    <definedName name="WT_0200_003_m">'WT 02003'!$N$12</definedName>
    <definedName name="WT_0200_003_p">'WT 02003'!$I$21</definedName>
    <definedName name="WT_0200_003_q">'WT 02003'!$N$3</definedName>
    <definedName name="WT_0200_004">'WT 02004'!$B$6</definedName>
    <definedName name="WT_0200_004_m">'WT 02004'!$N$12</definedName>
    <definedName name="WT_0200_004_p">'WT 02004'!$I$17</definedName>
    <definedName name="WT_0200_004_q">'WT 02004'!$N$3</definedName>
    <definedName name="WT_0200_005">'WT 02002'!$B$6</definedName>
    <definedName name="WT_0200_005_m">'WT 02002'!$N$12</definedName>
    <definedName name="WT_0200_005_p">'WT 02002'!$I$19</definedName>
    <definedName name="WT_0200_005_q">'WT 02002'!$N$3</definedName>
    <definedName name="WT_0200_006">'WT 02005'!$B$6</definedName>
    <definedName name="WT_0200_006_m">'WT 02005'!$N$12</definedName>
    <definedName name="WT_0200_006_p">'WT 02005'!$I$17</definedName>
    <definedName name="WT_0200_006_q">'WT 02005'!$N$3</definedName>
    <definedName name="WT_A0100">'WT A0100'!$B$5</definedName>
    <definedName name="WT_A0100_BOM">BOM!$C$7</definedName>
    <definedName name="WT_A0100_f">'WT A0100'!$J$24</definedName>
    <definedName name="WT_A0100_m">'WT A0100'!$N$15</definedName>
    <definedName name="WT_A0100_p">'WT A0100'!$I$20</definedName>
    <definedName name="WT_A0100_q">'WT A0100'!$N$3</definedName>
    <definedName name="WT_A0200">'WT A0200'!$B$5</definedName>
    <definedName name="WT_A0200_BOM">BOM!$C$8</definedName>
    <definedName name="WT_A0200_f">'WT A0200'!$J$37</definedName>
    <definedName name="WT_A0200_m">'WT A0200'!$N$21</definedName>
    <definedName name="WT_A0200_p">'WT A0200'!$I$33</definedName>
    <definedName name="WT_A0200_pa">'WT A0200'!$E$15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4" l="1"/>
  <c r="B3" i="13"/>
  <c r="B4" i="13"/>
  <c r="J11" i="13"/>
  <c r="E11" i="13" s="1"/>
  <c r="N11" i="13" s="1"/>
  <c r="N12" i="13" s="1"/>
  <c r="N2" i="13" s="1"/>
  <c r="I15" i="13"/>
  <c r="I16" i="13"/>
  <c r="I17" i="13" s="1"/>
  <c r="B1" i="12"/>
  <c r="B3" i="11"/>
  <c r="B4" i="11"/>
  <c r="J11" i="11"/>
  <c r="E11" i="11" s="1"/>
  <c r="N11" i="11" s="1"/>
  <c r="N12" i="11" s="1"/>
  <c r="I15" i="11"/>
  <c r="I16" i="11"/>
  <c r="I17" i="11" s="1"/>
  <c r="B1" i="10"/>
  <c r="B3" i="9"/>
  <c r="B4" i="9"/>
  <c r="J11" i="9"/>
  <c r="E11" i="9" s="1"/>
  <c r="N11" i="9" s="1"/>
  <c r="N12" i="9" s="1"/>
  <c r="N2" i="9" s="1"/>
  <c r="I15" i="9"/>
  <c r="I16" i="9"/>
  <c r="I21" i="9" s="1"/>
  <c r="I17" i="9"/>
  <c r="I18" i="9"/>
  <c r="I19" i="9"/>
  <c r="I20" i="9"/>
  <c r="B1" i="8"/>
  <c r="B3" i="7"/>
  <c r="B4" i="7"/>
  <c r="J11" i="7"/>
  <c r="E11" i="7" s="1"/>
  <c r="N11" i="7" s="1"/>
  <c r="N12" i="7" s="1"/>
  <c r="N2" i="7" s="1"/>
  <c r="I15" i="7"/>
  <c r="I16" i="7"/>
  <c r="I19" i="7" s="1"/>
  <c r="I17" i="7"/>
  <c r="I18" i="7"/>
  <c r="B1" i="6"/>
  <c r="B3" i="5"/>
  <c r="B4" i="5"/>
  <c r="J11" i="5"/>
  <c r="E11" i="5" s="1"/>
  <c r="N11" i="5" s="1"/>
  <c r="N12" i="5" s="1"/>
  <c r="I15" i="5"/>
  <c r="F16" i="5"/>
  <c r="I16" i="5" s="1"/>
  <c r="I25" i="5" s="1"/>
  <c r="I17" i="5"/>
  <c r="F18" i="5"/>
  <c r="I18" i="5"/>
  <c r="I19" i="5"/>
  <c r="I20" i="5"/>
  <c r="I21" i="5"/>
  <c r="F22" i="5"/>
  <c r="I22" i="5" s="1"/>
  <c r="I23" i="5"/>
  <c r="I24" i="5"/>
  <c r="B10" i="4"/>
  <c r="D10" i="4"/>
  <c r="D11" i="4"/>
  <c r="D12" i="4"/>
  <c r="D13" i="4"/>
  <c r="D14" i="4"/>
  <c r="D18" i="4"/>
  <c r="N18" i="4" s="1"/>
  <c r="N21" i="4" s="1"/>
  <c r="D19" i="4"/>
  <c r="N19" i="4" s="1"/>
  <c r="N20" i="4"/>
  <c r="I24" i="4"/>
  <c r="I33" i="4" s="1"/>
  <c r="I25" i="4"/>
  <c r="I26" i="4"/>
  <c r="I27" i="4"/>
  <c r="I28" i="4"/>
  <c r="I29" i="4"/>
  <c r="I30" i="4"/>
  <c r="I31" i="4"/>
  <c r="I32" i="4"/>
  <c r="D36" i="4"/>
  <c r="J36" i="4" s="1"/>
  <c r="J37" i="4" s="1"/>
  <c r="C7" i="2"/>
  <c r="B18" i="2"/>
  <c r="J23" i="3"/>
  <c r="J24" i="3" s="1"/>
  <c r="I19" i="3"/>
  <c r="I20" i="3" s="1"/>
  <c r="I18" i="3"/>
  <c r="N14" i="3"/>
  <c r="N13" i="3"/>
  <c r="N12" i="3"/>
  <c r="N11" i="3"/>
  <c r="N15" i="3" s="1"/>
  <c r="N2" i="3" s="1"/>
  <c r="N5" i="3" s="1"/>
  <c r="N5" i="13" l="1"/>
  <c r="C14" i="4"/>
  <c r="E14" i="4" s="1"/>
  <c r="N5" i="9"/>
  <c r="C12" i="4"/>
  <c r="E12" i="4" s="1"/>
  <c r="N5" i="7"/>
  <c r="C11" i="4"/>
  <c r="E11" i="4" s="1"/>
  <c r="N2" i="11"/>
  <c r="N2" i="5"/>
  <c r="C10" i="4" l="1"/>
  <c r="E10" i="4" s="1"/>
  <c r="N5" i="5"/>
  <c r="N5" i="11"/>
  <c r="C13" i="4"/>
  <c r="E13" i="4" s="1"/>
  <c r="E15" i="4" l="1"/>
  <c r="N2" i="4" s="1"/>
  <c r="N5" i="4" s="1"/>
  <c r="M15" i="2"/>
  <c r="L15" i="2"/>
  <c r="K15" i="2"/>
  <c r="J15" i="2"/>
  <c r="I15" i="2"/>
  <c r="M14" i="2"/>
  <c r="M13" i="2"/>
  <c r="M12" i="2"/>
  <c r="M11" i="2"/>
  <c r="M10" i="2"/>
  <c r="M9" i="2"/>
  <c r="L13" i="2"/>
  <c r="L12" i="2"/>
  <c r="L11" i="2"/>
  <c r="L10" i="2"/>
  <c r="L9" i="2"/>
  <c r="L14" i="2"/>
  <c r="K10" i="2"/>
  <c r="M8" i="2"/>
  <c r="L8" i="2"/>
  <c r="K8" i="2"/>
  <c r="K14" i="2"/>
  <c r="K13" i="2"/>
  <c r="K12" i="2"/>
  <c r="K11" i="2"/>
  <c r="K9" i="2"/>
  <c r="J14" i="2"/>
  <c r="J13" i="2"/>
  <c r="H13" i="2" s="1"/>
  <c r="J12" i="2"/>
  <c r="H12" i="2" s="1"/>
  <c r="J11" i="2"/>
  <c r="J10" i="2"/>
  <c r="J9" i="2"/>
  <c r="H9" i="2" s="1"/>
  <c r="N9" i="2" s="1"/>
  <c r="J8" i="2"/>
  <c r="H8" i="2" s="1"/>
  <c r="I13" i="2"/>
  <c r="I14" i="2"/>
  <c r="I12" i="2"/>
  <c r="I11" i="2"/>
  <c r="I10" i="2"/>
  <c r="I9" i="2"/>
  <c r="I8" i="2"/>
  <c r="E10" i="2"/>
  <c r="E11" i="2"/>
  <c r="E12" i="2"/>
  <c r="E13" i="2"/>
  <c r="E14" i="2"/>
  <c r="E9" i="2"/>
  <c r="L7" i="2"/>
  <c r="K7" i="2"/>
  <c r="J7" i="2"/>
  <c r="I7" i="2"/>
  <c r="F8" i="2"/>
  <c r="F7" i="2"/>
  <c r="O1" i="2"/>
  <c r="H10" i="2"/>
  <c r="N10" i="2" s="1"/>
  <c r="H11" i="2"/>
  <c r="H14" i="2"/>
  <c r="H15" i="2"/>
  <c r="N15" i="2" s="1"/>
  <c r="H16" i="2"/>
  <c r="N16" i="2" s="1"/>
  <c r="H17" i="2"/>
  <c r="N17" i="2" s="1"/>
  <c r="M18" i="2"/>
  <c r="J18" i="2" l="1"/>
  <c r="N8" i="2"/>
  <c r="N12" i="2"/>
  <c r="H7" i="2"/>
  <c r="N7" i="2" s="1"/>
  <c r="L18" i="2"/>
  <c r="K18" i="2"/>
  <c r="N13" i="2"/>
  <c r="N11" i="2"/>
  <c r="N14" i="2"/>
  <c r="N18" i="2" l="1"/>
</calcChain>
</file>

<file path=xl/sharedStrings.xml><?xml version="1.0" encoding="utf-8"?>
<sst xmlns="http://schemas.openxmlformats.org/spreadsheetml/2006/main" count="580" uniqueCount="144">
  <si>
    <t>Area Total</t>
  </si>
  <si>
    <t>AA</t>
  </si>
  <si>
    <t>Details Page Number</t>
  </si>
  <si>
    <t>Total Cost</t>
  </si>
  <si>
    <t>Tooling Cost</t>
  </si>
  <si>
    <t>Fastener Cost</t>
  </si>
  <si>
    <t>Process Cost</t>
  </si>
  <si>
    <t>Material Cost</t>
  </si>
  <si>
    <t>Quantity</t>
  </si>
  <si>
    <t>Unit Cost</t>
  </si>
  <si>
    <t>Description</t>
  </si>
  <si>
    <t>Component</t>
  </si>
  <si>
    <t>Asm</t>
  </si>
  <si>
    <t>Rev. Lvl.</t>
  </si>
  <si>
    <t>Asm/Prt #</t>
  </si>
  <si>
    <t>Area of Commodity</t>
  </si>
  <si>
    <t>Line Num.</t>
  </si>
  <si>
    <t>The cost of assemlies on this chart should not include the cost of the parts in the assembly but only the materials, processes, fasteners and tooling in the assembly level.</t>
  </si>
  <si>
    <t>Car #</t>
  </si>
  <si>
    <t>Year</t>
  </si>
  <si>
    <t>FSAEI</t>
  </si>
  <si>
    <t>Competition Code</t>
  </si>
  <si>
    <t>Total Vehicle Cost</t>
  </si>
  <si>
    <t>Ecole Centrale de Lyon</t>
  </si>
  <si>
    <t>University</t>
  </si>
  <si>
    <t>WT A0200</t>
  </si>
  <si>
    <t>WT 02001</t>
  </si>
  <si>
    <t>WT 02002</t>
  </si>
  <si>
    <t>WT 02003</t>
  </si>
  <si>
    <t>WT 02004</t>
  </si>
  <si>
    <t>WT 02005</t>
  </si>
  <si>
    <t>WT 02006</t>
  </si>
  <si>
    <t>WT A0300</t>
  </si>
  <si>
    <t>Back to BOM</t>
  </si>
  <si>
    <t>Asm Cost</t>
  </si>
  <si>
    <t>System</t>
  </si>
  <si>
    <t>Wheels &amp; Tires</t>
  </si>
  <si>
    <t>Qty</t>
  </si>
  <si>
    <t>Assembly</t>
  </si>
  <si>
    <t>Wheel Assembly</t>
  </si>
  <si>
    <t>FileLink1</t>
  </si>
  <si>
    <t>P/N Base</t>
  </si>
  <si>
    <t>WT A0100</t>
  </si>
  <si>
    <t>FileLink2</t>
  </si>
  <si>
    <t>Extended Cost</t>
  </si>
  <si>
    <t>Suffix</t>
  </si>
  <si>
    <t>FileLink3</t>
  </si>
  <si>
    <t>Details</t>
  </si>
  <si>
    <t>Complete Wheel Assembly</t>
  </si>
  <si>
    <t>ItemOrder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</si>
  <si>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</si>
  <si>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</si>
  <si>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</si>
  <si>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</si>
  <si>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</si>
  <si>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</si>
  <si>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</si>
  <si>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</si>
  <si>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</si>
  <si>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</si>
  <si>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</si>
  <si>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Sub Total</t>
  </si>
  <si>
    <t>Wheel, 13", 1 Piece OZ, Aluminum</t>
  </si>
  <si>
    <t>Rim</t>
  </si>
  <si>
    <t>unit</t>
  </si>
  <si>
    <t>Tire, Hoosier, R25B, 13"-20.5 x 7.0</t>
  </si>
  <si>
    <t>Tire</t>
  </si>
  <si>
    <t>Valve Stem (and Tire Inflation)</t>
  </si>
  <si>
    <t>Wheel Weights (and Balancing)</t>
  </si>
  <si>
    <t>Balancing and set up the wheel</t>
  </si>
  <si>
    <t>Process</t>
  </si>
  <si>
    <t>Unit</t>
  </si>
  <si>
    <t>Multiplier</t>
  </si>
  <si>
    <t>Mult. Val.</t>
  </si>
  <si>
    <t>Assemble, 5kg, Line-on-Line</t>
  </si>
  <si>
    <t>Fix Wheel on Hubs</t>
  </si>
  <si>
    <t>Ratchet &lt;= 25.4 mm</t>
  </si>
  <si>
    <t>Tighten Lug Nuts</t>
  </si>
  <si>
    <t>Fastener</t>
  </si>
  <si>
    <t>Nut, Lug</t>
  </si>
  <si>
    <t>cm</t>
  </si>
  <si>
    <t>Wheels, Wheel Bearings and Tires</t>
  </si>
  <si>
    <t>mm</t>
  </si>
  <si>
    <t>Wheel Studs</t>
  </si>
  <si>
    <t>Stud, Grade 12.9</t>
  </si>
  <si>
    <t>Front Wheel Spacer on hub</t>
  </si>
  <si>
    <t>Assemble, 1 kg, Loose</t>
  </si>
  <si>
    <t>Wheel studs and hub assemble</t>
  </si>
  <si>
    <t>Assemble, 1 kg, Line-on-Line</t>
  </si>
  <si>
    <t>Liquid Applicator Gun</t>
  </si>
  <si>
    <t>Locknut on hub</t>
  </si>
  <si>
    <t>Lock nut washer assemble on the hub</t>
  </si>
  <si>
    <t>Assemble, 1kg, Loose</t>
  </si>
  <si>
    <t>Speed sensor disc assemble on the hub</t>
  </si>
  <si>
    <t>Speed sensor spacer assemble on the hub</t>
  </si>
  <si>
    <t>Bearings Assemble</t>
  </si>
  <si>
    <t>Assemble, 1 kg, Interference</t>
  </si>
  <si>
    <t>Bearing spacer assemble on the hub</t>
  </si>
  <si>
    <t>Wheel studs and hub assemble, cost included in process</t>
  </si>
  <si>
    <t>Adhesive</t>
  </si>
  <si>
    <t>Bearing Nuts</t>
  </si>
  <si>
    <t>Locknut/L.P.///Steel/</t>
  </si>
  <si>
    <t>Wheel Bearing, Ball, Angular Contact</t>
  </si>
  <si>
    <t>Speed Sensor Disc</t>
  </si>
  <si>
    <t>Speed Sensor Spacer</t>
  </si>
  <si>
    <t>Front Wheel Spacer</t>
  </si>
  <si>
    <t>Front Bearing Spacer</t>
  </si>
  <si>
    <t>Part Cost</t>
  </si>
  <si>
    <t>Part</t>
  </si>
  <si>
    <t>Assembly of a part of the wheel with the hub, bearings and a part to mesure the speed of the wheel</t>
  </si>
  <si>
    <t>Front Hubs</t>
  </si>
  <si>
    <t>Material - Aluminium</t>
  </si>
  <si>
    <t>For locknut</t>
  </si>
  <si>
    <t>Threading, External (machining)</t>
  </si>
  <si>
    <t>For wheel studs</t>
  </si>
  <si>
    <t>Threading, Internal (machining)</t>
  </si>
  <si>
    <t>cm^3</t>
  </si>
  <si>
    <t>Milling</t>
  </si>
  <si>
    <t>Machining</t>
  </si>
  <si>
    <t>Machining Setup, Change</t>
  </si>
  <si>
    <t>Machining Setup, Install and Remove</t>
  </si>
  <si>
    <t>Turning</t>
  </si>
  <si>
    <t>Change the turning setup</t>
  </si>
  <si>
    <t>Setup for turning</t>
  </si>
  <si>
    <t>round area, 130mm diameter</t>
  </si>
  <si>
    <t>kg</t>
  </si>
  <si>
    <t>Aluminium, Premium</t>
  </si>
  <si>
    <t>Main part of the assembly</t>
  </si>
  <si>
    <t>Front Hub</t>
  </si>
  <si>
    <t>Drawing</t>
  </si>
  <si>
    <t>Drawing part :</t>
  </si>
  <si>
    <t>round area, 55mm diameter</t>
  </si>
  <si>
    <t>Part to let a space beetween the hub and the first bearing</t>
  </si>
  <si>
    <t>Wheel bearing spacer</t>
  </si>
  <si>
    <t>Part to position the wheel on the good position relative to the hub and upright assembly</t>
  </si>
  <si>
    <t>Laser cut</t>
  </si>
  <si>
    <t>one setup for 2 pieces</t>
  </si>
  <si>
    <t>Square area 45x45mm</t>
  </si>
  <si>
    <t>Aluminum, Normal</t>
  </si>
  <si>
    <t>Part to avoid the speed sensor disc to interfere with the Upright</t>
  </si>
  <si>
    <t>Speed sensor spacer</t>
  </si>
  <si>
    <t>rectangular area, 160mm*160mm</t>
  </si>
  <si>
    <t>Steel, Mild</t>
  </si>
  <si>
    <t>Disc use in combination with a sensor to obtain the speed of a 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</si>
</sst>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\ _€_-;\-* #,##0.00\ _€_-;_-* &quot;-&quot;??\ _€_-;_-@_-"/>
    <numFmt numFmtId="164" formatCode="_(* #,##0.00_);_(* \(#,##0.00\);_(* &quot;-&quot;??_);_(@_)"/>
    <numFmt numFmtId="165" formatCode="_-[$$-409]* #,##0.00_ ;_-[$$-409]* \-#,##0.00\ ;_-[$$-409]* &quot;-&quot;??_ ;_-@_ "/>
    <numFmt numFmtId="166" formatCode="\$#,##0.00_);&quot;($&quot;#,##0.00\)"/>
    <numFmt numFmtId="167" formatCode="_(&quot;$&quot;* #,##0.00_);_(&quot;$&quot;* \(#,##0.00\);_(&quot;$&quot;* &quot;-&quot;??_);_(@_)"/>
    <numFmt numFmtId="168" formatCode="_(\$* #,##0.00_);_(\$* \(#,##0.00\);_(\$* \-??_);_(@_)"/>
    <numFmt numFmtId="169" formatCode="_(* #,##0_);_(* \(#,##0\);_(* &quot;-&quot;??_);_(@_)"/>
    <numFmt numFmtId="170" formatCode="_(* #,##0.00_);_(* \(#,##0.00\);_(* \-??_);_(@_)"/>
    <numFmt numFmtId="171" formatCode="#,##0.0000"/>
    <numFmt numFmtId="172" formatCode="_(* #,##0.000_);_(* \(#,##0.000\);_(* \-??_);_(@_)"/>
    <numFmt numFmtId="173" formatCode="0.000"/>
    <numFmt numFmtId="175" formatCode="_(* #,##0_);_(* \(#,##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charset val="1"/>
    </font>
    <font>
      <sz val="7"/>
      <name val="Arial"/>
      <family val="2"/>
    </font>
    <font>
      <b/>
      <sz val="11"/>
      <name val="Arial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CCFF"/>
        <bgColor theme="0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indexed="62"/>
        <bgColor indexed="62"/>
      </patternFill>
    </fill>
    <fill>
      <patternFill patternType="solid">
        <fgColor rgb="FF33CCFF"/>
        <bgColor rgb="FFFCD5B5"/>
      </patternFill>
    </fill>
    <fill>
      <patternFill patternType="solid">
        <fgColor rgb="FF99FFCC"/>
        <bgColor rgb="FFFAC09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 style="thin">
        <color rgb="FFFFFFFF"/>
      </top>
      <bottom style="thin">
        <color rgb="FFFFFFFF"/>
      </bottom>
      <diagonal/>
    </border>
  </borders>
  <cellStyleXfs count="13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3" fillId="0" borderId="0"/>
    <xf numFmtId="166" fontId="13" fillId="0" borderId="11">
      <alignment vertical="center" wrapText="1"/>
    </xf>
    <xf numFmtId="167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5" fillId="0" borderId="0"/>
    <xf numFmtId="167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" fillId="0" borderId="0"/>
  </cellStyleXfs>
  <cellXfs count="180">
    <xf numFmtId="0" fontId="0" fillId="0" borderId="0" xfId="0"/>
    <xf numFmtId="0" fontId="2" fillId="0" borderId="0" xfId="1" applyFont="1"/>
    <xf numFmtId="0" fontId="3" fillId="0" borderId="0" xfId="1" applyFont="1"/>
    <xf numFmtId="164" fontId="3" fillId="0" borderId="0" xfId="2" applyFont="1"/>
    <xf numFmtId="0" fontId="4" fillId="0" borderId="0" xfId="1" applyFont="1"/>
    <xf numFmtId="0" fontId="5" fillId="0" borderId="0" xfId="1" applyFont="1"/>
    <xf numFmtId="0" fontId="2" fillId="0" borderId="0" xfId="1" applyFont="1" applyProtection="1">
      <protection locked="0"/>
    </xf>
    <xf numFmtId="0" fontId="3" fillId="0" borderId="0" xfId="1" applyFont="1" applyProtection="1">
      <protection locked="0"/>
    </xf>
    <xf numFmtId="164" fontId="2" fillId="0" borderId="0" xfId="2" applyFont="1"/>
    <xf numFmtId="164" fontId="2" fillId="0" borderId="0" xfId="1" applyNumberFormat="1" applyFont="1"/>
    <xf numFmtId="0" fontId="2" fillId="0" borderId="0" xfId="1" applyFont="1" applyFill="1"/>
    <xf numFmtId="0" fontId="6" fillId="0" borderId="1" xfId="1" applyFont="1" applyFill="1" applyBorder="1" applyAlignment="1">
      <alignment horizontal="center"/>
    </xf>
    <xf numFmtId="165" fontId="6" fillId="0" borderId="1" xfId="1" applyNumberFormat="1" applyFont="1" applyFill="1" applyBorder="1" applyAlignment="1">
      <alignment horizontal="right"/>
    </xf>
    <xf numFmtId="0" fontId="6" fillId="0" borderId="1" xfId="1" applyFont="1" applyFill="1" applyBorder="1" applyAlignment="1" applyProtection="1">
      <alignment horizontal="center"/>
      <protection locked="0"/>
    </xf>
    <xf numFmtId="164" fontId="6" fillId="0" borderId="1" xfId="2" applyFont="1" applyFill="1" applyBorder="1" applyProtection="1">
      <protection locked="0"/>
    </xf>
    <xf numFmtId="18" fontId="6" fillId="0" borderId="1" xfId="1" applyNumberFormat="1" applyFont="1" applyFill="1" applyBorder="1" applyAlignment="1" applyProtection="1">
      <protection locked="0"/>
    </xf>
    <xf numFmtId="0" fontId="6" fillId="0" borderId="1" xfId="1" applyFont="1" applyFill="1" applyBorder="1" applyAlignment="1">
      <alignment horizontal="left"/>
    </xf>
    <xf numFmtId="0" fontId="6" fillId="0" borderId="1" xfId="1" applyFont="1" applyFill="1" applyBorder="1" applyProtection="1">
      <protection locked="0"/>
    </xf>
    <xf numFmtId="0" fontId="6" fillId="2" borderId="2" xfId="1" applyFont="1" applyFill="1" applyBorder="1" applyAlignment="1">
      <alignment horizontal="center"/>
    </xf>
    <xf numFmtId="165" fontId="6" fillId="2" borderId="2" xfId="1" applyNumberFormat="1" applyFont="1" applyFill="1" applyBorder="1" applyAlignment="1">
      <alignment horizontal="right"/>
    </xf>
    <xf numFmtId="165" fontId="6" fillId="2" borderId="2" xfId="1" applyNumberFormat="1" applyFont="1" applyFill="1" applyBorder="1" applyAlignment="1" applyProtection="1">
      <alignment horizontal="center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65" fontId="6" fillId="2" borderId="2" xfId="2" applyNumberFormat="1" applyFont="1" applyFill="1" applyBorder="1" applyProtection="1">
      <protection locked="0"/>
    </xf>
    <xf numFmtId="18" fontId="6" fillId="2" borderId="2" xfId="1" applyNumberFormat="1" applyFont="1" applyFill="1" applyBorder="1" applyAlignment="1" applyProtection="1">
      <protection locked="0"/>
    </xf>
    <xf numFmtId="0" fontId="6" fillId="2" borderId="2" xfId="1" applyFont="1" applyFill="1" applyBorder="1" applyAlignment="1">
      <alignment horizontal="left"/>
    </xf>
    <xf numFmtId="0" fontId="6" fillId="2" borderId="2" xfId="1" applyFont="1" applyFill="1" applyBorder="1" applyProtection="1">
      <protection locked="0"/>
    </xf>
    <xf numFmtId="18" fontId="6" fillId="2" borderId="2" xfId="1" applyNumberFormat="1" applyFont="1" applyFill="1" applyBorder="1" applyAlignment="1" applyProtection="1">
      <alignment horizontal="right"/>
      <protection locked="0"/>
    </xf>
    <xf numFmtId="0" fontId="6" fillId="3" borderId="2" xfId="1" applyFont="1" applyFill="1" applyBorder="1" applyAlignment="1">
      <alignment horizontal="center"/>
    </xf>
    <xf numFmtId="165" fontId="6" fillId="3" borderId="2" xfId="1" applyNumberFormat="1" applyFont="1" applyFill="1" applyBorder="1" applyAlignment="1">
      <alignment horizontal="right"/>
    </xf>
    <xf numFmtId="165" fontId="6" fillId="3" borderId="2" xfId="1" applyNumberFormat="1" applyFont="1" applyFill="1" applyBorder="1" applyAlignment="1" applyProtection="1">
      <alignment horizontal="center"/>
      <protection locked="0"/>
    </xf>
    <xf numFmtId="37" fontId="6" fillId="3" borderId="2" xfId="1" applyNumberFormat="1" applyFont="1" applyFill="1" applyBorder="1" applyAlignment="1" applyProtection="1">
      <alignment horizontal="center"/>
      <protection locked="0"/>
    </xf>
    <xf numFmtId="165" fontId="6" fillId="3" borderId="2" xfId="2" applyNumberFormat="1" applyFont="1" applyFill="1" applyBorder="1" applyProtection="1">
      <protection locked="0"/>
    </xf>
    <xf numFmtId="18" fontId="6" fillId="3" borderId="2" xfId="1" applyNumberFormat="1" applyFont="1" applyFill="1" applyBorder="1" applyAlignment="1" applyProtection="1">
      <protection locked="0"/>
    </xf>
    <xf numFmtId="0" fontId="7" fillId="3" borderId="2" xfId="3" applyFill="1" applyBorder="1" applyAlignment="1">
      <alignment horizontal="left"/>
    </xf>
    <xf numFmtId="0" fontId="6" fillId="3" borderId="2" xfId="1" applyFont="1" applyFill="1" applyBorder="1" applyAlignment="1">
      <alignment horizontal="left"/>
    </xf>
    <xf numFmtId="0" fontId="6" fillId="3" borderId="2" xfId="1" applyFont="1" applyFill="1" applyBorder="1" applyProtection="1">
      <protection locked="0"/>
    </xf>
    <xf numFmtId="0" fontId="8" fillId="0" borderId="0" xfId="1" applyFont="1"/>
    <xf numFmtId="0" fontId="9" fillId="0" borderId="3" xfId="1" applyFont="1" applyBorder="1" applyAlignment="1">
      <alignment horizontal="center" wrapText="1"/>
    </xf>
    <xf numFmtId="2" fontId="9" fillId="0" borderId="3" xfId="1" applyNumberFormat="1" applyFont="1" applyBorder="1" applyAlignment="1">
      <alignment horizontal="center" wrapText="1"/>
    </xf>
    <xf numFmtId="164" fontId="9" fillId="0" borderId="3" xfId="2" applyFont="1" applyBorder="1" applyAlignment="1">
      <alignment horizontal="center" wrapText="1"/>
    </xf>
    <xf numFmtId="0" fontId="9" fillId="0" borderId="0" xfId="1" applyFont="1" applyAlignment="1">
      <alignment horizontal="center"/>
    </xf>
    <xf numFmtId="0" fontId="1" fillId="0" borderId="0" xfId="4" applyFill="1"/>
    <xf numFmtId="0" fontId="1" fillId="0" borderId="0" xfId="4" applyFont="1" applyFill="1"/>
    <xf numFmtId="0" fontId="1" fillId="0" borderId="0" xfId="4" applyFill="1" applyBorder="1"/>
    <xf numFmtId="0" fontId="1" fillId="0" borderId="0" xfId="4" applyFont="1" applyFill="1" applyBorder="1"/>
    <xf numFmtId="0" fontId="10" fillId="0" borderId="0" xfId="4" applyFont="1" applyFill="1" applyBorder="1"/>
    <xf numFmtId="0" fontId="1" fillId="0" borderId="0" xfId="4"/>
    <xf numFmtId="0" fontId="1" fillId="0" borderId="0" xfId="4" applyFont="1"/>
    <xf numFmtId="0" fontId="11" fillId="0" borderId="0" xfId="1" applyFont="1"/>
    <xf numFmtId="0" fontId="1" fillId="0" borderId="0" xfId="4" applyBorder="1"/>
    <xf numFmtId="0" fontId="1" fillId="4" borderId="4" xfId="4" quotePrefix="1" applyFont="1" applyFill="1" applyBorder="1" applyAlignment="1">
      <alignment horizontal="left"/>
    </xf>
    <xf numFmtId="0" fontId="12" fillId="5" borderId="5" xfId="4" applyFont="1" applyFill="1" applyBorder="1"/>
    <xf numFmtId="0" fontId="1" fillId="4" borderId="4" xfId="4" quotePrefix="1" applyFill="1" applyBorder="1" applyAlignment="1">
      <alignment horizontal="left"/>
    </xf>
    <xf numFmtId="0" fontId="12" fillId="5" borderId="6" xfId="4" applyFont="1" applyFill="1" applyBorder="1"/>
    <xf numFmtId="0" fontId="1" fillId="4" borderId="4" xfId="4" applyFont="1" applyFill="1" applyBorder="1"/>
    <xf numFmtId="0" fontId="12" fillId="5" borderId="7" xfId="4" applyFont="1" applyFill="1" applyBorder="1"/>
    <xf numFmtId="2" fontId="1" fillId="6" borderId="8" xfId="4" quotePrefix="1" applyNumberFormat="1" applyFill="1" applyBorder="1" applyAlignment="1">
      <alignment horizontal="right"/>
    </xf>
    <xf numFmtId="0" fontId="10" fillId="7" borderId="0" xfId="4" applyFont="1" applyFill="1" applyBorder="1" applyAlignment="1"/>
    <xf numFmtId="0" fontId="12" fillId="7" borderId="0" xfId="4" applyFont="1" applyFill="1" applyBorder="1" applyAlignment="1"/>
    <xf numFmtId="0" fontId="1" fillId="4" borderId="9" xfId="4" applyFont="1" applyFill="1" applyBorder="1"/>
    <xf numFmtId="0" fontId="12" fillId="5" borderId="10" xfId="4" applyFont="1" applyFill="1" applyBorder="1"/>
    <xf numFmtId="18" fontId="6" fillId="3" borderId="2" xfId="1" applyNumberFormat="1" applyFont="1" applyFill="1" applyBorder="1" applyAlignment="1" applyProtection="1">
      <alignment horizontal="left"/>
      <protection locked="0"/>
    </xf>
    <xf numFmtId="11" fontId="6" fillId="3" borderId="2" xfId="1" applyNumberFormat="1" applyFont="1" applyFill="1" applyBorder="1" applyAlignment="1" applyProtection="1">
      <protection locked="0"/>
    </xf>
    <xf numFmtId="0" fontId="6" fillId="3" borderId="2" xfId="1" applyFont="1" applyFill="1" applyBorder="1" applyAlignment="1" applyProtection="1">
      <alignment horizontal="center"/>
      <protection locked="0"/>
    </xf>
    <xf numFmtId="0" fontId="13" fillId="0" borderId="12" xfId="5" applyBorder="1"/>
    <xf numFmtId="0" fontId="13" fillId="0" borderId="13" xfId="5" applyBorder="1"/>
    <xf numFmtId="0" fontId="13" fillId="0" borderId="14" xfId="5" applyBorder="1"/>
    <xf numFmtId="0" fontId="13" fillId="0" borderId="0" xfId="5"/>
    <xf numFmtId="0" fontId="16" fillId="8" borderId="15" xfId="5" applyFont="1" applyFill="1" applyBorder="1"/>
    <xf numFmtId="0" fontId="17" fillId="0" borderId="0" xfId="5" applyFont="1" applyBorder="1"/>
    <xf numFmtId="0" fontId="13" fillId="0" borderId="0" xfId="5" applyBorder="1"/>
    <xf numFmtId="0" fontId="17" fillId="0" borderId="15" xfId="5" applyFont="1" applyBorder="1" applyAlignment="1">
      <alignment horizontal="right"/>
    </xf>
    <xf numFmtId="165" fontId="17" fillId="0" borderId="15" xfId="6" applyNumberFormat="1" applyFont="1" applyBorder="1" applyAlignment="1" applyProtection="1"/>
    <xf numFmtId="0" fontId="13" fillId="0" borderId="16" xfId="5" applyBorder="1"/>
    <xf numFmtId="37" fontId="17" fillId="0" borderId="15" xfId="6" applyNumberFormat="1" applyFont="1" applyBorder="1" applyAlignment="1" applyProtection="1"/>
    <xf numFmtId="0" fontId="13" fillId="0" borderId="0" xfId="5" applyFont="1" applyBorder="1"/>
    <xf numFmtId="0" fontId="16" fillId="8" borderId="0" xfId="5" applyFont="1" applyFill="1" applyBorder="1"/>
    <xf numFmtId="0" fontId="17" fillId="0" borderId="0" xfId="5" applyFont="1" applyBorder="1" applyAlignment="1">
      <alignment horizontal="left"/>
    </xf>
    <xf numFmtId="168" fontId="17" fillId="0" borderId="15" xfId="6" applyNumberFormat="1" applyFont="1" applyBorder="1" applyAlignment="1" applyProtection="1"/>
    <xf numFmtId="0" fontId="13" fillId="0" borderId="17" xfId="5" applyBorder="1"/>
    <xf numFmtId="0" fontId="18" fillId="0" borderId="18" xfId="5" applyFont="1" applyFill="1" applyBorder="1"/>
    <xf numFmtId="0" fontId="18" fillId="0" borderId="18" xfId="5" applyFont="1" applyFill="1" applyBorder="1" applyAlignment="1" applyProtection="1">
      <alignment vertical="center" wrapText="1"/>
    </xf>
    <xf numFmtId="167" fontId="18" fillId="0" borderId="18" xfId="7" applyFont="1" applyFill="1" applyBorder="1"/>
    <xf numFmtId="164" fontId="18" fillId="0" borderId="18" xfId="8" applyFont="1" applyFill="1" applyBorder="1"/>
    <xf numFmtId="11" fontId="18" fillId="0" borderId="18" xfId="5" applyNumberFormat="1" applyFont="1" applyFill="1" applyBorder="1"/>
    <xf numFmtId="169" fontId="18" fillId="0" borderId="18" xfId="8" applyNumberFormat="1" applyFont="1" applyFill="1" applyBorder="1"/>
    <xf numFmtId="1" fontId="18" fillId="0" borderId="18" xfId="8" applyNumberFormat="1" applyFont="1" applyFill="1" applyBorder="1"/>
    <xf numFmtId="167" fontId="18" fillId="0" borderId="18" xfId="7" applyNumberFormat="1" applyFont="1" applyFill="1" applyBorder="1"/>
    <xf numFmtId="0" fontId="13" fillId="0" borderId="16" xfId="5" applyBorder="1" applyAlignment="1"/>
    <xf numFmtId="0" fontId="13" fillId="0" borderId="0" xfId="5" applyAlignment="1"/>
    <xf numFmtId="2" fontId="18" fillId="0" borderId="18" xfId="7" applyNumberFormat="1" applyFont="1" applyFill="1" applyBorder="1"/>
    <xf numFmtId="11" fontId="18" fillId="0" borderId="18" xfId="8" applyNumberFormat="1" applyFont="1" applyFill="1" applyBorder="1"/>
    <xf numFmtId="0" fontId="18" fillId="0" borderId="18" xfId="8" applyNumberFormat="1" applyFont="1" applyFill="1" applyBorder="1"/>
    <xf numFmtId="0" fontId="16" fillId="0" borderId="17" xfId="5" applyFont="1" applyBorder="1"/>
    <xf numFmtId="0" fontId="16" fillId="0" borderId="0" xfId="5" applyFont="1" applyBorder="1"/>
    <xf numFmtId="168" fontId="16" fillId="8" borderId="15" xfId="5" applyNumberFormat="1" applyFont="1" applyFill="1" applyBorder="1"/>
    <xf numFmtId="0" fontId="13" fillId="0" borderId="16" xfId="5" applyBorder="1" applyAlignment="1">
      <alignment wrapText="1"/>
    </xf>
    <xf numFmtId="0" fontId="13" fillId="0" borderId="0" xfId="5" applyAlignment="1">
      <alignment wrapText="1"/>
    </xf>
    <xf numFmtId="0" fontId="18" fillId="0" borderId="18" xfId="5" applyNumberFormat="1" applyFont="1" applyFill="1" applyBorder="1"/>
    <xf numFmtId="0" fontId="14" fillId="0" borderId="18" xfId="9" applyFont="1" applyFill="1" applyBorder="1" applyAlignment="1">
      <alignment wrapText="1"/>
    </xf>
    <xf numFmtId="0" fontId="16" fillId="8" borderId="15" xfId="5" applyFont="1" applyFill="1" applyBorder="1" applyAlignment="1">
      <alignment horizontal="right"/>
    </xf>
    <xf numFmtId="39" fontId="18" fillId="0" borderId="18" xfId="7" applyNumberFormat="1" applyFont="1" applyFill="1" applyBorder="1"/>
    <xf numFmtId="37" fontId="18" fillId="0" borderId="18" xfId="7" applyNumberFormat="1" applyFont="1" applyFill="1" applyBorder="1"/>
    <xf numFmtId="0" fontId="13" fillId="0" borderId="19" xfId="5" applyBorder="1"/>
    <xf numFmtId="0" fontId="13" fillId="0" borderId="20" xfId="5" applyBorder="1"/>
    <xf numFmtId="0" fontId="13" fillId="0" borderId="21" xfId="5" applyBorder="1"/>
    <xf numFmtId="0" fontId="7" fillId="0" borderId="0" xfId="3" applyBorder="1"/>
    <xf numFmtId="0" fontId="18" fillId="0" borderId="18" xfId="5" applyFont="1" applyFill="1" applyBorder="1" applyAlignment="1">
      <alignment wrapText="1"/>
    </xf>
    <xf numFmtId="0" fontId="18" fillId="0" borderId="18" xfId="5" applyFont="1" applyBorder="1" applyAlignment="1">
      <alignment wrapText="1"/>
    </xf>
    <xf numFmtId="0" fontId="13" fillId="0" borderId="16" xfId="5" applyFont="1" applyBorder="1"/>
    <xf numFmtId="0" fontId="13" fillId="0" borderId="0" xfId="5" applyFont="1"/>
    <xf numFmtId="0" fontId="18" fillId="0" borderId="18" xfId="12" applyFont="1" applyFill="1" applyBorder="1" applyAlignment="1" applyProtection="1">
      <alignment vertical="center" wrapText="1"/>
    </xf>
    <xf numFmtId="0" fontId="17" fillId="0" borderId="15" xfId="5" applyFont="1" applyBorder="1"/>
    <xf numFmtId="0" fontId="18" fillId="0" borderId="0" xfId="5" applyFont="1" applyFill="1" applyBorder="1" applyAlignment="1" applyProtection="1">
      <alignment vertical="center" wrapText="1"/>
    </xf>
    <xf numFmtId="37" fontId="17" fillId="0" borderId="15" xfId="5" applyNumberFormat="1" applyFont="1" applyBorder="1"/>
    <xf numFmtId="0" fontId="7" fillId="0" borderId="15" xfId="3" applyNumberFormat="1" applyBorder="1" applyAlignment="1" applyProtection="1"/>
    <xf numFmtId="0" fontId="17" fillId="0" borderId="16" xfId="6" applyNumberFormat="1" applyFont="1" applyBorder="1" applyAlignment="1"/>
    <xf numFmtId="0" fontId="7" fillId="0" borderId="0" xfId="3"/>
    <xf numFmtId="0" fontId="7" fillId="0" borderId="15" xfId="3" applyBorder="1"/>
    <xf numFmtId="168" fontId="16" fillId="9" borderId="23" xfId="5" applyNumberFormat="1" applyFont="1" applyFill="1" applyBorder="1"/>
    <xf numFmtId="0" fontId="16" fillId="9" borderId="23" xfId="5" applyFont="1" applyFill="1" applyBorder="1" applyAlignment="1">
      <alignment horizontal="right"/>
    </xf>
    <xf numFmtId="168" fontId="17" fillId="0" borderId="18" xfId="6" applyNumberFormat="1" applyFont="1" applyBorder="1" applyAlignment="1" applyProtection="1"/>
    <xf numFmtId="0" fontId="13" fillId="0" borderId="0" xfId="5" applyBorder="1" applyAlignment="1">
      <alignment wrapText="1"/>
    </xf>
    <xf numFmtId="168" fontId="17" fillId="0" borderId="18" xfId="6" applyNumberFormat="1" applyFont="1" applyBorder="1" applyAlignment="1" applyProtection="1">
      <alignment wrapText="1"/>
    </xf>
    <xf numFmtId="0" fontId="16" fillId="9" borderId="18" xfId="5" applyFont="1" applyFill="1" applyBorder="1"/>
    <xf numFmtId="0" fontId="16" fillId="9" borderId="24" xfId="5" applyFont="1" applyFill="1" applyBorder="1"/>
    <xf numFmtId="0" fontId="16" fillId="9" borderId="18" xfId="5" applyFont="1" applyFill="1" applyBorder="1" applyAlignment="1">
      <alignment horizontal="right"/>
    </xf>
    <xf numFmtId="2" fontId="17" fillId="0" borderId="18" xfId="6" applyNumberFormat="1" applyFont="1" applyBorder="1" applyAlignment="1" applyProtection="1"/>
    <xf numFmtId="3" fontId="13" fillId="0" borderId="18" xfId="5" applyNumberFormat="1" applyBorder="1" applyAlignment="1"/>
    <xf numFmtId="172" fontId="17" fillId="0" borderId="18" xfId="6" applyNumberFormat="1" applyFont="1" applyBorder="1" applyAlignment="1" applyProtection="1"/>
    <xf numFmtId="173" fontId="17" fillId="0" borderId="18" xfId="6" applyNumberFormat="1" applyFont="1" applyBorder="1" applyAlignment="1" applyProtection="1"/>
    <xf numFmtId="11" fontId="17" fillId="0" borderId="18" xfId="5" applyNumberFormat="1" applyFont="1" applyBorder="1" applyAlignment="1"/>
    <xf numFmtId="170" fontId="17" fillId="0" borderId="18" xfId="6" applyNumberFormat="1" applyFont="1" applyBorder="1" applyAlignment="1" applyProtection="1"/>
    <xf numFmtId="0" fontId="17" fillId="0" borderId="18" xfId="5" applyFont="1" applyBorder="1" applyAlignment="1"/>
    <xf numFmtId="43" fontId="17" fillId="0" borderId="18" xfId="5" applyNumberFormat="1" applyFont="1" applyBorder="1" applyAlignment="1"/>
    <xf numFmtId="0" fontId="17" fillId="0" borderId="18" xfId="5" applyFont="1" applyBorder="1" applyAlignment="1" applyProtection="1"/>
    <xf numFmtId="0" fontId="17" fillId="0" borderId="24" xfId="5" applyFont="1" applyBorder="1" applyAlignment="1"/>
    <xf numFmtId="0" fontId="16" fillId="9" borderId="23" xfId="5" applyFont="1" applyFill="1" applyBorder="1"/>
    <xf numFmtId="0" fontId="16" fillId="9" borderId="25" xfId="5" applyFont="1" applyFill="1" applyBorder="1"/>
    <xf numFmtId="0" fontId="16" fillId="0" borderId="26" xfId="5" applyFont="1" applyBorder="1"/>
    <xf numFmtId="0" fontId="16" fillId="0" borderId="27" xfId="5" applyFont="1" applyBorder="1"/>
    <xf numFmtId="0" fontId="16" fillId="9" borderId="15" xfId="5" applyFont="1" applyFill="1" applyBorder="1"/>
    <xf numFmtId="0" fontId="16" fillId="9" borderId="28" xfId="5" applyFont="1" applyFill="1" applyBorder="1"/>
    <xf numFmtId="49" fontId="17" fillId="0" borderId="0" xfId="5" applyNumberFormat="1" applyFont="1" applyBorder="1" applyAlignment="1">
      <alignment horizontal="left"/>
    </xf>
    <xf numFmtId="0" fontId="7" fillId="0" borderId="0" xfId="3" applyFill="1"/>
    <xf numFmtId="0" fontId="16" fillId="9" borderId="15" xfId="5" applyFont="1" applyFill="1" applyBorder="1" applyAlignment="1">
      <alignment horizontal="left"/>
    </xf>
    <xf numFmtId="0" fontId="17" fillId="0" borderId="15" xfId="5" applyFont="1" applyBorder="1" applyAlignment="1">
      <alignment wrapText="1"/>
    </xf>
    <xf numFmtId="168" fontId="17" fillId="0" borderId="15" xfId="6" applyNumberFormat="1" applyFont="1" applyBorder="1" applyAlignment="1" applyProtection="1">
      <alignment wrapText="1"/>
    </xf>
    <xf numFmtId="170" fontId="17" fillId="0" borderId="15" xfId="6" applyNumberFormat="1" applyFont="1" applyBorder="1" applyAlignment="1" applyProtection="1">
      <alignment wrapText="1"/>
    </xf>
    <xf numFmtId="11" fontId="17" fillId="0" borderId="15" xfId="5" applyNumberFormat="1" applyFont="1" applyBorder="1" applyAlignment="1">
      <alignment wrapText="1"/>
    </xf>
    <xf numFmtId="171" fontId="17" fillId="0" borderId="15" xfId="6" applyNumberFormat="1" applyFont="1" applyBorder="1" applyAlignment="1" applyProtection="1">
      <alignment wrapText="1"/>
    </xf>
    <xf numFmtId="0" fontId="18" fillId="0" borderId="18" xfId="12" applyFont="1" applyFill="1" applyBorder="1" applyAlignment="1">
      <alignment wrapText="1"/>
    </xf>
    <xf numFmtId="167" fontId="18" fillId="0" borderId="18" xfId="7" applyFont="1" applyFill="1" applyBorder="1" applyAlignment="1">
      <alignment wrapText="1"/>
    </xf>
    <xf numFmtId="43" fontId="18" fillId="0" borderId="18" xfId="11" applyFont="1" applyFill="1" applyBorder="1" applyAlignment="1">
      <alignment wrapText="1"/>
    </xf>
    <xf numFmtId="11" fontId="18" fillId="0" borderId="18" xfId="12" applyNumberFormat="1" applyFont="1" applyFill="1" applyBorder="1" applyAlignment="1">
      <alignment wrapText="1"/>
    </xf>
    <xf numFmtId="169" fontId="18" fillId="0" borderId="18" xfId="11" applyNumberFormat="1" applyFont="1" applyFill="1" applyBorder="1" applyAlignment="1">
      <alignment wrapText="1"/>
    </xf>
    <xf numFmtId="1" fontId="18" fillId="0" borderId="18" xfId="11" applyNumberFormat="1" applyFont="1" applyFill="1" applyBorder="1" applyAlignment="1">
      <alignment wrapText="1"/>
    </xf>
    <xf numFmtId="0" fontId="18" fillId="0" borderId="22" xfId="5" applyFont="1" applyFill="1" applyBorder="1" applyAlignment="1">
      <alignment wrapText="1"/>
    </xf>
    <xf numFmtId="0" fontId="18" fillId="0" borderId="18" xfId="5" applyNumberFormat="1" applyFont="1" applyFill="1" applyBorder="1" applyAlignment="1">
      <alignment wrapText="1"/>
    </xf>
    <xf numFmtId="167" fontId="18" fillId="0" borderId="22" xfId="10" applyFont="1" applyFill="1" applyBorder="1" applyAlignment="1">
      <alignment wrapText="1"/>
    </xf>
    <xf numFmtId="167" fontId="18" fillId="0" borderId="18" xfId="10" applyFont="1" applyFill="1" applyBorder="1" applyAlignment="1">
      <alignment wrapText="1"/>
    </xf>
    <xf numFmtId="168" fontId="18" fillId="0" borderId="18" xfId="6" applyNumberFormat="1" applyFont="1" applyBorder="1" applyAlignment="1" applyProtection="1">
      <alignment wrapText="1"/>
    </xf>
    <xf numFmtId="0" fontId="13" fillId="0" borderId="18" xfId="5" applyBorder="1" applyAlignment="1">
      <alignment wrapText="1"/>
    </xf>
    <xf numFmtId="0" fontId="18" fillId="0" borderId="18" xfId="5" applyNumberFormat="1" applyFont="1" applyFill="1" applyBorder="1" applyAlignment="1"/>
    <xf numFmtId="0" fontId="18" fillId="0" borderId="18" xfId="5" applyFont="1" applyFill="1" applyBorder="1" applyAlignment="1"/>
    <xf numFmtId="167" fontId="18" fillId="0" borderId="18" xfId="10" applyFont="1" applyFill="1" applyBorder="1" applyAlignment="1"/>
    <xf numFmtId="0" fontId="18" fillId="0" borderId="18" xfId="5" applyFont="1" applyFill="1" applyBorder="1" applyAlignment="1" applyProtection="1">
      <alignment vertical="center"/>
    </xf>
    <xf numFmtId="39" fontId="18" fillId="0" borderId="18" xfId="10" applyNumberFormat="1" applyFont="1" applyFill="1" applyBorder="1" applyAlignment="1"/>
    <xf numFmtId="37" fontId="18" fillId="0" borderId="18" xfId="10" applyNumberFormat="1" applyFont="1" applyFill="1" applyBorder="1" applyAlignment="1"/>
    <xf numFmtId="175" fontId="17" fillId="0" borderId="15" xfId="6" applyNumberFormat="1" applyFont="1" applyBorder="1" applyAlignment="1" applyProtection="1">
      <alignment wrapText="1"/>
    </xf>
    <xf numFmtId="0" fontId="17" fillId="0" borderId="24" xfId="5" applyFont="1" applyBorder="1" applyAlignment="1">
      <alignment wrapText="1"/>
    </xf>
    <xf numFmtId="0" fontId="17" fillId="0" borderId="18" xfId="5" applyFont="1" applyBorder="1" applyAlignment="1" applyProtection="1">
      <alignment wrapText="1"/>
    </xf>
    <xf numFmtId="0" fontId="17" fillId="0" borderId="18" xfId="5" applyFont="1" applyBorder="1" applyAlignment="1">
      <alignment wrapText="1"/>
    </xf>
    <xf numFmtId="43" fontId="17" fillId="0" borderId="18" xfId="5" applyNumberFormat="1" applyFont="1" applyBorder="1" applyAlignment="1">
      <alignment wrapText="1"/>
    </xf>
    <xf numFmtId="170" fontId="17" fillId="0" borderId="18" xfId="6" applyNumberFormat="1" applyFont="1" applyBorder="1" applyAlignment="1" applyProtection="1">
      <alignment wrapText="1"/>
    </xf>
    <xf numFmtId="11" fontId="17" fillId="0" borderId="18" xfId="5" applyNumberFormat="1" applyFont="1" applyBorder="1" applyAlignment="1">
      <alignment wrapText="1"/>
    </xf>
    <xf numFmtId="173" fontId="17" fillId="0" borderId="18" xfId="6" applyNumberFormat="1" applyFont="1" applyBorder="1" applyAlignment="1" applyProtection="1">
      <alignment wrapText="1"/>
    </xf>
    <xf numFmtId="172" fontId="17" fillId="0" borderId="18" xfId="6" applyNumberFormat="1" applyFont="1" applyBorder="1" applyAlignment="1" applyProtection="1">
      <alignment wrapText="1"/>
    </xf>
    <xf numFmtId="3" fontId="13" fillId="0" borderId="18" xfId="5" applyNumberFormat="1" applyBorder="1" applyAlignment="1">
      <alignment wrapText="1"/>
    </xf>
    <xf numFmtId="2" fontId="17" fillId="0" borderId="18" xfId="6" applyNumberFormat="1" applyFont="1" applyBorder="1" applyAlignment="1" applyProtection="1">
      <alignment wrapText="1"/>
    </xf>
  </cellXfs>
  <cellStyles count="13">
    <cellStyle name="Comma 2" xfId="2"/>
    <cellStyle name="Lien hypertexte" xfId="3" builtinId="8"/>
    <cellStyle name="Milliers 2" xfId="8"/>
    <cellStyle name="Milliers 2 2" xfId="11"/>
    <cellStyle name="Monétaire 10" xfId="10"/>
    <cellStyle name="Monétaire 2" xfId="7"/>
    <cellStyle name="Normal" xfId="0" builtinId="0"/>
    <cellStyle name="Normal 2" xfId="1"/>
    <cellStyle name="Normal 3" xfId="4"/>
    <cellStyle name="Normal 4" xfId="5"/>
    <cellStyle name="Normal 5" xfId="12"/>
    <cellStyle name="Normal_Sheet1" xfId="9"/>
    <cellStyle name="TableStyleLight1" xfId="6"/>
  </cellStyles>
  <dxfs count="0"/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449580</xdr:colOff>
      <xdr:row>15</xdr:row>
      <xdr:rowOff>139701</xdr:rowOff>
    </xdr:from>
    <xdr:to>
      <xdr:col>13</xdr:col>
      <xdr:colOff>497840</xdr:colOff>
      <xdr:row>25</xdr:row>
      <xdr:rowOff>95395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78E01EE-D5C9-4656-995C-562BE1FCA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364220" y="2882901"/>
          <a:ext cx="1938020" cy="178449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518583</xdr:colOff>
      <xdr:row>12</xdr:row>
      <xdr:rowOff>95250</xdr:rowOff>
    </xdr:from>
    <xdr:ext cx="1050227" cy="1138767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142143" y="2289810"/>
          <a:ext cx="1050227" cy="113876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46494</xdr:colOff>
      <xdr:row>1</xdr:row>
      <xdr:rowOff>6846</xdr:rowOff>
    </xdr:from>
    <xdr:ext cx="7748766" cy="5873717"/>
    <xdr:pic>
      <xdr:nvPicPr>
        <xdr:cNvPr id="2" name="Image 1" descr="Capture d’écran">
          <a:extLst>
            <a:ext uri="{FF2B5EF4-FFF2-40B4-BE49-F238E27FC236}">
              <a16:creationId xmlns:a16="http://schemas.microsoft.com/office/drawing/2014/main" id="{302AF336-9480-4529-90BA-583D1BC72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>
          <a:off x="984018" y="-747798"/>
          <a:ext cx="5873717" cy="774876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381000</xdr:colOff>
      <xdr:row>13</xdr:row>
      <xdr:rowOff>175986</xdr:rowOff>
    </xdr:from>
    <xdr:ext cx="2819187" cy="2872014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80714" y="2766786"/>
          <a:ext cx="2819187" cy="287201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171450</xdr:rowOff>
    </xdr:from>
    <xdr:ext cx="12732829" cy="8261282"/>
    <xdr:pic>
      <xdr:nvPicPr>
        <xdr:cNvPr id="2" name="Image 1" descr="Capture d’écran">
          <a:extLst>
            <a:ext uri="{FF2B5EF4-FFF2-40B4-BE49-F238E27FC236}">
              <a16:creationId xmlns:a16="http://schemas.microsoft.com/office/drawing/2014/main" id="{B74DC004-A517-45BD-BAFC-0DA3CB037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54330"/>
          <a:ext cx="12732829" cy="826128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262466</xdr:colOff>
      <xdr:row>11</xdr:row>
      <xdr:rowOff>174413</xdr:rowOff>
    </xdr:from>
    <xdr:ext cx="1854664" cy="1764454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9866" y="2223346"/>
          <a:ext cx="1854664" cy="176445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131445</xdr:colOff>
      <xdr:row>1</xdr:row>
      <xdr:rowOff>160019</xdr:rowOff>
    </xdr:from>
    <xdr:ext cx="7694696" cy="5002531"/>
    <xdr:pic>
      <xdr:nvPicPr>
        <xdr:cNvPr id="2" name="Image 1" descr="WT_0200_005 (Bearing Spacer).pdf - Adobe Acrobat Pro DC">
          <a:extLst>
            <a:ext uri="{FF2B5EF4-FFF2-40B4-BE49-F238E27FC236}">
              <a16:creationId xmlns:a16="http://schemas.microsoft.com/office/drawing/2014/main" id="{D557CDED-1C8D-48A4-BC2E-B78FFB45F9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1445" y="340994"/>
          <a:ext cx="7694696" cy="5002531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238538</xdr:colOff>
      <xdr:row>12</xdr:row>
      <xdr:rowOff>75712</xdr:rowOff>
    </xdr:from>
    <xdr:ext cx="1961323" cy="1859056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260" y="2302077"/>
          <a:ext cx="1961323" cy="1859056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1</xdr:row>
      <xdr:rowOff>0</xdr:rowOff>
    </xdr:from>
    <xdr:ext cx="8099828" cy="5290457"/>
    <xdr:pic>
      <xdr:nvPicPr>
        <xdr:cNvPr id="2" name="Image 1" descr="Capture d’écran">
          <a:extLst>
            <a:ext uri="{FF2B5EF4-FFF2-40B4-BE49-F238E27FC236}">
              <a16:creationId xmlns:a16="http://schemas.microsoft.com/office/drawing/2014/main" id="{16C234CC-4F70-4793-A733-BA6337941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" y="185057"/>
          <a:ext cx="8099828" cy="529045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355601</xdr:colOff>
      <xdr:row>11</xdr:row>
      <xdr:rowOff>67735</xdr:rowOff>
    </xdr:from>
    <xdr:ext cx="1205322" cy="1312332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0734" y="2116668"/>
          <a:ext cx="1205322" cy="1312332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</xdr:row>
      <xdr:rowOff>104775</xdr:rowOff>
    </xdr:from>
    <xdr:ext cx="8094994" cy="5280026"/>
    <xdr:pic>
      <xdr:nvPicPr>
        <xdr:cNvPr id="2" name="Image 1" descr="WT_0200_004 (Speed Sensor Spacer).pdf - Adobe Acrobat Pro DC">
          <a:extLst>
            <a:ext uri="{FF2B5EF4-FFF2-40B4-BE49-F238E27FC236}">
              <a16:creationId xmlns:a16="http://schemas.microsoft.com/office/drawing/2014/main" id="{6D89A97F-D8BD-4967-88B5-A2B05BD8E1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85725" y="282575"/>
          <a:ext cx="8094994" cy="5280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4"/>
  <sheetViews>
    <sheetView zoomScaleNormal="100" workbookViewId="0">
      <pane xSplit="3" ySplit="6" topLeftCell="F7" activePane="bottomRight" state="frozen"/>
      <selection activeCell="B40" sqref="B40"/>
      <selection pane="topRight" activeCell="B40" sqref="B40"/>
      <selection pane="bottomLeft" activeCell="B40" sqref="B40"/>
      <selection pane="bottomRight" activeCell="B29" sqref="B29"/>
    </sheetView>
  </sheetViews>
  <sheetFormatPr baseColWidth="10" defaultColWidth="9.109375" defaultRowHeight="13.2" x14ac:dyDescent="0.25"/>
  <cols>
    <col min="1" max="1" width="17.44140625" style="2" bestFit="1" customWidth="1"/>
    <col min="2" max="2" width="32.21875" style="1" customWidth="1"/>
    <col min="3" max="3" width="13.5546875" style="2" customWidth="1"/>
    <col min="4" max="4" width="10" style="2" bestFit="1" customWidth="1"/>
    <col min="5" max="5" width="23" style="2" customWidth="1"/>
    <col min="6" max="6" width="39.109375" style="4" customWidth="1"/>
    <col min="7" max="7" width="14" style="2" customWidth="1"/>
    <col min="8" max="8" width="11" style="2" bestFit="1" customWidth="1"/>
    <col min="9" max="13" width="10.44140625" style="3" customWidth="1"/>
    <col min="14" max="14" width="9.6640625" style="2" bestFit="1" customWidth="1"/>
    <col min="15" max="15" width="11.109375" style="1" customWidth="1"/>
    <col min="16" max="16384" width="9.109375" style="1"/>
  </cols>
  <sheetData>
    <row r="1" spans="1:15" ht="15" thickBot="1" x14ac:dyDescent="0.35">
      <c r="A1" s="60" t="s">
        <v>24</v>
      </c>
      <c r="B1" s="59" t="s">
        <v>23</v>
      </c>
      <c r="D1" s="48"/>
      <c r="M1" s="58" t="s">
        <v>22</v>
      </c>
      <c r="N1" s="57"/>
      <c r="O1" s="56" t="e">
        <f>#REF!</f>
        <v>#REF!</v>
      </c>
    </row>
    <row r="2" spans="1:15" s="46" customFormat="1" ht="15" thickBot="1" x14ac:dyDescent="0.35">
      <c r="A2" s="55" t="s">
        <v>21</v>
      </c>
      <c r="B2" s="54" t="s">
        <v>20</v>
      </c>
      <c r="C2" s="49"/>
      <c r="F2" s="47"/>
    </row>
    <row r="3" spans="1:15" s="46" customFormat="1" ht="15.6" thickTop="1" thickBot="1" x14ac:dyDescent="0.35">
      <c r="A3" s="53" t="s">
        <v>19</v>
      </c>
      <c r="B3" s="52">
        <v>2018</v>
      </c>
      <c r="C3" s="49"/>
      <c r="F3" s="47"/>
    </row>
    <row r="4" spans="1:15" s="46" customFormat="1" ht="15.6" thickTop="1" thickBot="1" x14ac:dyDescent="0.35">
      <c r="A4" s="51" t="s">
        <v>18</v>
      </c>
      <c r="B4" s="50">
        <v>81</v>
      </c>
      <c r="C4" s="49"/>
      <c r="D4" s="48" t="s">
        <v>17</v>
      </c>
      <c r="F4" s="47"/>
    </row>
    <row r="5" spans="1:15" s="41" customFormat="1" ht="15" thickTop="1" x14ac:dyDescent="0.3">
      <c r="A5" s="45"/>
      <c r="B5" s="44"/>
      <c r="C5" s="43"/>
      <c r="F5" s="42"/>
    </row>
    <row r="6" spans="1:15" s="36" customFormat="1" ht="49.5" customHeight="1" x14ac:dyDescent="0.25">
      <c r="A6" s="40" t="s">
        <v>16</v>
      </c>
      <c r="B6" s="37" t="s">
        <v>15</v>
      </c>
      <c r="C6" s="37" t="s">
        <v>14</v>
      </c>
      <c r="D6" s="37" t="s">
        <v>13</v>
      </c>
      <c r="E6" s="37" t="s">
        <v>12</v>
      </c>
      <c r="F6" s="37" t="s">
        <v>11</v>
      </c>
      <c r="G6" s="37" t="s">
        <v>10</v>
      </c>
      <c r="H6" s="39" t="s">
        <v>9</v>
      </c>
      <c r="I6" s="37" t="s">
        <v>8</v>
      </c>
      <c r="J6" s="37" t="s">
        <v>7</v>
      </c>
      <c r="K6" s="37" t="s">
        <v>6</v>
      </c>
      <c r="L6" s="37" t="s">
        <v>5</v>
      </c>
      <c r="M6" s="37" t="s">
        <v>4</v>
      </c>
      <c r="N6" s="38" t="s">
        <v>3</v>
      </c>
      <c r="O6" s="37" t="s">
        <v>2</v>
      </c>
    </row>
    <row r="7" spans="1:15" ht="14.4" x14ac:dyDescent="0.3">
      <c r="A7" s="35"/>
      <c r="B7" s="34" t="s">
        <v>81</v>
      </c>
      <c r="C7" s="32" t="str">
        <f>WT_A0100</f>
        <v>WT A0100</v>
      </c>
      <c r="D7" s="32" t="s">
        <v>1</v>
      </c>
      <c r="E7" s="32"/>
      <c r="F7" s="33" t="e">
        <f>#REF!</f>
        <v>#REF!</v>
      </c>
      <c r="G7" s="32"/>
      <c r="H7" s="31">
        <f t="shared" ref="H7:H17" si="0">SUM(J7:M7)</f>
        <v>175.23</v>
      </c>
      <c r="I7" s="30">
        <f>WT_A0100_q</f>
        <v>4</v>
      </c>
      <c r="J7" s="29">
        <f>WT_A0100_m</f>
        <v>170</v>
      </c>
      <c r="K7" s="29">
        <f>WT_A0100_p</f>
        <v>3.63</v>
      </c>
      <c r="L7" s="29">
        <f>WT_A0100_f</f>
        <v>1.6</v>
      </c>
      <c r="M7" s="29">
        <v>0</v>
      </c>
      <c r="N7" s="28">
        <f t="shared" ref="N7:N14" si="1">H7*I7</f>
        <v>700.92</v>
      </c>
      <c r="O7" s="27"/>
    </row>
    <row r="8" spans="1:15" ht="14.4" x14ac:dyDescent="0.3">
      <c r="A8" s="35"/>
      <c r="B8" s="34" t="s">
        <v>81</v>
      </c>
      <c r="C8" s="61" t="s">
        <v>25</v>
      </c>
      <c r="D8" s="32" t="s">
        <v>1</v>
      </c>
      <c r="E8" s="32"/>
      <c r="F8" s="33" t="e">
        <f>#REF!</f>
        <v>#REF!</v>
      </c>
      <c r="G8" s="32"/>
      <c r="H8" s="31" t="e">
        <f t="shared" si="0"/>
        <v>#NAME?</v>
      </c>
      <c r="I8" s="30" t="e">
        <f>WT_A0200_q</f>
        <v>#NAME?</v>
      </c>
      <c r="J8" s="29">
        <f>WT_A0200_m</f>
        <v>243.47088403557726</v>
      </c>
      <c r="K8" s="29">
        <f>WT_A0200_p</f>
        <v>1.6314000000000002</v>
      </c>
      <c r="L8" s="29">
        <f>WT_A0200_f</f>
        <v>4.2620857182511926</v>
      </c>
      <c r="M8" s="29" t="e">
        <f>WT_A0200_t</f>
        <v>#NAME?</v>
      </c>
      <c r="N8" s="28" t="e">
        <f t="shared" si="1"/>
        <v>#NAME?</v>
      </c>
      <c r="O8" s="27"/>
    </row>
    <row r="9" spans="1:15" ht="13.8" x14ac:dyDescent="0.25">
      <c r="A9" s="25"/>
      <c r="B9" s="24" t="s">
        <v>81</v>
      </c>
      <c r="C9" s="26" t="s">
        <v>26</v>
      </c>
      <c r="D9" s="23" t="s">
        <v>1</v>
      </c>
      <c r="E9" s="23" t="e">
        <f>#REF!</f>
        <v>#REF!</v>
      </c>
      <c r="F9" s="24"/>
      <c r="G9" s="23"/>
      <c r="H9" s="22" t="e">
        <f t="shared" si="0"/>
        <v>#NAME?</v>
      </c>
      <c r="I9" s="21" t="e">
        <f>WT_A0200_q*WT_02001_q</f>
        <v>#NAME?</v>
      </c>
      <c r="J9" s="20" t="e">
        <f>WT_02001_m</f>
        <v>#NAME?</v>
      </c>
      <c r="K9" s="20" t="e">
        <f>WT_02001_p</f>
        <v>#NAME?</v>
      </c>
      <c r="L9" s="20" t="e">
        <f>WT_02001_f</f>
        <v>#NAME?</v>
      </c>
      <c r="M9" s="20" t="e">
        <f>WT_02001_t</f>
        <v>#NAME?</v>
      </c>
      <c r="N9" s="19" t="e">
        <f t="shared" si="1"/>
        <v>#NAME?</v>
      </c>
      <c r="O9" s="18"/>
    </row>
    <row r="10" spans="1:15" ht="13.8" x14ac:dyDescent="0.25">
      <c r="A10" s="25"/>
      <c r="B10" s="24" t="s">
        <v>81</v>
      </c>
      <c r="C10" s="26" t="s">
        <v>27</v>
      </c>
      <c r="D10" s="23" t="s">
        <v>1</v>
      </c>
      <c r="E10" s="23" t="e">
        <f>#REF!</f>
        <v>#REF!</v>
      </c>
      <c r="F10" s="24"/>
      <c r="G10" s="23"/>
      <c r="H10" s="22" t="e">
        <f t="shared" si="0"/>
        <v>#NAME?</v>
      </c>
      <c r="I10" s="21" t="e">
        <f>WT_A0200_q*WT_02002_q</f>
        <v>#NAME?</v>
      </c>
      <c r="J10" s="20" t="e">
        <f>WT_02002_m</f>
        <v>#NAME?</v>
      </c>
      <c r="K10" s="20" t="e">
        <f>WT_02002_p</f>
        <v>#NAME?</v>
      </c>
      <c r="L10" s="20" t="e">
        <f>WT_02002_f</f>
        <v>#NAME?</v>
      </c>
      <c r="M10" s="20" t="e">
        <f>WT_02002_t</f>
        <v>#NAME?</v>
      </c>
      <c r="N10" s="19" t="e">
        <f t="shared" si="1"/>
        <v>#NAME?</v>
      </c>
      <c r="O10" s="18"/>
    </row>
    <row r="11" spans="1:15" ht="13.8" x14ac:dyDescent="0.25">
      <c r="A11" s="25"/>
      <c r="B11" s="24" t="s">
        <v>81</v>
      </c>
      <c r="C11" s="26" t="s">
        <v>28</v>
      </c>
      <c r="D11" s="23" t="s">
        <v>1</v>
      </c>
      <c r="E11" s="23" t="e">
        <f>#REF!</f>
        <v>#REF!</v>
      </c>
      <c r="F11" s="24"/>
      <c r="G11" s="23"/>
      <c r="H11" s="22" t="e">
        <f t="shared" si="0"/>
        <v>#NAME?</v>
      </c>
      <c r="I11" s="21" t="e">
        <f>WT_A0200_q*WT_02003_q</f>
        <v>#NAME?</v>
      </c>
      <c r="J11" s="20" t="e">
        <f>WT_02003_m</f>
        <v>#NAME?</v>
      </c>
      <c r="K11" s="20" t="e">
        <f>WT_02003_p</f>
        <v>#NAME?</v>
      </c>
      <c r="L11" s="20" t="e">
        <f>WT_02003_f</f>
        <v>#NAME?</v>
      </c>
      <c r="M11" s="20" t="e">
        <f>WT_02003_t</f>
        <v>#NAME?</v>
      </c>
      <c r="N11" s="19" t="e">
        <f t="shared" si="1"/>
        <v>#NAME?</v>
      </c>
      <c r="O11" s="18"/>
    </row>
    <row r="12" spans="1:15" ht="13.8" x14ac:dyDescent="0.25">
      <c r="A12" s="25"/>
      <c r="B12" s="24" t="s">
        <v>81</v>
      </c>
      <c r="C12" s="26" t="s">
        <v>29</v>
      </c>
      <c r="D12" s="23" t="s">
        <v>1</v>
      </c>
      <c r="E12" s="23" t="e">
        <f>#REF!</f>
        <v>#REF!</v>
      </c>
      <c r="F12" s="24"/>
      <c r="G12" s="23"/>
      <c r="H12" s="22" t="e">
        <f t="shared" si="0"/>
        <v>#NAME?</v>
      </c>
      <c r="I12" s="21" t="e">
        <f>WT_A0200_q*WT_02004_q</f>
        <v>#NAME?</v>
      </c>
      <c r="J12" s="20" t="e">
        <f>WT_02004_m</f>
        <v>#NAME?</v>
      </c>
      <c r="K12" s="20" t="e">
        <f>WT_02004_p</f>
        <v>#NAME?</v>
      </c>
      <c r="L12" s="20" t="e">
        <f>WT_02004_f</f>
        <v>#NAME?</v>
      </c>
      <c r="M12" s="20" t="e">
        <f>WT_02004_t</f>
        <v>#NAME?</v>
      </c>
      <c r="N12" s="19" t="e">
        <f t="shared" si="1"/>
        <v>#NAME?</v>
      </c>
      <c r="O12" s="18"/>
    </row>
    <row r="13" spans="1:15" ht="13.8" x14ac:dyDescent="0.25">
      <c r="A13" s="25"/>
      <c r="B13" s="24" t="s">
        <v>81</v>
      </c>
      <c r="C13" s="26" t="s">
        <v>30</v>
      </c>
      <c r="D13" s="23" t="s">
        <v>1</v>
      </c>
      <c r="E13" s="23" t="e">
        <f>#REF!</f>
        <v>#REF!</v>
      </c>
      <c r="F13" s="24"/>
      <c r="G13" s="23"/>
      <c r="H13" s="22" t="e">
        <f t="shared" si="0"/>
        <v>#NAME?</v>
      </c>
      <c r="I13" s="21" t="e">
        <f>WT_A0200_q*WT_02005_q</f>
        <v>#NAME?</v>
      </c>
      <c r="J13" s="20" t="e">
        <f>WT_02005_m</f>
        <v>#NAME?</v>
      </c>
      <c r="K13" s="20" t="e">
        <f>WT_02005_p</f>
        <v>#NAME?</v>
      </c>
      <c r="L13" s="20" t="e">
        <f>WT_02005_f</f>
        <v>#NAME?</v>
      </c>
      <c r="M13" s="20" t="e">
        <f>WT_02005_t</f>
        <v>#NAME?</v>
      </c>
      <c r="N13" s="19" t="e">
        <f t="shared" si="1"/>
        <v>#NAME?</v>
      </c>
      <c r="O13" s="18"/>
    </row>
    <row r="14" spans="1:15" ht="13.8" x14ac:dyDescent="0.25">
      <c r="A14" s="25"/>
      <c r="B14" s="24" t="s">
        <v>81</v>
      </c>
      <c r="C14" s="26" t="s">
        <v>31</v>
      </c>
      <c r="D14" s="23" t="s">
        <v>1</v>
      </c>
      <c r="E14" s="23" t="e">
        <f>#REF!</f>
        <v>#REF!</v>
      </c>
      <c r="F14" s="24"/>
      <c r="G14" s="23"/>
      <c r="H14" s="22" t="e">
        <f t="shared" si="0"/>
        <v>#NAME?</v>
      </c>
      <c r="I14" s="21" t="e">
        <f>WT_A0200_q*WT_02006_q</f>
        <v>#NAME?</v>
      </c>
      <c r="J14" s="20" t="e">
        <f>WT_02006_m</f>
        <v>#NAME?</v>
      </c>
      <c r="K14" s="20" t="e">
        <f>WT_02006_p</f>
        <v>#NAME?</v>
      </c>
      <c r="L14" s="20" t="e">
        <f>WT_02006_f</f>
        <v>#NAME?</v>
      </c>
      <c r="M14" s="20" t="e">
        <f>WT_02006_t</f>
        <v>#NAME?</v>
      </c>
      <c r="N14" s="19" t="e">
        <f t="shared" si="1"/>
        <v>#NAME?</v>
      </c>
      <c r="O14" s="18"/>
    </row>
    <row r="15" spans="1:15" ht="13.8" x14ac:dyDescent="0.25">
      <c r="A15" s="35"/>
      <c r="B15" s="34" t="s">
        <v>81</v>
      </c>
      <c r="C15" s="32" t="s">
        <v>32</v>
      </c>
      <c r="D15" s="32" t="s">
        <v>1</v>
      </c>
      <c r="E15" s="32"/>
      <c r="F15" s="34"/>
      <c r="G15" s="62"/>
      <c r="H15" s="31" t="e">
        <f t="shared" si="0"/>
        <v>#NAME?</v>
      </c>
      <c r="I15" s="63" t="e">
        <f>WT_A0300_q</f>
        <v>#NAME?</v>
      </c>
      <c r="J15" s="63" t="e">
        <f>WT_A0300_m</f>
        <v>#NAME?</v>
      </c>
      <c r="K15" s="63" t="e">
        <f>WT_A0300_m</f>
        <v>#NAME?</v>
      </c>
      <c r="L15" s="63" t="e">
        <f>WT_A0300_f</f>
        <v>#NAME?</v>
      </c>
      <c r="M15" s="63" t="e">
        <f>WT_A0300_t</f>
        <v>#NAME?</v>
      </c>
      <c r="N15" s="28" t="e">
        <f t="shared" ref="N15:N17" si="2">H15*I15</f>
        <v>#NAME?</v>
      </c>
      <c r="O15" s="29"/>
    </row>
    <row r="16" spans="1:15" ht="13.8" x14ac:dyDescent="0.25">
      <c r="A16" s="25"/>
      <c r="B16" s="24" t="s">
        <v>81</v>
      </c>
      <c r="C16" s="23"/>
      <c r="D16" s="23" t="s">
        <v>1</v>
      </c>
      <c r="E16" s="23"/>
      <c r="F16" s="24"/>
      <c r="G16" s="23"/>
      <c r="H16" s="22">
        <f t="shared" si="0"/>
        <v>0</v>
      </c>
      <c r="I16" s="21"/>
      <c r="J16" s="20"/>
      <c r="K16" s="20"/>
      <c r="L16" s="20"/>
      <c r="M16" s="20"/>
      <c r="N16" s="19">
        <f t="shared" si="2"/>
        <v>0</v>
      </c>
      <c r="O16" s="18"/>
    </row>
    <row r="17" spans="1:15" ht="14.4" thickBot="1" x14ac:dyDescent="0.3">
      <c r="A17" s="25"/>
      <c r="B17" s="24" t="s">
        <v>81</v>
      </c>
      <c r="C17" s="23"/>
      <c r="D17" s="23" t="s">
        <v>1</v>
      </c>
      <c r="E17" s="23"/>
      <c r="F17" s="24"/>
      <c r="G17" s="23"/>
      <c r="H17" s="22">
        <f t="shared" si="0"/>
        <v>0</v>
      </c>
      <c r="I17" s="21"/>
      <c r="J17" s="20"/>
      <c r="K17" s="20"/>
      <c r="L17" s="20"/>
      <c r="M17" s="20"/>
      <c r="N17" s="19">
        <f t="shared" si="2"/>
        <v>0</v>
      </c>
      <c r="O17" s="18"/>
    </row>
    <row r="18" spans="1:15" s="10" customFormat="1" ht="15" thickTop="1" thickBot="1" x14ac:dyDescent="0.3">
      <c r="A18" s="17"/>
      <c r="B18" s="16" t="e">
        <f>#REF!</f>
        <v>#REF!</v>
      </c>
      <c r="C18" s="15"/>
      <c r="D18" s="15"/>
      <c r="E18" s="15"/>
      <c r="F18" s="16" t="s">
        <v>0</v>
      </c>
      <c r="G18" s="15"/>
      <c r="H18" s="14"/>
      <c r="I18" s="13"/>
      <c r="J18" s="12" t="e">
        <f>SUMPRODUCT($I7:$I17,J7:J17)</f>
        <v>#NAME?</v>
      </c>
      <c r="K18" s="12" t="e">
        <f>SUMPRODUCT($I7:$I17,K7:K17)</f>
        <v>#NAME?</v>
      </c>
      <c r="L18" s="12" t="e">
        <f>SUMPRODUCT($I7:$I17,L7:L17)</f>
        <v>#NAME?</v>
      </c>
      <c r="M18" s="12" t="e">
        <f>SUMPRODUCT($I7:$I17,M7:M17)</f>
        <v>#NAME?</v>
      </c>
      <c r="N18" s="12" t="e">
        <f>SUM(N7:N17)</f>
        <v>#NAME?</v>
      </c>
      <c r="O18" s="11"/>
    </row>
    <row r="19" spans="1:15" ht="13.8" thickTop="1" x14ac:dyDescent="0.25">
      <c r="A19" s="6"/>
      <c r="B19" s="4"/>
      <c r="C19" s="1"/>
      <c r="D19" s="1"/>
      <c r="E19" s="1"/>
      <c r="F19" s="1"/>
      <c r="G19" s="1"/>
      <c r="H19" s="8"/>
      <c r="I19" s="1"/>
      <c r="J19" s="1"/>
      <c r="K19" s="1"/>
      <c r="L19" s="1"/>
      <c r="M19" s="1"/>
      <c r="N19" s="1"/>
    </row>
    <row r="20" spans="1:15" x14ac:dyDescent="0.25">
      <c r="A20" s="6"/>
      <c r="B20" s="4"/>
      <c r="C20" s="1"/>
      <c r="D20" s="1"/>
      <c r="E20" s="1"/>
      <c r="F20" s="1"/>
      <c r="G20" s="1"/>
      <c r="H20" s="8"/>
      <c r="I20" s="1"/>
      <c r="J20" s="1"/>
      <c r="K20" s="1"/>
      <c r="L20" s="1"/>
      <c r="M20" s="1"/>
      <c r="N20" s="1"/>
    </row>
    <row r="21" spans="1:15" x14ac:dyDescent="0.25">
      <c r="A21" s="6"/>
      <c r="B21" s="6"/>
      <c r="D21" s="1"/>
      <c r="E21" s="1"/>
      <c r="G21" s="1"/>
      <c r="H21" s="1"/>
      <c r="I21" s="8"/>
      <c r="J21" s="8"/>
      <c r="K21" s="8"/>
      <c r="L21" s="8"/>
      <c r="M21" s="8"/>
      <c r="N21" s="1"/>
    </row>
    <row r="22" spans="1:15" x14ac:dyDescent="0.25">
      <c r="A22" s="6"/>
      <c r="B22" s="6"/>
      <c r="D22" s="1"/>
      <c r="E22" s="1"/>
      <c r="G22" s="1"/>
      <c r="H22" s="1"/>
      <c r="I22" s="8"/>
      <c r="J22" s="8"/>
      <c r="K22" s="8"/>
      <c r="L22" s="8"/>
      <c r="M22" s="8"/>
      <c r="N22" s="9"/>
    </row>
    <row r="23" spans="1:15" x14ac:dyDescent="0.25">
      <c r="A23" s="6"/>
      <c r="B23" s="6"/>
      <c r="D23" s="1"/>
      <c r="E23" s="1"/>
      <c r="G23" s="1"/>
      <c r="H23" s="1"/>
      <c r="I23" s="8"/>
      <c r="J23" s="8"/>
      <c r="K23" s="8"/>
      <c r="L23" s="8"/>
      <c r="M23" s="8"/>
      <c r="N23" s="1"/>
    </row>
    <row r="24" spans="1:15" x14ac:dyDescent="0.25">
      <c r="A24" s="6"/>
      <c r="B24" s="6"/>
      <c r="D24" s="1"/>
      <c r="E24" s="1"/>
      <c r="G24" s="1"/>
      <c r="H24" s="1"/>
      <c r="I24" s="8"/>
      <c r="J24" s="8"/>
      <c r="K24" s="8"/>
      <c r="L24" s="8"/>
      <c r="M24" s="8"/>
      <c r="N24" s="9"/>
    </row>
    <row r="25" spans="1:15" x14ac:dyDescent="0.25">
      <c r="A25" s="6"/>
      <c r="B25" s="6"/>
      <c r="D25" s="1"/>
      <c r="E25" s="1"/>
      <c r="G25" s="1"/>
      <c r="H25" s="1"/>
      <c r="I25" s="8"/>
      <c r="J25" s="8"/>
      <c r="K25" s="8"/>
      <c r="L25" s="8"/>
      <c r="M25" s="8"/>
      <c r="N25" s="1"/>
    </row>
    <row r="26" spans="1:15" x14ac:dyDescent="0.25">
      <c r="A26" s="6"/>
      <c r="B26" s="6"/>
      <c r="D26" s="1"/>
      <c r="E26" s="1"/>
      <c r="G26" s="1"/>
      <c r="H26" s="1"/>
      <c r="I26" s="8"/>
      <c r="J26" s="8"/>
      <c r="K26" s="8"/>
      <c r="L26" s="8"/>
      <c r="M26" s="8"/>
      <c r="N26" s="1"/>
    </row>
    <row r="27" spans="1:15" x14ac:dyDescent="0.25">
      <c r="A27" s="6"/>
      <c r="B27" s="6"/>
      <c r="D27" s="1"/>
      <c r="E27" s="1"/>
      <c r="G27" s="1"/>
      <c r="H27" s="1"/>
      <c r="I27" s="8"/>
      <c r="J27" s="8"/>
      <c r="K27" s="8"/>
      <c r="L27" s="8"/>
      <c r="M27" s="8"/>
      <c r="N27" s="1"/>
    </row>
    <row r="28" spans="1:15" x14ac:dyDescent="0.25">
      <c r="A28" s="6"/>
      <c r="B28" s="6"/>
      <c r="D28" s="1"/>
      <c r="E28" s="1"/>
      <c r="G28" s="1"/>
      <c r="H28" s="1"/>
      <c r="I28" s="8"/>
      <c r="J28" s="8"/>
      <c r="K28" s="8"/>
      <c r="L28" s="8"/>
      <c r="M28" s="8"/>
      <c r="N28" s="1"/>
    </row>
    <row r="29" spans="1:15" x14ac:dyDescent="0.25">
      <c r="A29" s="6"/>
      <c r="B29" s="6"/>
      <c r="D29" s="1"/>
      <c r="E29" s="1"/>
      <c r="G29" s="1"/>
      <c r="H29" s="1"/>
      <c r="I29" s="8"/>
      <c r="J29" s="8"/>
      <c r="K29" s="8"/>
      <c r="L29" s="8"/>
      <c r="M29" s="8"/>
      <c r="N29" s="1"/>
    </row>
    <row r="30" spans="1:15" x14ac:dyDescent="0.25">
      <c r="A30" s="6"/>
      <c r="B30" s="6"/>
      <c r="D30" s="1"/>
      <c r="E30" s="1"/>
      <c r="G30" s="1"/>
      <c r="H30" s="1"/>
      <c r="I30" s="8"/>
      <c r="J30" s="8"/>
      <c r="K30" s="8"/>
      <c r="L30" s="8"/>
      <c r="M30" s="8"/>
      <c r="N30" s="1"/>
    </row>
    <row r="31" spans="1:15" x14ac:dyDescent="0.25">
      <c r="A31" s="6"/>
      <c r="B31" s="6"/>
      <c r="D31" s="1"/>
      <c r="E31" s="1"/>
      <c r="G31" s="1"/>
      <c r="H31" s="1"/>
      <c r="I31" s="8"/>
      <c r="J31" s="8"/>
      <c r="K31" s="8"/>
      <c r="L31" s="8"/>
      <c r="M31" s="8"/>
      <c r="N31" s="1"/>
    </row>
    <row r="32" spans="1:15" x14ac:dyDescent="0.25">
      <c r="A32" s="6"/>
      <c r="B32" s="6"/>
      <c r="D32" s="1"/>
      <c r="E32" s="1"/>
      <c r="G32" s="1"/>
      <c r="H32" s="1"/>
      <c r="I32" s="8"/>
      <c r="J32" s="8"/>
      <c r="K32" s="8"/>
      <c r="L32" s="8"/>
      <c r="M32" s="8"/>
      <c r="N32" s="1"/>
    </row>
    <row r="33" spans="1:14" x14ac:dyDescent="0.25">
      <c r="A33" s="6"/>
      <c r="B33" s="6"/>
      <c r="D33" s="1"/>
      <c r="E33" s="1"/>
      <c r="G33" s="1"/>
      <c r="H33" s="1"/>
      <c r="I33" s="8"/>
      <c r="J33" s="8"/>
      <c r="K33" s="8"/>
      <c r="L33" s="8"/>
      <c r="M33" s="8"/>
      <c r="N33" s="1"/>
    </row>
    <row r="34" spans="1:14" x14ac:dyDescent="0.25">
      <c r="A34" s="6"/>
      <c r="B34" s="6"/>
      <c r="D34" s="1"/>
      <c r="E34" s="1"/>
      <c r="G34" s="1"/>
      <c r="H34" s="1"/>
      <c r="I34" s="8"/>
      <c r="J34" s="8"/>
      <c r="K34" s="8"/>
      <c r="L34" s="8"/>
      <c r="M34" s="8"/>
      <c r="N34" s="1"/>
    </row>
    <row r="35" spans="1:14" x14ac:dyDescent="0.25">
      <c r="A35" s="6"/>
      <c r="B35" s="6"/>
      <c r="D35" s="1"/>
      <c r="E35" s="1"/>
      <c r="G35" s="1"/>
      <c r="H35" s="1"/>
      <c r="I35" s="8"/>
      <c r="J35" s="8"/>
      <c r="K35" s="8"/>
      <c r="L35" s="8"/>
      <c r="M35" s="8"/>
      <c r="N35" s="1"/>
    </row>
    <row r="36" spans="1:14" x14ac:dyDescent="0.25">
      <c r="A36" s="6"/>
      <c r="B36" s="6"/>
      <c r="D36" s="1"/>
      <c r="E36" s="1"/>
      <c r="G36" s="1"/>
      <c r="H36" s="1"/>
      <c r="I36" s="8"/>
      <c r="J36" s="8"/>
      <c r="K36" s="8"/>
      <c r="L36" s="8"/>
      <c r="M36" s="8"/>
      <c r="N36" s="1"/>
    </row>
    <row r="37" spans="1:14" x14ac:dyDescent="0.25">
      <c r="A37" s="6"/>
      <c r="B37" s="6"/>
      <c r="D37" s="1"/>
      <c r="E37" s="1"/>
      <c r="G37" s="1"/>
      <c r="H37" s="1"/>
      <c r="I37" s="8"/>
      <c r="J37" s="8"/>
      <c r="K37" s="8"/>
      <c r="L37" s="8"/>
      <c r="M37" s="8"/>
      <c r="N37" s="1"/>
    </row>
    <row r="38" spans="1:14" x14ac:dyDescent="0.25">
      <c r="A38" s="6"/>
      <c r="B38" s="6"/>
      <c r="D38" s="1"/>
      <c r="E38" s="1"/>
      <c r="G38" s="1"/>
      <c r="H38" s="1"/>
      <c r="I38" s="8"/>
      <c r="J38" s="8"/>
      <c r="K38" s="8"/>
      <c r="L38" s="8"/>
      <c r="M38" s="8"/>
      <c r="N38" s="1"/>
    </row>
    <row r="39" spans="1:14" x14ac:dyDescent="0.25">
      <c r="A39" s="6"/>
      <c r="B39" s="6"/>
      <c r="D39" s="1"/>
      <c r="E39" s="1"/>
      <c r="G39" s="1"/>
      <c r="H39" s="1"/>
      <c r="I39" s="8"/>
      <c r="J39" s="8"/>
      <c r="K39" s="8"/>
      <c r="L39" s="8"/>
      <c r="M39" s="8"/>
      <c r="N39" s="1"/>
    </row>
    <row r="40" spans="1:14" x14ac:dyDescent="0.25">
      <c r="A40" s="6"/>
      <c r="B40" s="6"/>
      <c r="D40" s="1"/>
      <c r="E40" s="1"/>
      <c r="G40" s="1"/>
      <c r="H40" s="1"/>
      <c r="I40" s="8"/>
      <c r="J40" s="8"/>
      <c r="K40" s="8"/>
      <c r="L40" s="8"/>
      <c r="M40" s="8"/>
      <c r="N40" s="1"/>
    </row>
    <row r="41" spans="1:14" x14ac:dyDescent="0.25">
      <c r="A41" s="6"/>
      <c r="B41" s="6"/>
      <c r="D41" s="1"/>
      <c r="E41" s="1"/>
      <c r="G41" s="1"/>
      <c r="H41" s="1"/>
      <c r="I41" s="8"/>
      <c r="J41" s="8"/>
      <c r="K41" s="8"/>
      <c r="L41" s="8"/>
      <c r="M41" s="8"/>
      <c r="N41" s="1"/>
    </row>
    <row r="42" spans="1:14" x14ac:dyDescent="0.25">
      <c r="A42" s="6"/>
      <c r="B42" s="6"/>
      <c r="D42" s="1"/>
      <c r="E42" s="1"/>
      <c r="G42" s="1"/>
      <c r="H42" s="1"/>
      <c r="I42" s="8"/>
      <c r="J42" s="8"/>
      <c r="K42" s="8"/>
      <c r="L42" s="8"/>
      <c r="M42" s="8"/>
      <c r="N42" s="1"/>
    </row>
    <row r="43" spans="1:14" x14ac:dyDescent="0.25">
      <c r="A43" s="6"/>
      <c r="B43" s="6"/>
      <c r="D43" s="1"/>
      <c r="E43" s="1"/>
      <c r="G43" s="1"/>
      <c r="H43" s="1"/>
      <c r="I43" s="8"/>
      <c r="J43" s="8"/>
      <c r="K43" s="8"/>
      <c r="L43" s="8"/>
      <c r="M43" s="8"/>
      <c r="N43" s="1"/>
    </row>
    <row r="44" spans="1:14" x14ac:dyDescent="0.25">
      <c r="A44" s="6"/>
      <c r="B44" s="6"/>
      <c r="D44" s="1"/>
      <c r="E44" s="1"/>
      <c r="G44" s="1"/>
      <c r="H44" s="1"/>
      <c r="I44" s="8"/>
      <c r="J44" s="8"/>
      <c r="K44" s="8"/>
      <c r="L44" s="8"/>
      <c r="M44" s="8"/>
      <c r="N44" s="1"/>
    </row>
    <row r="45" spans="1:14" x14ac:dyDescent="0.25">
      <c r="A45" s="6"/>
      <c r="B45" s="6"/>
      <c r="D45" s="1"/>
      <c r="E45" s="1"/>
      <c r="G45" s="1"/>
      <c r="H45" s="1"/>
      <c r="I45" s="8"/>
      <c r="J45" s="8"/>
      <c r="K45" s="8"/>
      <c r="L45" s="8"/>
      <c r="M45" s="8"/>
      <c r="N45" s="1"/>
    </row>
    <row r="46" spans="1:14" x14ac:dyDescent="0.25">
      <c r="A46" s="6"/>
      <c r="B46" s="6"/>
      <c r="D46" s="1"/>
      <c r="E46" s="1"/>
      <c r="G46" s="1"/>
      <c r="H46" s="1"/>
      <c r="I46" s="8"/>
      <c r="J46" s="8"/>
      <c r="K46" s="8"/>
      <c r="L46" s="8"/>
      <c r="M46" s="8"/>
      <c r="N46" s="1"/>
    </row>
    <row r="47" spans="1:14" x14ac:dyDescent="0.25">
      <c r="A47" s="6"/>
      <c r="B47" s="6"/>
      <c r="D47" s="1"/>
      <c r="E47" s="1"/>
      <c r="G47" s="1"/>
      <c r="H47" s="1"/>
      <c r="I47" s="8"/>
      <c r="J47" s="8"/>
      <c r="K47" s="8"/>
      <c r="L47" s="8"/>
      <c r="M47" s="8"/>
      <c r="N47" s="1"/>
    </row>
    <row r="48" spans="1:14" x14ac:dyDescent="0.25">
      <c r="A48" s="6"/>
      <c r="B48" s="6"/>
      <c r="D48" s="1"/>
      <c r="E48" s="1"/>
      <c r="G48" s="1"/>
      <c r="H48" s="1"/>
      <c r="I48" s="8"/>
      <c r="J48" s="8"/>
      <c r="K48" s="8"/>
      <c r="L48" s="8"/>
      <c r="M48" s="8"/>
      <c r="N48" s="1"/>
    </row>
    <row r="49" spans="1:14" s="2" customFormat="1" x14ac:dyDescent="0.25">
      <c r="A49" s="7"/>
      <c r="B49" s="6"/>
      <c r="F49" s="4"/>
      <c r="I49" s="3"/>
      <c r="J49" s="3"/>
      <c r="K49" s="3"/>
      <c r="L49" s="3"/>
      <c r="M49" s="3"/>
    </row>
    <row r="50" spans="1:14" s="2" customFormat="1" x14ac:dyDescent="0.25">
      <c r="A50" s="7"/>
      <c r="B50" s="6"/>
      <c r="F50" s="4"/>
      <c r="I50" s="3"/>
      <c r="J50" s="3"/>
      <c r="K50" s="3"/>
      <c r="L50" s="3"/>
      <c r="M50" s="3"/>
    </row>
    <row r="51" spans="1:14" s="2" customFormat="1" x14ac:dyDescent="0.25">
      <c r="A51" s="7"/>
      <c r="B51" s="6"/>
      <c r="F51" s="4"/>
      <c r="I51" s="3"/>
      <c r="J51" s="3"/>
      <c r="K51" s="3"/>
      <c r="L51" s="3"/>
      <c r="M51" s="3"/>
    </row>
    <row r="52" spans="1:14" s="2" customFormat="1" x14ac:dyDescent="0.25">
      <c r="A52" s="7"/>
      <c r="B52" s="6"/>
      <c r="F52" s="4"/>
      <c r="I52" s="3"/>
      <c r="J52" s="3"/>
      <c r="K52" s="3"/>
      <c r="L52" s="3"/>
      <c r="M52" s="3"/>
    </row>
    <row r="53" spans="1:14" s="2" customFormat="1" x14ac:dyDescent="0.25">
      <c r="A53" s="7"/>
      <c r="B53" s="6"/>
      <c r="F53" s="4"/>
      <c r="I53" s="3"/>
      <c r="J53" s="3"/>
      <c r="K53" s="3"/>
      <c r="L53" s="3"/>
      <c r="M53" s="3"/>
    </row>
    <row r="54" spans="1:14" s="2" customFormat="1" x14ac:dyDescent="0.25">
      <c r="A54" s="7"/>
      <c r="B54" s="6"/>
      <c r="F54" s="4"/>
      <c r="I54" s="3"/>
      <c r="J54" s="3"/>
      <c r="K54" s="3"/>
      <c r="L54" s="3"/>
      <c r="M54" s="3"/>
    </row>
    <row r="55" spans="1:14" s="2" customFormat="1" x14ac:dyDescent="0.25">
      <c r="A55" s="7"/>
      <c r="B55" s="6"/>
      <c r="F55" s="4"/>
      <c r="I55" s="3"/>
      <c r="J55" s="3"/>
      <c r="K55" s="3"/>
      <c r="L55" s="3"/>
      <c r="M55" s="3"/>
    </row>
    <row r="56" spans="1:14" s="2" customFormat="1" x14ac:dyDescent="0.25">
      <c r="A56" s="7"/>
      <c r="B56" s="6"/>
      <c r="F56" s="4"/>
      <c r="I56" s="3"/>
      <c r="J56" s="3"/>
      <c r="K56" s="3"/>
      <c r="L56" s="3"/>
      <c r="M56" s="3"/>
    </row>
    <row r="57" spans="1:14" s="2" customFormat="1" x14ac:dyDescent="0.25">
      <c r="A57" s="7"/>
      <c r="B57" s="6"/>
      <c r="F57" s="4"/>
      <c r="I57" s="3"/>
      <c r="J57" s="3"/>
      <c r="K57" s="3"/>
      <c r="L57" s="3"/>
      <c r="M57" s="3"/>
    </row>
    <row r="58" spans="1:14" s="2" customFormat="1" x14ac:dyDescent="0.25">
      <c r="A58" s="7"/>
      <c r="B58" s="6"/>
      <c r="F58" s="4"/>
      <c r="I58" s="3"/>
      <c r="J58" s="3"/>
      <c r="K58" s="3"/>
      <c r="L58" s="3"/>
      <c r="M58" s="3"/>
    </row>
    <row r="59" spans="1:14" s="5" customFormat="1" x14ac:dyDescent="0.25">
      <c r="A59" s="7"/>
      <c r="B59" s="6"/>
      <c r="C59" s="2"/>
      <c r="D59" s="2"/>
      <c r="E59" s="2"/>
      <c r="F59" s="4"/>
      <c r="G59" s="2"/>
      <c r="H59" s="2"/>
      <c r="I59" s="3"/>
      <c r="J59" s="3"/>
      <c r="K59" s="3"/>
      <c r="L59" s="3"/>
      <c r="M59" s="3"/>
      <c r="N59" s="2"/>
    </row>
    <row r="60" spans="1:14" s="5" customFormat="1" x14ac:dyDescent="0.25">
      <c r="A60" s="7"/>
      <c r="B60" s="6"/>
      <c r="C60" s="2"/>
      <c r="D60" s="2"/>
      <c r="E60" s="2"/>
      <c r="F60" s="4"/>
      <c r="G60" s="2"/>
      <c r="H60" s="2"/>
      <c r="I60" s="3"/>
      <c r="J60" s="3"/>
      <c r="K60" s="3"/>
      <c r="L60" s="3"/>
      <c r="M60" s="3"/>
      <c r="N60" s="2"/>
    </row>
    <row r="61" spans="1:14" s="5" customFormat="1" x14ac:dyDescent="0.25">
      <c r="A61" s="7"/>
      <c r="B61" s="6"/>
      <c r="C61" s="2"/>
      <c r="D61" s="2"/>
      <c r="E61" s="2"/>
      <c r="F61" s="4"/>
      <c r="G61" s="2"/>
      <c r="H61" s="2"/>
      <c r="I61" s="3"/>
      <c r="J61" s="3"/>
      <c r="K61" s="3"/>
      <c r="L61" s="3"/>
      <c r="M61" s="3"/>
      <c r="N61" s="2"/>
    </row>
    <row r="62" spans="1:14" s="5" customFormat="1" x14ac:dyDescent="0.25">
      <c r="A62" s="7"/>
      <c r="B62" s="6"/>
      <c r="C62" s="2"/>
      <c r="D62" s="2"/>
      <c r="E62" s="2"/>
      <c r="F62" s="4"/>
      <c r="G62" s="2"/>
      <c r="H62" s="2"/>
      <c r="I62" s="3"/>
      <c r="J62" s="3"/>
      <c r="K62" s="3"/>
      <c r="L62" s="3"/>
      <c r="M62" s="3"/>
      <c r="N62" s="2"/>
    </row>
    <row r="63" spans="1:14" s="5" customFormat="1" x14ac:dyDescent="0.25">
      <c r="A63" s="7"/>
      <c r="B63" s="6"/>
      <c r="C63" s="2"/>
      <c r="D63" s="2"/>
      <c r="E63" s="2"/>
      <c r="F63" s="4"/>
      <c r="G63" s="2"/>
      <c r="H63" s="2"/>
      <c r="I63" s="3"/>
      <c r="J63" s="3"/>
      <c r="K63" s="3"/>
      <c r="L63" s="3"/>
      <c r="M63" s="3"/>
      <c r="N63" s="2"/>
    </row>
    <row r="64" spans="1:14" s="5" customFormat="1" x14ac:dyDescent="0.25">
      <c r="A64" s="7"/>
      <c r="B64" s="6"/>
      <c r="C64" s="2"/>
      <c r="D64" s="2"/>
      <c r="E64" s="2"/>
      <c r="F64" s="4"/>
      <c r="G64" s="2"/>
      <c r="H64" s="2"/>
      <c r="I64" s="3"/>
      <c r="J64" s="3"/>
      <c r="K64" s="3"/>
      <c r="L64" s="3"/>
      <c r="M64" s="3"/>
      <c r="N64" s="2"/>
    </row>
    <row r="65" spans="1:14" s="5" customFormat="1" x14ac:dyDescent="0.25">
      <c r="A65" s="7"/>
      <c r="B65" s="6"/>
      <c r="C65" s="2"/>
      <c r="D65" s="2"/>
      <c r="E65" s="2"/>
      <c r="F65" s="4"/>
      <c r="G65" s="2"/>
      <c r="H65" s="2"/>
      <c r="I65" s="3"/>
      <c r="J65" s="3"/>
      <c r="K65" s="3"/>
      <c r="L65" s="3"/>
      <c r="M65" s="3"/>
      <c r="N65" s="2"/>
    </row>
    <row r="66" spans="1:14" s="5" customFormat="1" x14ac:dyDescent="0.25">
      <c r="A66" s="7"/>
      <c r="B66" s="6"/>
      <c r="C66" s="2"/>
      <c r="D66" s="2"/>
      <c r="E66" s="2"/>
      <c r="F66" s="4"/>
      <c r="G66" s="2"/>
      <c r="H66" s="2"/>
      <c r="I66" s="3"/>
      <c r="J66" s="3"/>
      <c r="K66" s="3"/>
      <c r="L66" s="3"/>
      <c r="M66" s="3"/>
      <c r="N66" s="2"/>
    </row>
    <row r="67" spans="1:14" s="5" customFormat="1" x14ac:dyDescent="0.25">
      <c r="A67" s="7"/>
      <c r="B67" s="6"/>
      <c r="C67" s="2"/>
      <c r="D67" s="2"/>
      <c r="E67" s="2"/>
      <c r="F67" s="4"/>
      <c r="G67" s="2"/>
      <c r="H67" s="2"/>
      <c r="I67" s="3"/>
      <c r="J67" s="3"/>
      <c r="K67" s="3"/>
      <c r="L67" s="3"/>
      <c r="M67" s="3"/>
      <c r="N67" s="2"/>
    </row>
    <row r="68" spans="1:14" s="5" customFormat="1" x14ac:dyDescent="0.25">
      <c r="A68" s="7"/>
      <c r="B68" s="6"/>
      <c r="C68" s="2"/>
      <c r="D68" s="2"/>
      <c r="E68" s="2"/>
      <c r="F68" s="4"/>
      <c r="G68" s="2"/>
      <c r="H68" s="2"/>
      <c r="I68" s="3"/>
      <c r="J68" s="3"/>
      <c r="K68" s="3"/>
      <c r="L68" s="3"/>
      <c r="M68" s="3"/>
      <c r="N68" s="2"/>
    </row>
    <row r="69" spans="1:14" s="5" customFormat="1" x14ac:dyDescent="0.25">
      <c r="A69" s="7"/>
      <c r="B69" s="6"/>
      <c r="C69" s="2"/>
      <c r="D69" s="2"/>
      <c r="E69" s="2"/>
      <c r="F69" s="4"/>
      <c r="G69" s="2"/>
      <c r="H69" s="2"/>
      <c r="I69" s="3"/>
      <c r="J69" s="3"/>
      <c r="K69" s="3"/>
      <c r="L69" s="3"/>
      <c r="M69" s="3"/>
      <c r="N69" s="2"/>
    </row>
    <row r="70" spans="1:14" s="5" customFormat="1" x14ac:dyDescent="0.25">
      <c r="A70" s="7"/>
      <c r="B70" s="6"/>
      <c r="C70" s="2"/>
      <c r="D70" s="2"/>
      <c r="E70" s="2"/>
      <c r="F70" s="4"/>
      <c r="G70" s="2"/>
      <c r="H70" s="2"/>
      <c r="I70" s="3"/>
      <c r="J70" s="3"/>
      <c r="K70" s="3"/>
      <c r="L70" s="3"/>
      <c r="M70" s="3"/>
      <c r="N70" s="2"/>
    </row>
    <row r="71" spans="1:14" s="5" customFormat="1" x14ac:dyDescent="0.25">
      <c r="A71" s="7"/>
      <c r="B71" s="6"/>
      <c r="C71" s="2"/>
      <c r="D71" s="2"/>
      <c r="E71" s="2"/>
      <c r="F71" s="4"/>
      <c r="G71" s="2"/>
      <c r="H71" s="2"/>
      <c r="I71" s="3"/>
      <c r="J71" s="3"/>
      <c r="K71" s="3"/>
      <c r="L71" s="3"/>
      <c r="M71" s="3"/>
      <c r="N71" s="2"/>
    </row>
    <row r="72" spans="1:14" s="5" customFormat="1" x14ac:dyDescent="0.25">
      <c r="A72" s="7"/>
      <c r="B72" s="6"/>
      <c r="C72" s="2"/>
      <c r="D72" s="2"/>
      <c r="E72" s="2"/>
      <c r="F72" s="4"/>
      <c r="G72" s="2"/>
      <c r="H72" s="2"/>
      <c r="I72" s="3"/>
      <c r="J72" s="3"/>
      <c r="K72" s="3"/>
      <c r="L72" s="3"/>
      <c r="M72" s="3"/>
      <c r="N72" s="2"/>
    </row>
    <row r="73" spans="1:14" s="5" customFormat="1" x14ac:dyDescent="0.25">
      <c r="A73" s="7"/>
      <c r="B73" s="6"/>
      <c r="C73" s="2"/>
      <c r="D73" s="2"/>
      <c r="E73" s="2"/>
      <c r="F73" s="4"/>
      <c r="G73" s="2"/>
      <c r="H73" s="2"/>
      <c r="I73" s="3"/>
      <c r="J73" s="3"/>
      <c r="K73" s="3"/>
      <c r="L73" s="3"/>
      <c r="M73" s="3"/>
      <c r="N73" s="2"/>
    </row>
    <row r="74" spans="1:14" s="5" customFormat="1" x14ac:dyDescent="0.25">
      <c r="A74" s="7"/>
      <c r="B74" s="6"/>
      <c r="C74" s="2"/>
      <c r="D74" s="2"/>
      <c r="E74" s="2"/>
      <c r="F74" s="4"/>
      <c r="G74" s="2"/>
      <c r="H74" s="2"/>
      <c r="I74" s="3"/>
      <c r="J74" s="3"/>
      <c r="K74" s="3"/>
      <c r="L74" s="3"/>
      <c r="M74" s="3"/>
      <c r="N74" s="2"/>
    </row>
    <row r="75" spans="1:14" s="5" customFormat="1" x14ac:dyDescent="0.25">
      <c r="A75" s="7"/>
      <c r="B75" s="6"/>
      <c r="C75" s="2"/>
      <c r="D75" s="2"/>
      <c r="E75" s="2"/>
      <c r="F75" s="4"/>
      <c r="G75" s="2"/>
      <c r="H75" s="2"/>
      <c r="I75" s="3"/>
      <c r="J75" s="3"/>
      <c r="K75" s="3"/>
      <c r="L75" s="3"/>
      <c r="M75" s="3"/>
      <c r="N75" s="2"/>
    </row>
    <row r="76" spans="1:14" s="5" customFormat="1" x14ac:dyDescent="0.25">
      <c r="A76" s="7"/>
      <c r="B76" s="6"/>
      <c r="C76" s="2"/>
      <c r="D76" s="2"/>
      <c r="E76" s="2"/>
      <c r="F76" s="4"/>
      <c r="G76" s="2"/>
      <c r="H76" s="2"/>
      <c r="I76" s="3"/>
      <c r="J76" s="3"/>
      <c r="K76" s="3"/>
      <c r="L76" s="3"/>
      <c r="M76" s="3"/>
      <c r="N76" s="2"/>
    </row>
    <row r="77" spans="1:14" s="5" customFormat="1" x14ac:dyDescent="0.25">
      <c r="A77" s="7"/>
      <c r="B77" s="6"/>
      <c r="C77" s="2"/>
      <c r="D77" s="2"/>
      <c r="E77" s="2"/>
      <c r="F77" s="4"/>
      <c r="G77" s="2"/>
      <c r="H77" s="2"/>
      <c r="I77" s="3"/>
      <c r="J77" s="3"/>
      <c r="K77" s="3"/>
      <c r="L77" s="3"/>
      <c r="M77" s="3"/>
      <c r="N77" s="2"/>
    </row>
    <row r="78" spans="1:14" s="5" customFormat="1" x14ac:dyDescent="0.25">
      <c r="A78" s="7"/>
      <c r="B78" s="6"/>
      <c r="C78" s="2"/>
      <c r="D78" s="2"/>
      <c r="E78" s="2"/>
      <c r="F78" s="4"/>
      <c r="G78" s="2"/>
      <c r="H78" s="2"/>
      <c r="I78" s="3"/>
      <c r="J78" s="3"/>
      <c r="K78" s="3"/>
      <c r="L78" s="3"/>
      <c r="M78" s="3"/>
      <c r="N78" s="2"/>
    </row>
    <row r="79" spans="1:14" s="5" customFormat="1" x14ac:dyDescent="0.25">
      <c r="A79" s="7"/>
      <c r="B79" s="6"/>
      <c r="C79" s="2"/>
      <c r="D79" s="2"/>
      <c r="E79" s="2"/>
      <c r="F79" s="4"/>
      <c r="G79" s="2"/>
      <c r="H79" s="2"/>
      <c r="I79" s="3"/>
      <c r="J79" s="3"/>
      <c r="K79" s="3"/>
      <c r="L79" s="3"/>
      <c r="M79" s="3"/>
      <c r="N79" s="2"/>
    </row>
    <row r="80" spans="1:14" s="5" customFormat="1" x14ac:dyDescent="0.25">
      <c r="A80" s="7"/>
      <c r="B80" s="6"/>
      <c r="C80" s="2"/>
      <c r="D80" s="2"/>
      <c r="E80" s="2"/>
      <c r="F80" s="4"/>
      <c r="G80" s="2"/>
      <c r="H80" s="2"/>
      <c r="I80" s="3"/>
      <c r="J80" s="3"/>
      <c r="K80" s="3"/>
      <c r="L80" s="3"/>
      <c r="M80" s="3"/>
      <c r="N80" s="2"/>
    </row>
    <row r="81" spans="1:14" s="5" customFormat="1" x14ac:dyDescent="0.25">
      <c r="A81" s="7"/>
      <c r="B81" s="6"/>
      <c r="C81" s="2"/>
      <c r="D81" s="2"/>
      <c r="E81" s="2"/>
      <c r="F81" s="4"/>
      <c r="G81" s="2"/>
      <c r="H81" s="2"/>
      <c r="I81" s="3"/>
      <c r="J81" s="3"/>
      <c r="K81" s="3"/>
      <c r="L81" s="3"/>
      <c r="M81" s="3"/>
      <c r="N81" s="2"/>
    </row>
    <row r="82" spans="1:14" s="5" customFormat="1" x14ac:dyDescent="0.25">
      <c r="A82" s="7"/>
      <c r="B82" s="6"/>
      <c r="C82" s="2"/>
      <c r="D82" s="2"/>
      <c r="E82" s="2"/>
      <c r="F82" s="4"/>
      <c r="G82" s="2"/>
      <c r="H82" s="2"/>
      <c r="I82" s="3"/>
      <c r="J82" s="3"/>
      <c r="K82" s="3"/>
      <c r="L82" s="3"/>
      <c r="M82" s="3"/>
      <c r="N82" s="2"/>
    </row>
    <row r="83" spans="1:14" s="5" customFormat="1" x14ac:dyDescent="0.25">
      <c r="A83" s="7"/>
      <c r="B83" s="6"/>
      <c r="C83" s="2"/>
      <c r="D83" s="2"/>
      <c r="E83" s="2"/>
      <c r="F83" s="4"/>
      <c r="G83" s="2"/>
      <c r="H83" s="2"/>
      <c r="I83" s="3"/>
      <c r="J83" s="3"/>
      <c r="K83" s="3"/>
      <c r="L83" s="3"/>
      <c r="M83" s="3"/>
      <c r="N83" s="2"/>
    </row>
    <row r="84" spans="1:14" s="5" customFormat="1" x14ac:dyDescent="0.25">
      <c r="A84" s="7"/>
      <c r="B84" s="6"/>
      <c r="C84" s="2"/>
      <c r="D84" s="2"/>
      <c r="E84" s="2"/>
      <c r="F84" s="4"/>
      <c r="G84" s="2"/>
      <c r="H84" s="2"/>
      <c r="I84" s="3"/>
      <c r="J84" s="3"/>
      <c r="K84" s="3"/>
      <c r="L84" s="3"/>
      <c r="M84" s="3"/>
      <c r="N84" s="2"/>
    </row>
    <row r="85" spans="1:14" s="5" customFormat="1" x14ac:dyDescent="0.25">
      <c r="A85" s="7"/>
      <c r="B85" s="6"/>
      <c r="C85" s="2"/>
      <c r="D85" s="2"/>
      <c r="E85" s="2"/>
      <c r="F85" s="4"/>
      <c r="G85" s="2"/>
      <c r="H85" s="2"/>
      <c r="I85" s="3"/>
      <c r="J85" s="3"/>
      <c r="K85" s="3"/>
      <c r="L85" s="3"/>
      <c r="M85" s="3"/>
      <c r="N85" s="2"/>
    </row>
    <row r="86" spans="1:14" s="5" customFormat="1" x14ac:dyDescent="0.25">
      <c r="A86" s="7"/>
      <c r="B86" s="6"/>
      <c r="C86" s="2"/>
      <c r="D86" s="2"/>
      <c r="E86" s="2"/>
      <c r="F86" s="4"/>
      <c r="G86" s="2"/>
      <c r="H86" s="2"/>
      <c r="I86" s="3"/>
      <c r="J86" s="3"/>
      <c r="K86" s="3"/>
      <c r="L86" s="3"/>
      <c r="M86" s="3"/>
      <c r="N86" s="2"/>
    </row>
    <row r="87" spans="1:14" s="5" customFormat="1" x14ac:dyDescent="0.25">
      <c r="A87" s="7"/>
      <c r="B87" s="6"/>
      <c r="C87" s="2"/>
      <c r="D87" s="2"/>
      <c r="E87" s="2"/>
      <c r="F87" s="4"/>
      <c r="G87" s="2"/>
      <c r="H87" s="2"/>
      <c r="I87" s="3"/>
      <c r="J87" s="3"/>
      <c r="K87" s="3"/>
      <c r="L87" s="3"/>
      <c r="M87" s="3"/>
      <c r="N87" s="2"/>
    </row>
    <row r="88" spans="1:14" s="5" customFormat="1" x14ac:dyDescent="0.25">
      <c r="A88" s="7"/>
      <c r="B88" s="6"/>
      <c r="C88" s="2"/>
      <c r="D88" s="2"/>
      <c r="E88" s="2"/>
      <c r="F88" s="4"/>
      <c r="G88" s="2"/>
      <c r="H88" s="2"/>
      <c r="I88" s="3"/>
      <c r="J88" s="3"/>
      <c r="K88" s="3"/>
      <c r="L88" s="3"/>
      <c r="M88" s="3"/>
      <c r="N88" s="2"/>
    </row>
    <row r="89" spans="1:14" s="5" customFormat="1" x14ac:dyDescent="0.25">
      <c r="A89" s="7"/>
      <c r="B89" s="6"/>
      <c r="C89" s="2"/>
      <c r="D89" s="2"/>
      <c r="E89" s="2"/>
      <c r="F89" s="4"/>
      <c r="G89" s="2"/>
      <c r="H89" s="2"/>
      <c r="I89" s="3"/>
      <c r="J89" s="3"/>
      <c r="K89" s="3"/>
      <c r="L89" s="3"/>
      <c r="M89" s="3"/>
      <c r="N89" s="2"/>
    </row>
    <row r="90" spans="1:14" s="5" customFormat="1" x14ac:dyDescent="0.25">
      <c r="A90" s="7"/>
      <c r="B90" s="6"/>
      <c r="C90" s="2"/>
      <c r="D90" s="2"/>
      <c r="E90" s="2"/>
      <c r="F90" s="4"/>
      <c r="G90" s="2"/>
      <c r="H90" s="2"/>
      <c r="I90" s="3"/>
      <c r="J90" s="3"/>
      <c r="K90" s="3"/>
      <c r="L90" s="3"/>
      <c r="M90" s="3"/>
      <c r="N90" s="2"/>
    </row>
    <row r="91" spans="1:14" s="5" customFormat="1" x14ac:dyDescent="0.25">
      <c r="A91" s="7"/>
      <c r="B91" s="6"/>
      <c r="C91" s="2"/>
      <c r="D91" s="2"/>
      <c r="E91" s="2"/>
      <c r="F91" s="4"/>
      <c r="G91" s="2"/>
      <c r="H91" s="2"/>
      <c r="I91" s="3"/>
      <c r="J91" s="3"/>
      <c r="K91" s="3"/>
      <c r="L91" s="3"/>
      <c r="M91" s="3"/>
      <c r="N91" s="2"/>
    </row>
    <row r="92" spans="1:14" s="5" customFormat="1" x14ac:dyDescent="0.25">
      <c r="A92" s="7"/>
      <c r="B92" s="6"/>
      <c r="C92" s="2"/>
      <c r="D92" s="2"/>
      <c r="E92" s="2"/>
      <c r="F92" s="4"/>
      <c r="G92" s="2"/>
      <c r="H92" s="2"/>
      <c r="I92" s="3"/>
      <c r="J92" s="3"/>
      <c r="K92" s="3"/>
      <c r="L92" s="3"/>
      <c r="M92" s="3"/>
      <c r="N92" s="2"/>
    </row>
    <row r="93" spans="1:14" s="5" customFormat="1" x14ac:dyDescent="0.25">
      <c r="A93" s="7"/>
      <c r="B93" s="6"/>
      <c r="C93" s="2"/>
      <c r="D93" s="2"/>
      <c r="E93" s="2"/>
      <c r="F93" s="4"/>
      <c r="G93" s="2"/>
      <c r="H93" s="2"/>
      <c r="I93" s="3"/>
      <c r="J93" s="3"/>
      <c r="K93" s="3"/>
      <c r="L93" s="3"/>
      <c r="M93" s="3"/>
      <c r="N93" s="2"/>
    </row>
    <row r="94" spans="1:14" s="5" customFormat="1" x14ac:dyDescent="0.25">
      <c r="A94" s="7"/>
      <c r="B94" s="6"/>
      <c r="C94" s="2"/>
      <c r="D94" s="2"/>
      <c r="E94" s="2"/>
      <c r="F94" s="4"/>
      <c r="G94" s="2"/>
      <c r="H94" s="2"/>
      <c r="I94" s="3"/>
      <c r="J94" s="3"/>
      <c r="K94" s="3"/>
      <c r="L94" s="3"/>
      <c r="M94" s="3"/>
      <c r="N94" s="2"/>
    </row>
    <row r="95" spans="1:14" s="5" customFormat="1" x14ac:dyDescent="0.25">
      <c r="A95" s="7"/>
      <c r="B95" s="6"/>
      <c r="C95" s="2"/>
      <c r="D95" s="2"/>
      <c r="E95" s="2"/>
      <c r="F95" s="4"/>
      <c r="G95" s="2"/>
      <c r="H95" s="2"/>
      <c r="I95" s="3"/>
      <c r="J95" s="3"/>
      <c r="K95" s="3"/>
      <c r="L95" s="3"/>
      <c r="M95" s="3"/>
      <c r="N95" s="2"/>
    </row>
    <row r="96" spans="1:14" s="5" customFormat="1" x14ac:dyDescent="0.25">
      <c r="A96" s="7"/>
      <c r="B96" s="6"/>
      <c r="C96" s="2"/>
      <c r="D96" s="2"/>
      <c r="E96" s="2"/>
      <c r="F96" s="4"/>
      <c r="G96" s="2"/>
      <c r="H96" s="2"/>
      <c r="I96" s="3"/>
      <c r="J96" s="3"/>
      <c r="K96" s="3"/>
      <c r="L96" s="3"/>
      <c r="M96" s="3"/>
      <c r="N96" s="2"/>
    </row>
    <row r="97" spans="1:14" s="5" customFormat="1" x14ac:dyDescent="0.25">
      <c r="A97" s="7"/>
      <c r="B97" s="6"/>
      <c r="C97" s="2"/>
      <c r="D97" s="2"/>
      <c r="E97" s="2"/>
      <c r="F97" s="4"/>
      <c r="G97" s="2"/>
      <c r="H97" s="2"/>
      <c r="I97" s="3"/>
      <c r="J97" s="3"/>
      <c r="K97" s="3"/>
      <c r="L97" s="3"/>
      <c r="M97" s="3"/>
      <c r="N97" s="2"/>
    </row>
    <row r="98" spans="1:14" s="5" customFormat="1" x14ac:dyDescent="0.25">
      <c r="A98" s="7"/>
      <c r="B98" s="6"/>
      <c r="C98" s="2"/>
      <c r="D98" s="2"/>
      <c r="E98" s="2"/>
      <c r="F98" s="4"/>
      <c r="G98" s="2"/>
      <c r="H98" s="2"/>
      <c r="I98" s="3"/>
      <c r="J98" s="3"/>
      <c r="K98" s="3"/>
      <c r="L98" s="3"/>
      <c r="M98" s="3"/>
      <c r="N98" s="2"/>
    </row>
    <row r="99" spans="1:14" s="5" customFormat="1" x14ac:dyDescent="0.25">
      <c r="A99" s="7"/>
      <c r="B99" s="6"/>
      <c r="C99" s="2"/>
      <c r="D99" s="2"/>
      <c r="E99" s="2"/>
      <c r="F99" s="4"/>
      <c r="G99" s="2"/>
      <c r="H99" s="2"/>
      <c r="I99" s="3"/>
      <c r="J99" s="3"/>
      <c r="K99" s="3"/>
      <c r="L99" s="3"/>
      <c r="M99" s="3"/>
      <c r="N99" s="2"/>
    </row>
    <row r="100" spans="1:14" s="5" customFormat="1" x14ac:dyDescent="0.25">
      <c r="A100" s="7"/>
      <c r="B100" s="6"/>
      <c r="C100" s="2"/>
      <c r="D100" s="2"/>
      <c r="E100" s="2"/>
      <c r="F100" s="4"/>
      <c r="G100" s="2"/>
      <c r="H100" s="2"/>
      <c r="I100" s="3"/>
      <c r="J100" s="3"/>
      <c r="K100" s="3"/>
      <c r="L100" s="3"/>
      <c r="M100" s="3"/>
      <c r="N100" s="2"/>
    </row>
    <row r="101" spans="1:14" s="5" customFormat="1" x14ac:dyDescent="0.25">
      <c r="A101" s="7"/>
      <c r="B101" s="6"/>
      <c r="C101" s="2"/>
      <c r="D101" s="2"/>
      <c r="E101" s="2"/>
      <c r="F101" s="4"/>
      <c r="G101" s="2"/>
      <c r="H101" s="2"/>
      <c r="I101" s="3"/>
      <c r="J101" s="3"/>
      <c r="K101" s="3"/>
      <c r="L101" s="3"/>
      <c r="M101" s="3"/>
      <c r="N101" s="2"/>
    </row>
    <row r="102" spans="1:14" s="5" customFormat="1" x14ac:dyDescent="0.25">
      <c r="A102" s="7"/>
      <c r="B102" s="6"/>
      <c r="C102" s="2"/>
      <c r="D102" s="2"/>
      <c r="E102" s="2"/>
      <c r="F102" s="4"/>
      <c r="G102" s="2"/>
      <c r="H102" s="2"/>
      <c r="I102" s="3"/>
      <c r="J102" s="3"/>
      <c r="K102" s="3"/>
      <c r="L102" s="3"/>
      <c r="M102" s="3"/>
      <c r="N102" s="2"/>
    </row>
    <row r="103" spans="1:14" s="5" customFormat="1" x14ac:dyDescent="0.25">
      <c r="A103" s="7"/>
      <c r="B103" s="6"/>
      <c r="C103" s="2"/>
      <c r="D103" s="2"/>
      <c r="E103" s="2"/>
      <c r="F103" s="4"/>
      <c r="G103" s="2"/>
      <c r="H103" s="2"/>
      <c r="I103" s="3"/>
      <c r="J103" s="3"/>
      <c r="K103" s="3"/>
      <c r="L103" s="3"/>
      <c r="M103" s="3"/>
      <c r="N103" s="2"/>
    </row>
    <row r="104" spans="1:14" s="5" customFormat="1" x14ac:dyDescent="0.25">
      <c r="A104" s="7"/>
      <c r="B104" s="6"/>
      <c r="C104" s="2"/>
      <c r="D104" s="2"/>
      <c r="E104" s="2"/>
      <c r="F104" s="4"/>
      <c r="G104" s="2"/>
      <c r="H104" s="2"/>
      <c r="I104" s="3"/>
      <c r="J104" s="3"/>
      <c r="K104" s="3"/>
      <c r="L104" s="3"/>
      <c r="M104" s="3"/>
      <c r="N104" s="2"/>
    </row>
    <row r="105" spans="1:14" s="5" customFormat="1" x14ac:dyDescent="0.25">
      <c r="A105" s="7"/>
      <c r="B105" s="6"/>
      <c r="C105" s="2"/>
      <c r="D105" s="2"/>
      <c r="E105" s="2"/>
      <c r="F105" s="4"/>
      <c r="G105" s="2"/>
      <c r="H105" s="2"/>
      <c r="I105" s="3"/>
      <c r="J105" s="3"/>
      <c r="K105" s="3"/>
      <c r="L105" s="3"/>
      <c r="M105" s="3"/>
      <c r="N105" s="2"/>
    </row>
    <row r="106" spans="1:14" s="5" customFormat="1" x14ac:dyDescent="0.25">
      <c r="A106" s="7"/>
      <c r="B106" s="6"/>
      <c r="C106" s="2"/>
      <c r="D106" s="2"/>
      <c r="E106" s="2"/>
      <c r="F106" s="4"/>
      <c r="G106" s="2"/>
      <c r="H106" s="2"/>
      <c r="I106" s="3"/>
      <c r="J106" s="3"/>
      <c r="K106" s="3"/>
      <c r="L106" s="3"/>
      <c r="M106" s="3"/>
      <c r="N106" s="2"/>
    </row>
    <row r="107" spans="1:14" s="5" customFormat="1" x14ac:dyDescent="0.25">
      <c r="A107" s="7"/>
      <c r="B107" s="6"/>
      <c r="C107" s="2"/>
      <c r="D107" s="2"/>
      <c r="E107" s="2"/>
      <c r="F107" s="4"/>
      <c r="G107" s="2"/>
      <c r="H107" s="2"/>
      <c r="I107" s="3"/>
      <c r="J107" s="3"/>
      <c r="K107" s="3"/>
      <c r="L107" s="3"/>
      <c r="M107" s="3"/>
      <c r="N107" s="2"/>
    </row>
    <row r="108" spans="1:14" s="5" customFormat="1" x14ac:dyDescent="0.25">
      <c r="A108" s="7"/>
      <c r="B108" s="6"/>
      <c r="C108" s="2"/>
      <c r="D108" s="2"/>
      <c r="E108" s="2"/>
      <c r="F108" s="4"/>
      <c r="G108" s="2"/>
      <c r="H108" s="2"/>
      <c r="I108" s="3"/>
      <c r="J108" s="3"/>
      <c r="K108" s="3"/>
      <c r="L108" s="3"/>
      <c r="M108" s="3"/>
      <c r="N108" s="2"/>
    </row>
    <row r="109" spans="1:14" s="5" customFormat="1" x14ac:dyDescent="0.25">
      <c r="A109" s="7"/>
      <c r="B109" s="6"/>
      <c r="C109" s="2"/>
      <c r="D109" s="2"/>
      <c r="E109" s="2"/>
      <c r="F109" s="4"/>
      <c r="G109" s="2"/>
      <c r="H109" s="2"/>
      <c r="I109" s="3"/>
      <c r="J109" s="3"/>
      <c r="K109" s="3"/>
      <c r="L109" s="3"/>
      <c r="M109" s="3"/>
      <c r="N109" s="2"/>
    </row>
    <row r="110" spans="1:14" s="5" customFormat="1" x14ac:dyDescent="0.25">
      <c r="A110" s="7"/>
      <c r="B110" s="6"/>
      <c r="C110" s="2"/>
      <c r="D110" s="2"/>
      <c r="E110" s="2"/>
      <c r="F110" s="4"/>
      <c r="G110" s="2"/>
      <c r="H110" s="2"/>
      <c r="I110" s="3"/>
      <c r="J110" s="3"/>
      <c r="K110" s="3"/>
      <c r="L110" s="3"/>
      <c r="M110" s="3"/>
      <c r="N110" s="2"/>
    </row>
    <row r="111" spans="1:14" s="5" customFormat="1" x14ac:dyDescent="0.25">
      <c r="A111" s="7"/>
      <c r="B111" s="6"/>
      <c r="C111" s="2"/>
      <c r="D111" s="2"/>
      <c r="E111" s="2"/>
      <c r="F111" s="4"/>
      <c r="G111" s="2"/>
      <c r="H111" s="2"/>
      <c r="I111" s="3"/>
      <c r="J111" s="3"/>
      <c r="K111" s="3"/>
      <c r="L111" s="3"/>
      <c r="M111" s="3"/>
      <c r="N111" s="2"/>
    </row>
    <row r="112" spans="1:14" s="5" customFormat="1" x14ac:dyDescent="0.25">
      <c r="A112" s="7"/>
      <c r="B112" s="6"/>
      <c r="C112" s="2"/>
      <c r="D112" s="2"/>
      <c r="E112" s="2"/>
      <c r="F112" s="4"/>
      <c r="G112" s="2"/>
      <c r="H112" s="2"/>
      <c r="I112" s="3"/>
      <c r="J112" s="3"/>
      <c r="K112" s="3"/>
      <c r="L112" s="3"/>
      <c r="M112" s="3"/>
      <c r="N112" s="2"/>
    </row>
    <row r="113" spans="1:14" s="5" customFormat="1" x14ac:dyDescent="0.25">
      <c r="A113" s="7"/>
      <c r="B113" s="6"/>
      <c r="C113" s="2"/>
      <c r="D113" s="2"/>
      <c r="E113" s="2"/>
      <c r="F113" s="4"/>
      <c r="G113" s="2"/>
      <c r="H113" s="2"/>
      <c r="I113" s="3"/>
      <c r="J113" s="3"/>
      <c r="K113" s="3"/>
      <c r="L113" s="3"/>
      <c r="M113" s="3"/>
      <c r="N113" s="2"/>
    </row>
    <row r="114" spans="1:14" s="5" customFormat="1" x14ac:dyDescent="0.25">
      <c r="A114" s="7"/>
      <c r="B114" s="6"/>
      <c r="C114" s="2"/>
      <c r="D114" s="2"/>
      <c r="E114" s="2"/>
      <c r="F114" s="4"/>
      <c r="G114" s="2"/>
      <c r="H114" s="2"/>
      <c r="I114" s="3"/>
      <c r="J114" s="3"/>
      <c r="K114" s="3"/>
      <c r="L114" s="3"/>
      <c r="M114" s="3"/>
      <c r="N114" s="2"/>
    </row>
    <row r="115" spans="1:14" s="5" customFormat="1" x14ac:dyDescent="0.25">
      <c r="A115" s="7"/>
      <c r="B115" s="6"/>
      <c r="C115" s="2"/>
      <c r="D115" s="2"/>
      <c r="E115" s="2"/>
      <c r="F115" s="4"/>
      <c r="G115" s="2"/>
      <c r="H115" s="2"/>
      <c r="I115" s="3"/>
      <c r="J115" s="3"/>
      <c r="K115" s="3"/>
      <c r="L115" s="3"/>
      <c r="M115" s="3"/>
      <c r="N115" s="2"/>
    </row>
    <row r="116" spans="1:14" s="5" customFormat="1" x14ac:dyDescent="0.25">
      <c r="A116" s="7"/>
      <c r="B116" s="6"/>
      <c r="C116" s="2"/>
      <c r="D116" s="2"/>
      <c r="E116" s="2"/>
      <c r="F116" s="4"/>
      <c r="G116" s="2"/>
      <c r="H116" s="2"/>
      <c r="I116" s="3"/>
      <c r="J116" s="3"/>
      <c r="K116" s="3"/>
      <c r="L116" s="3"/>
      <c r="M116" s="3"/>
      <c r="N116" s="2"/>
    </row>
    <row r="117" spans="1:14" s="5" customFormat="1" x14ac:dyDescent="0.25">
      <c r="A117" s="7"/>
      <c r="B117" s="6"/>
      <c r="C117" s="2"/>
      <c r="D117" s="2"/>
      <c r="E117" s="2"/>
      <c r="F117" s="4"/>
      <c r="G117" s="2"/>
      <c r="H117" s="2"/>
      <c r="I117" s="3"/>
      <c r="J117" s="3"/>
      <c r="K117" s="3"/>
      <c r="L117" s="3"/>
      <c r="M117" s="3"/>
      <c r="N117" s="2"/>
    </row>
    <row r="118" spans="1:14" s="5" customFormat="1" x14ac:dyDescent="0.25">
      <c r="A118" s="7"/>
      <c r="B118" s="6"/>
      <c r="C118" s="2"/>
      <c r="D118" s="2"/>
      <c r="E118" s="2"/>
      <c r="F118" s="4"/>
      <c r="G118" s="2"/>
      <c r="H118" s="2"/>
      <c r="I118" s="3"/>
      <c r="J118" s="3"/>
      <c r="K118" s="3"/>
      <c r="L118" s="3"/>
      <c r="M118" s="3"/>
      <c r="N118" s="2"/>
    </row>
    <row r="119" spans="1:14" s="5" customFormat="1" x14ac:dyDescent="0.25">
      <c r="A119" s="7"/>
      <c r="B119" s="6"/>
      <c r="C119" s="2"/>
      <c r="D119" s="2"/>
      <c r="E119" s="2"/>
      <c r="F119" s="4"/>
      <c r="G119" s="2"/>
      <c r="H119" s="2"/>
      <c r="I119" s="3"/>
      <c r="J119" s="3"/>
      <c r="K119" s="3"/>
      <c r="L119" s="3"/>
      <c r="M119" s="3"/>
      <c r="N119" s="2"/>
    </row>
    <row r="120" spans="1:14" s="5" customFormat="1" x14ac:dyDescent="0.25">
      <c r="A120" s="7"/>
      <c r="B120" s="6"/>
      <c r="C120" s="2"/>
      <c r="D120" s="2"/>
      <c r="E120" s="2"/>
      <c r="F120" s="4"/>
      <c r="G120" s="2"/>
      <c r="H120" s="2"/>
      <c r="I120" s="3"/>
      <c r="J120" s="3"/>
      <c r="K120" s="3"/>
      <c r="L120" s="3"/>
      <c r="M120" s="3"/>
      <c r="N120" s="2"/>
    </row>
    <row r="121" spans="1:14" s="5" customFormat="1" x14ac:dyDescent="0.25">
      <c r="A121" s="7"/>
      <c r="B121" s="6"/>
      <c r="C121" s="2"/>
      <c r="D121" s="2"/>
      <c r="E121" s="2"/>
      <c r="F121" s="4"/>
      <c r="G121" s="2"/>
      <c r="H121" s="2"/>
      <c r="I121" s="3"/>
      <c r="J121" s="3"/>
      <c r="K121" s="3"/>
      <c r="L121" s="3"/>
      <c r="M121" s="3"/>
      <c r="N121" s="2"/>
    </row>
    <row r="122" spans="1:14" s="5" customFormat="1" x14ac:dyDescent="0.25">
      <c r="A122" s="7"/>
      <c r="B122" s="6"/>
      <c r="C122" s="2"/>
      <c r="D122" s="2"/>
      <c r="E122" s="2"/>
      <c r="F122" s="4"/>
      <c r="G122" s="2"/>
      <c r="H122" s="2"/>
      <c r="I122" s="3"/>
      <c r="J122" s="3"/>
      <c r="K122" s="3"/>
      <c r="L122" s="3"/>
      <c r="M122" s="3"/>
      <c r="N122" s="2"/>
    </row>
    <row r="123" spans="1:14" s="5" customFormat="1" x14ac:dyDescent="0.25">
      <c r="A123" s="7"/>
      <c r="B123" s="6"/>
      <c r="C123" s="2"/>
      <c r="D123" s="2"/>
      <c r="E123" s="2"/>
      <c r="F123" s="4"/>
      <c r="G123" s="2"/>
      <c r="H123" s="2"/>
      <c r="I123" s="3"/>
      <c r="J123" s="3"/>
      <c r="K123" s="3"/>
      <c r="L123" s="3"/>
      <c r="M123" s="3"/>
      <c r="N123" s="2"/>
    </row>
    <row r="124" spans="1:14" s="5" customFormat="1" x14ac:dyDescent="0.25">
      <c r="A124" s="7"/>
      <c r="B124" s="6"/>
      <c r="C124" s="2"/>
      <c r="D124" s="2"/>
      <c r="E124" s="2"/>
      <c r="F124" s="4"/>
      <c r="G124" s="2"/>
      <c r="H124" s="2"/>
      <c r="I124" s="3"/>
      <c r="J124" s="3"/>
      <c r="K124" s="3"/>
      <c r="L124" s="3"/>
      <c r="M124" s="3"/>
      <c r="N124" s="2"/>
    </row>
    <row r="125" spans="1:14" s="5" customFormat="1" x14ac:dyDescent="0.25">
      <c r="A125" s="7"/>
      <c r="B125" s="6"/>
      <c r="C125" s="2"/>
      <c r="D125" s="2"/>
      <c r="E125" s="2"/>
      <c r="F125" s="4"/>
      <c r="G125" s="2"/>
      <c r="H125" s="2"/>
      <c r="I125" s="3"/>
      <c r="J125" s="3"/>
      <c r="K125" s="3"/>
      <c r="L125" s="3"/>
      <c r="M125" s="3"/>
      <c r="N125" s="2"/>
    </row>
    <row r="126" spans="1:14" s="5" customFormat="1" x14ac:dyDescent="0.25">
      <c r="A126" s="7"/>
      <c r="B126" s="6"/>
      <c r="C126" s="2"/>
      <c r="D126" s="2"/>
      <c r="E126" s="2"/>
      <c r="F126" s="4"/>
      <c r="G126" s="2"/>
      <c r="H126" s="2"/>
      <c r="I126" s="3"/>
      <c r="J126" s="3"/>
      <c r="K126" s="3"/>
      <c r="L126" s="3"/>
      <c r="M126" s="3"/>
      <c r="N126" s="2"/>
    </row>
    <row r="127" spans="1:14" s="5" customFormat="1" x14ac:dyDescent="0.25">
      <c r="A127" s="7"/>
      <c r="B127" s="6"/>
      <c r="C127" s="2"/>
      <c r="D127" s="2"/>
      <c r="E127" s="2"/>
      <c r="F127" s="4"/>
      <c r="G127" s="2"/>
      <c r="H127" s="2"/>
      <c r="I127" s="3"/>
      <c r="J127" s="3"/>
      <c r="K127" s="3"/>
      <c r="L127" s="3"/>
      <c r="M127" s="3"/>
      <c r="N127" s="2"/>
    </row>
    <row r="128" spans="1:14" s="5" customFormat="1" x14ac:dyDescent="0.25">
      <c r="A128" s="7"/>
      <c r="B128" s="6"/>
      <c r="C128" s="2"/>
      <c r="D128" s="2"/>
      <c r="E128" s="2"/>
      <c r="F128" s="4"/>
      <c r="G128" s="2"/>
      <c r="H128" s="2"/>
      <c r="I128" s="3"/>
      <c r="J128" s="3"/>
      <c r="K128" s="3"/>
      <c r="L128" s="3"/>
      <c r="M128" s="3"/>
      <c r="N128" s="2"/>
    </row>
    <row r="129" spans="1:14" s="5" customFormat="1" x14ac:dyDescent="0.25">
      <c r="A129" s="7"/>
      <c r="B129" s="6"/>
      <c r="C129" s="2"/>
      <c r="D129" s="2"/>
      <c r="E129" s="2"/>
      <c r="F129" s="4"/>
      <c r="G129" s="2"/>
      <c r="H129" s="2"/>
      <c r="I129" s="3"/>
      <c r="J129" s="3"/>
      <c r="K129" s="3"/>
      <c r="L129" s="3"/>
      <c r="M129" s="3"/>
      <c r="N129" s="2"/>
    </row>
    <row r="130" spans="1:14" s="5" customFormat="1" x14ac:dyDescent="0.25">
      <c r="A130" s="7"/>
      <c r="B130" s="6"/>
      <c r="C130" s="2"/>
      <c r="D130" s="2"/>
      <c r="E130" s="2"/>
      <c r="F130" s="4"/>
      <c r="G130" s="2"/>
      <c r="H130" s="2"/>
      <c r="I130" s="3"/>
      <c r="J130" s="3"/>
      <c r="K130" s="3"/>
      <c r="L130" s="3"/>
      <c r="M130" s="3"/>
      <c r="N130" s="2"/>
    </row>
    <row r="131" spans="1:14" s="5" customFormat="1" x14ac:dyDescent="0.25">
      <c r="A131" s="7"/>
      <c r="B131" s="6"/>
      <c r="C131" s="2"/>
      <c r="D131" s="2"/>
      <c r="E131" s="2"/>
      <c r="F131" s="4"/>
      <c r="G131" s="2"/>
      <c r="H131" s="2"/>
      <c r="I131" s="3"/>
      <c r="J131" s="3"/>
      <c r="K131" s="3"/>
      <c r="L131" s="3"/>
      <c r="M131" s="3"/>
      <c r="N131" s="2"/>
    </row>
    <row r="132" spans="1:14" s="5" customFormat="1" x14ac:dyDescent="0.25">
      <c r="A132" s="7"/>
      <c r="B132" s="6"/>
      <c r="C132" s="2"/>
      <c r="D132" s="2"/>
      <c r="E132" s="2"/>
      <c r="F132" s="4"/>
      <c r="G132" s="2"/>
      <c r="H132" s="2"/>
      <c r="I132" s="3"/>
      <c r="J132" s="3"/>
      <c r="K132" s="3"/>
      <c r="L132" s="3"/>
      <c r="M132" s="3"/>
      <c r="N132" s="2"/>
    </row>
    <row r="133" spans="1:14" s="5" customFormat="1" x14ac:dyDescent="0.25">
      <c r="A133" s="7"/>
      <c r="B133" s="6"/>
      <c r="C133" s="2"/>
      <c r="D133" s="2"/>
      <c r="E133" s="2"/>
      <c r="F133" s="4"/>
      <c r="G133" s="2"/>
      <c r="H133" s="2"/>
      <c r="I133" s="3"/>
      <c r="J133" s="3"/>
      <c r="K133" s="3"/>
      <c r="L133" s="3"/>
      <c r="M133" s="3"/>
      <c r="N133" s="2"/>
    </row>
    <row r="134" spans="1:14" s="5" customFormat="1" x14ac:dyDescent="0.25">
      <c r="A134" s="7"/>
      <c r="B134" s="6"/>
      <c r="C134" s="2"/>
      <c r="D134" s="2"/>
      <c r="E134" s="2"/>
      <c r="F134" s="4"/>
      <c r="G134" s="2"/>
      <c r="H134" s="2"/>
      <c r="I134" s="3"/>
      <c r="J134" s="3"/>
      <c r="K134" s="3"/>
      <c r="L134" s="3"/>
      <c r="M134" s="3"/>
      <c r="N134" s="2"/>
    </row>
    <row r="135" spans="1:14" s="5" customFormat="1" x14ac:dyDescent="0.25">
      <c r="A135" s="7"/>
      <c r="B135" s="6"/>
      <c r="C135" s="2"/>
      <c r="D135" s="2"/>
      <c r="E135" s="2"/>
      <c r="F135" s="4"/>
      <c r="G135" s="2"/>
      <c r="H135" s="2"/>
      <c r="I135" s="3"/>
      <c r="J135" s="3"/>
      <c r="K135" s="3"/>
      <c r="L135" s="3"/>
      <c r="M135" s="3"/>
      <c r="N135" s="2"/>
    </row>
    <row r="136" spans="1:14" s="5" customFormat="1" x14ac:dyDescent="0.25">
      <c r="A136" s="7"/>
      <c r="B136" s="6"/>
      <c r="C136" s="2"/>
      <c r="D136" s="2"/>
      <c r="E136" s="2"/>
      <c r="F136" s="4"/>
      <c r="G136" s="2"/>
      <c r="H136" s="2"/>
      <c r="I136" s="3"/>
      <c r="J136" s="3"/>
      <c r="K136" s="3"/>
      <c r="L136" s="3"/>
      <c r="M136" s="3"/>
      <c r="N136" s="2"/>
    </row>
    <row r="137" spans="1:14" s="5" customFormat="1" x14ac:dyDescent="0.25">
      <c r="A137" s="7"/>
      <c r="B137" s="6"/>
      <c r="C137" s="2"/>
      <c r="D137" s="2"/>
      <c r="E137" s="2"/>
      <c r="F137" s="4"/>
      <c r="G137" s="2"/>
      <c r="H137" s="2"/>
      <c r="I137" s="3"/>
      <c r="J137" s="3"/>
      <c r="K137" s="3"/>
      <c r="L137" s="3"/>
      <c r="M137" s="3"/>
      <c r="N137" s="2"/>
    </row>
    <row r="138" spans="1:14" s="5" customFormat="1" x14ac:dyDescent="0.25">
      <c r="A138" s="7"/>
      <c r="B138" s="6"/>
      <c r="C138" s="2"/>
      <c r="D138" s="2"/>
      <c r="E138" s="2"/>
      <c r="F138" s="4"/>
      <c r="G138" s="2"/>
      <c r="H138" s="2"/>
      <c r="I138" s="3"/>
      <c r="J138" s="3"/>
      <c r="K138" s="3"/>
      <c r="L138" s="3"/>
      <c r="M138" s="3"/>
      <c r="N138" s="2"/>
    </row>
    <row r="139" spans="1:14" s="5" customFormat="1" x14ac:dyDescent="0.25">
      <c r="A139" s="7"/>
      <c r="B139" s="6"/>
      <c r="C139" s="2"/>
      <c r="D139" s="2"/>
      <c r="E139" s="2"/>
      <c r="F139" s="4"/>
      <c r="G139" s="2"/>
      <c r="H139" s="2"/>
      <c r="I139" s="3"/>
      <c r="J139" s="3"/>
      <c r="K139" s="3"/>
      <c r="L139" s="3"/>
      <c r="M139" s="3"/>
      <c r="N139" s="2"/>
    </row>
    <row r="140" spans="1:14" s="5" customFormat="1" x14ac:dyDescent="0.25">
      <c r="A140" s="7"/>
      <c r="B140" s="6"/>
      <c r="C140" s="2"/>
      <c r="D140" s="2"/>
      <c r="E140" s="2"/>
      <c r="F140" s="4"/>
      <c r="G140" s="2"/>
      <c r="H140" s="2"/>
      <c r="I140" s="3"/>
      <c r="J140" s="3"/>
      <c r="K140" s="3"/>
      <c r="L140" s="3"/>
      <c r="M140" s="3"/>
      <c r="N140" s="2"/>
    </row>
    <row r="141" spans="1:14" s="5" customFormat="1" x14ac:dyDescent="0.25">
      <c r="A141" s="7"/>
      <c r="B141" s="6"/>
      <c r="C141" s="2"/>
      <c r="D141" s="2"/>
      <c r="E141" s="2"/>
      <c r="F141" s="4"/>
      <c r="G141" s="2"/>
      <c r="H141" s="2"/>
      <c r="I141" s="3"/>
      <c r="J141" s="3"/>
      <c r="K141" s="3"/>
      <c r="L141" s="3"/>
      <c r="M141" s="3"/>
      <c r="N141" s="2"/>
    </row>
    <row r="142" spans="1:14" s="5" customFormat="1" x14ac:dyDescent="0.25">
      <c r="A142" s="7"/>
      <c r="B142" s="6"/>
      <c r="C142" s="2"/>
      <c r="D142" s="2"/>
      <c r="E142" s="2"/>
      <c r="F142" s="4"/>
      <c r="G142" s="2"/>
      <c r="H142" s="2"/>
      <c r="I142" s="3"/>
      <c r="J142" s="3"/>
      <c r="K142" s="3"/>
      <c r="L142" s="3"/>
      <c r="M142" s="3"/>
      <c r="N142" s="2"/>
    </row>
    <row r="143" spans="1:14" s="5" customFormat="1" x14ac:dyDescent="0.25">
      <c r="A143" s="7"/>
      <c r="B143" s="6"/>
      <c r="C143" s="2"/>
      <c r="D143" s="2"/>
      <c r="E143" s="2"/>
      <c r="F143" s="4"/>
      <c r="G143" s="2"/>
      <c r="H143" s="2"/>
      <c r="I143" s="3"/>
      <c r="J143" s="3"/>
      <c r="K143" s="3"/>
      <c r="L143" s="3"/>
      <c r="M143" s="3"/>
      <c r="N143" s="2"/>
    </row>
    <row r="144" spans="1:14" s="5" customFormat="1" x14ac:dyDescent="0.25">
      <c r="A144" s="7"/>
      <c r="B144" s="6"/>
      <c r="C144" s="2"/>
      <c r="D144" s="2"/>
      <c r="E144" s="2"/>
      <c r="F144" s="4"/>
      <c r="G144" s="2"/>
      <c r="H144" s="2"/>
      <c r="I144" s="3"/>
      <c r="J144" s="3"/>
      <c r="K144" s="3"/>
      <c r="L144" s="3"/>
      <c r="M144" s="3"/>
      <c r="N144" s="2"/>
    </row>
    <row r="145" spans="1:14" s="5" customFormat="1" x14ac:dyDescent="0.25">
      <c r="A145" s="7"/>
      <c r="B145" s="6"/>
      <c r="C145" s="2"/>
      <c r="D145" s="2"/>
      <c r="E145" s="2"/>
      <c r="F145" s="4"/>
      <c r="G145" s="2"/>
      <c r="H145" s="2"/>
      <c r="I145" s="3"/>
      <c r="J145" s="3"/>
      <c r="K145" s="3"/>
      <c r="L145" s="3"/>
      <c r="M145" s="3"/>
      <c r="N145" s="2"/>
    </row>
    <row r="146" spans="1:14" s="5" customFormat="1" x14ac:dyDescent="0.25">
      <c r="A146" s="7"/>
      <c r="B146" s="6"/>
      <c r="C146" s="2"/>
      <c r="D146" s="2"/>
      <c r="E146" s="2"/>
      <c r="F146" s="4"/>
      <c r="G146" s="2"/>
      <c r="H146" s="2"/>
      <c r="I146" s="3"/>
      <c r="J146" s="3"/>
      <c r="K146" s="3"/>
      <c r="L146" s="3"/>
      <c r="M146" s="3"/>
      <c r="N146" s="2"/>
    </row>
    <row r="147" spans="1:14" s="5" customFormat="1" x14ac:dyDescent="0.25">
      <c r="A147" s="7"/>
      <c r="B147" s="6"/>
      <c r="C147" s="2"/>
      <c r="D147" s="2"/>
      <c r="E147" s="2"/>
      <c r="F147" s="4"/>
      <c r="G147" s="2"/>
      <c r="H147" s="2"/>
      <c r="I147" s="3"/>
      <c r="J147" s="3"/>
      <c r="K147" s="3"/>
      <c r="L147" s="3"/>
      <c r="M147" s="3"/>
      <c r="N147" s="2"/>
    </row>
    <row r="148" spans="1:14" s="5" customFormat="1" x14ac:dyDescent="0.25">
      <c r="A148" s="7"/>
      <c r="B148" s="6"/>
      <c r="C148" s="2"/>
      <c r="D148" s="2"/>
      <c r="E148" s="2"/>
      <c r="F148" s="4"/>
      <c r="G148" s="2"/>
      <c r="H148" s="2"/>
      <c r="I148" s="3"/>
      <c r="J148" s="3"/>
      <c r="K148" s="3"/>
      <c r="L148" s="3"/>
      <c r="M148" s="3"/>
      <c r="N148" s="2"/>
    </row>
    <row r="149" spans="1:14" s="5" customFormat="1" x14ac:dyDescent="0.25">
      <c r="A149" s="7"/>
      <c r="B149" s="6"/>
      <c r="C149" s="2"/>
      <c r="D149" s="2"/>
      <c r="E149" s="2"/>
      <c r="F149" s="4"/>
      <c r="G149" s="2"/>
      <c r="H149" s="2"/>
      <c r="I149" s="3"/>
      <c r="J149" s="3"/>
      <c r="K149" s="3"/>
      <c r="L149" s="3"/>
      <c r="M149" s="3"/>
      <c r="N149" s="2"/>
    </row>
    <row r="150" spans="1:14" s="5" customFormat="1" x14ac:dyDescent="0.25">
      <c r="A150" s="7"/>
      <c r="B150" s="6"/>
      <c r="C150" s="2"/>
      <c r="D150" s="2"/>
      <c r="E150" s="2"/>
      <c r="F150" s="4"/>
      <c r="G150" s="2"/>
      <c r="H150" s="2"/>
      <c r="I150" s="3"/>
      <c r="J150" s="3"/>
      <c r="K150" s="3"/>
      <c r="L150" s="3"/>
      <c r="M150" s="3"/>
      <c r="N150" s="2"/>
    </row>
    <row r="151" spans="1:14" s="5" customFormat="1" x14ac:dyDescent="0.25">
      <c r="A151" s="7"/>
      <c r="B151" s="6"/>
      <c r="C151" s="2"/>
      <c r="D151" s="2"/>
      <c r="E151" s="2"/>
      <c r="F151" s="4"/>
      <c r="G151" s="2"/>
      <c r="H151" s="2"/>
      <c r="I151" s="3"/>
      <c r="J151" s="3"/>
      <c r="K151" s="3"/>
      <c r="L151" s="3"/>
      <c r="M151" s="3"/>
      <c r="N151" s="2"/>
    </row>
    <row r="152" spans="1:14" s="5" customFormat="1" x14ac:dyDescent="0.25">
      <c r="A152" s="7"/>
      <c r="B152" s="6"/>
      <c r="C152" s="2"/>
      <c r="D152" s="2"/>
      <c r="E152" s="2"/>
      <c r="F152" s="4"/>
      <c r="G152" s="2"/>
      <c r="H152" s="2"/>
      <c r="I152" s="3"/>
      <c r="J152" s="3"/>
      <c r="K152" s="3"/>
      <c r="L152" s="3"/>
      <c r="M152" s="3"/>
      <c r="N152" s="2"/>
    </row>
    <row r="153" spans="1:14" s="5" customFormat="1" x14ac:dyDescent="0.25">
      <c r="A153" s="7"/>
      <c r="B153" s="6"/>
      <c r="C153" s="2"/>
      <c r="D153" s="2"/>
      <c r="E153" s="2"/>
      <c r="F153" s="4"/>
      <c r="G153" s="2"/>
      <c r="H153" s="2"/>
      <c r="I153" s="3"/>
      <c r="J153" s="3"/>
      <c r="K153" s="3"/>
      <c r="L153" s="3"/>
      <c r="M153" s="3"/>
      <c r="N153" s="2"/>
    </row>
    <row r="154" spans="1:14" s="5" customFormat="1" x14ac:dyDescent="0.25">
      <c r="A154" s="7"/>
      <c r="B154" s="6"/>
      <c r="C154" s="2"/>
      <c r="D154" s="2"/>
      <c r="E154" s="2"/>
      <c r="F154" s="4"/>
      <c r="G154" s="2"/>
      <c r="H154" s="2"/>
      <c r="I154" s="3"/>
      <c r="J154" s="3"/>
      <c r="K154" s="3"/>
      <c r="L154" s="3"/>
      <c r="M154" s="3"/>
      <c r="N154" s="2"/>
    </row>
    <row r="155" spans="1:14" s="5" customFormat="1" x14ac:dyDescent="0.25">
      <c r="A155" s="7"/>
      <c r="B155" s="6"/>
      <c r="C155" s="2"/>
      <c r="D155" s="2"/>
      <c r="E155" s="2"/>
      <c r="F155" s="4"/>
      <c r="G155" s="2"/>
      <c r="H155" s="2"/>
      <c r="I155" s="3"/>
      <c r="J155" s="3"/>
      <c r="K155" s="3"/>
      <c r="L155" s="3"/>
      <c r="M155" s="3"/>
      <c r="N155" s="2"/>
    </row>
    <row r="156" spans="1:14" s="5" customFormat="1" x14ac:dyDescent="0.25">
      <c r="A156" s="7"/>
      <c r="B156" s="6"/>
      <c r="C156" s="2"/>
      <c r="D156" s="2"/>
      <c r="E156" s="2"/>
      <c r="F156" s="4"/>
      <c r="G156" s="2"/>
      <c r="H156" s="2"/>
      <c r="I156" s="3"/>
      <c r="J156" s="3"/>
      <c r="K156" s="3"/>
      <c r="L156" s="3"/>
      <c r="M156" s="3"/>
      <c r="N156" s="2"/>
    </row>
    <row r="157" spans="1:14" s="5" customFormat="1" x14ac:dyDescent="0.25">
      <c r="A157" s="7"/>
      <c r="B157" s="6"/>
      <c r="C157" s="2"/>
      <c r="D157" s="2"/>
      <c r="E157" s="2"/>
      <c r="F157" s="4"/>
      <c r="G157" s="2"/>
      <c r="H157" s="2"/>
      <c r="I157" s="3"/>
      <c r="J157" s="3"/>
      <c r="K157" s="3"/>
      <c r="L157" s="3"/>
      <c r="M157" s="3"/>
      <c r="N157" s="2"/>
    </row>
    <row r="158" spans="1:14" s="5" customFormat="1" x14ac:dyDescent="0.25">
      <c r="A158" s="7"/>
      <c r="B158" s="6"/>
      <c r="C158" s="2"/>
      <c r="D158" s="2"/>
      <c r="E158" s="2"/>
      <c r="F158" s="4"/>
      <c r="G158" s="2"/>
      <c r="H158" s="2"/>
      <c r="I158" s="3"/>
      <c r="J158" s="3"/>
      <c r="K158" s="3"/>
      <c r="L158" s="3"/>
      <c r="M158" s="3"/>
      <c r="N158" s="2"/>
    </row>
    <row r="159" spans="1:14" s="5" customFormat="1" x14ac:dyDescent="0.25">
      <c r="A159" s="7"/>
      <c r="B159" s="6"/>
      <c r="C159" s="2"/>
      <c r="D159" s="2"/>
      <c r="E159" s="2"/>
      <c r="F159" s="4"/>
      <c r="G159" s="2"/>
      <c r="H159" s="2"/>
      <c r="I159" s="3"/>
      <c r="J159" s="3"/>
      <c r="K159" s="3"/>
      <c r="L159" s="3"/>
      <c r="M159" s="3"/>
      <c r="N159" s="2"/>
    </row>
    <row r="160" spans="1:14" s="5" customFormat="1" x14ac:dyDescent="0.25">
      <c r="A160" s="7"/>
      <c r="B160" s="6"/>
      <c r="C160" s="2"/>
      <c r="D160" s="2"/>
      <c r="E160" s="2"/>
      <c r="F160" s="4"/>
      <c r="G160" s="2"/>
      <c r="H160" s="2"/>
      <c r="I160" s="3"/>
      <c r="J160" s="3"/>
      <c r="K160" s="3"/>
      <c r="L160" s="3"/>
      <c r="M160" s="3"/>
      <c r="N160" s="2"/>
    </row>
    <row r="161" spans="1:14" s="5" customFormat="1" x14ac:dyDescent="0.25">
      <c r="A161" s="7"/>
      <c r="B161" s="6"/>
      <c r="C161" s="2"/>
      <c r="D161" s="2"/>
      <c r="E161" s="2"/>
      <c r="F161" s="4"/>
      <c r="G161" s="2"/>
      <c r="H161" s="2"/>
      <c r="I161" s="3"/>
      <c r="J161" s="3"/>
      <c r="K161" s="3"/>
      <c r="L161" s="3"/>
      <c r="M161" s="3"/>
      <c r="N161" s="2"/>
    </row>
    <row r="162" spans="1:14" s="5" customFormat="1" x14ac:dyDescent="0.25">
      <c r="A162" s="7"/>
      <c r="B162" s="6"/>
      <c r="C162" s="2"/>
      <c r="D162" s="2"/>
      <c r="E162" s="2"/>
      <c r="F162" s="4"/>
      <c r="G162" s="2"/>
      <c r="H162" s="2"/>
      <c r="I162" s="3"/>
      <c r="J162" s="3"/>
      <c r="K162" s="3"/>
      <c r="L162" s="3"/>
      <c r="M162" s="3"/>
      <c r="N162" s="2"/>
    </row>
    <row r="163" spans="1:14" s="5" customFormat="1" x14ac:dyDescent="0.25">
      <c r="A163" s="7"/>
      <c r="B163" s="6"/>
      <c r="C163" s="2"/>
      <c r="D163" s="2"/>
      <c r="E163" s="2"/>
      <c r="F163" s="4"/>
      <c r="G163" s="2"/>
      <c r="H163" s="2"/>
      <c r="I163" s="3"/>
      <c r="J163" s="3"/>
      <c r="K163" s="3"/>
      <c r="L163" s="3"/>
      <c r="M163" s="3"/>
      <c r="N163" s="2"/>
    </row>
    <row r="164" spans="1:14" s="5" customFormat="1" x14ac:dyDescent="0.25">
      <c r="A164" s="7"/>
      <c r="B164" s="6"/>
      <c r="C164" s="2"/>
      <c r="D164" s="2"/>
      <c r="E164" s="2"/>
      <c r="F164" s="4"/>
      <c r="G164" s="2"/>
      <c r="H164" s="2"/>
      <c r="I164" s="3"/>
      <c r="J164" s="3"/>
      <c r="K164" s="3"/>
      <c r="L164" s="3"/>
      <c r="M164" s="3"/>
      <c r="N164" s="2"/>
    </row>
  </sheetData>
  <hyperlinks>
    <hyperlink ref="F7" location="BR_A0001" display="BR_A0001"/>
  </hyperlinks>
  <pageMargins left="0.41" right="0.22" top="0.72" bottom="0.57999999999999996" header="0.5" footer="0.26"/>
  <pageSetup scale="58" fitToHeight="99" orientation="landscape" r:id="rId1"/>
  <headerFooter alignWithMargins="0"/>
  <rowBreaks count="1" manualBreakCount="1">
    <brk id="6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19"/>
  <sheetViews>
    <sheetView zoomScale="90" zoomScaleNormal="90" workbookViewId="0">
      <selection activeCell="M16" sqref="M16"/>
    </sheetView>
  </sheetViews>
  <sheetFormatPr baseColWidth="10" defaultColWidth="9.109375" defaultRowHeight="14.4" x14ac:dyDescent="0.3"/>
  <cols>
    <col min="1" max="1" width="9.109375" style="67"/>
    <col min="2" max="2" width="25.109375" style="67" customWidth="1"/>
    <col min="3" max="3" width="13.44140625" style="67" customWidth="1"/>
    <col min="4" max="6" width="9.109375" style="67"/>
    <col min="7" max="7" width="20.5546875" style="67" customWidth="1"/>
    <col min="8" max="8" width="9.109375" style="67"/>
    <col min="9" max="9" width="20.5546875" style="67" bestFit="1" customWidth="1"/>
    <col min="10" max="13" width="9.109375" style="67"/>
    <col min="14" max="14" width="12.5546875" style="67" bestFit="1" customWidth="1"/>
    <col min="15" max="15" width="3.109375" style="67" customWidth="1"/>
    <col min="16" max="16384" width="9.109375" style="67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141" t="s">
        <v>24</v>
      </c>
      <c r="B2" s="69" t="s">
        <v>23</v>
      </c>
      <c r="C2" s="70"/>
      <c r="D2" s="70"/>
      <c r="E2" s="70"/>
      <c r="F2" s="70"/>
      <c r="G2" s="70" t="s">
        <v>33</v>
      </c>
      <c r="H2" s="70"/>
      <c r="I2" s="70"/>
      <c r="J2" s="145" t="s">
        <v>18</v>
      </c>
      <c r="K2" s="71">
        <v>81</v>
      </c>
      <c r="L2" s="70"/>
      <c r="M2" s="141" t="s">
        <v>107</v>
      </c>
      <c r="N2" s="78">
        <f>WT_0200_004_m+WT_0200_004_p</f>
        <v>0.95013112</v>
      </c>
      <c r="O2" s="73"/>
    </row>
    <row r="3" spans="1:15" x14ac:dyDescent="0.3">
      <c r="A3" s="141" t="s">
        <v>35</v>
      </c>
      <c r="B3" s="69" t="str">
        <f>'WT A0200'!B3</f>
        <v>Wheels &amp; Tires</v>
      </c>
      <c r="C3" s="70"/>
      <c r="D3" s="141" t="s">
        <v>40</v>
      </c>
      <c r="E3" s="117" t="s">
        <v>129</v>
      </c>
      <c r="F3" s="70"/>
      <c r="G3" s="70"/>
      <c r="H3" s="70"/>
      <c r="I3" s="70"/>
      <c r="J3" s="70"/>
      <c r="K3" s="70"/>
      <c r="L3" s="70"/>
      <c r="M3" s="141" t="s">
        <v>37</v>
      </c>
      <c r="N3" s="74">
        <v>1</v>
      </c>
      <c r="O3" s="73"/>
    </row>
    <row r="4" spans="1:15" x14ac:dyDescent="0.3">
      <c r="A4" s="141" t="s">
        <v>38</v>
      </c>
      <c r="B4" s="144" t="str">
        <f>'WT A0200'!B4</f>
        <v>Front Hubs</v>
      </c>
      <c r="C4" s="70"/>
      <c r="D4" s="141" t="s">
        <v>43</v>
      </c>
      <c r="E4" s="70"/>
      <c r="F4" s="70"/>
      <c r="G4" s="70"/>
      <c r="H4" s="70"/>
      <c r="I4" s="70"/>
      <c r="J4" s="142" t="s">
        <v>40</v>
      </c>
      <c r="K4" s="70"/>
      <c r="L4" s="70"/>
      <c r="M4" s="70"/>
      <c r="N4" s="70"/>
      <c r="O4" s="73"/>
    </row>
    <row r="5" spans="1:15" x14ac:dyDescent="0.3">
      <c r="A5" s="141" t="s">
        <v>108</v>
      </c>
      <c r="B5" s="77" t="s">
        <v>140</v>
      </c>
      <c r="C5" s="70"/>
      <c r="D5" s="141" t="s">
        <v>46</v>
      </c>
      <c r="E5" s="70"/>
      <c r="F5" s="70"/>
      <c r="G5" s="70"/>
      <c r="H5" s="70"/>
      <c r="I5" s="70"/>
      <c r="J5" s="142" t="s">
        <v>43</v>
      </c>
      <c r="K5" s="70"/>
      <c r="L5" s="70"/>
      <c r="M5" s="141" t="s">
        <v>44</v>
      </c>
      <c r="N5" s="78">
        <f>N3*N2</f>
        <v>0.95013112</v>
      </c>
      <c r="O5" s="73"/>
    </row>
    <row r="6" spans="1:15" x14ac:dyDescent="0.3">
      <c r="A6" s="141" t="s">
        <v>41</v>
      </c>
      <c r="B6" s="143" t="s">
        <v>29</v>
      </c>
      <c r="C6" s="70"/>
      <c r="D6" s="70"/>
      <c r="E6" s="70"/>
      <c r="F6" s="70"/>
      <c r="G6" s="70"/>
      <c r="H6" s="70"/>
      <c r="I6" s="70"/>
      <c r="J6" s="142" t="s">
        <v>46</v>
      </c>
      <c r="K6" s="70"/>
      <c r="L6" s="70"/>
      <c r="M6" s="70"/>
      <c r="N6" s="70"/>
      <c r="O6" s="73"/>
    </row>
    <row r="7" spans="1:15" x14ac:dyDescent="0.3">
      <c r="A7" s="141" t="s">
        <v>45</v>
      </c>
      <c r="B7" s="69" t="s">
        <v>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5" x14ac:dyDescent="0.3">
      <c r="A8" s="141" t="s">
        <v>47</v>
      </c>
      <c r="B8" s="69" t="s">
        <v>139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5" x14ac:dyDescent="0.3">
      <c r="A9" s="140"/>
      <c r="B9" s="139"/>
      <c r="C9" s="139"/>
      <c r="D9" s="139"/>
      <c r="E9" s="139"/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5" x14ac:dyDescent="0.3">
      <c r="A10" s="138" t="s">
        <v>49</v>
      </c>
      <c r="B10" s="137" t="s">
        <v>50</v>
      </c>
      <c r="C10" s="137" t="s">
        <v>51</v>
      </c>
      <c r="D10" s="137" t="s">
        <v>52</v>
      </c>
      <c r="E10" s="137" t="s">
        <v>53</v>
      </c>
      <c r="F10" s="124" t="s">
        <v>54</v>
      </c>
      <c r="G10" s="124" t="s">
        <v>55</v>
      </c>
      <c r="H10" s="124" t="s">
        <v>56</v>
      </c>
      <c r="I10" s="124" t="s">
        <v>57</v>
      </c>
      <c r="J10" s="124" t="s">
        <v>58</v>
      </c>
      <c r="K10" s="124" t="s">
        <v>59</v>
      </c>
      <c r="L10" s="124" t="s">
        <v>60</v>
      </c>
      <c r="M10" s="124" t="s">
        <v>8</v>
      </c>
      <c r="N10" s="124" t="s">
        <v>61</v>
      </c>
      <c r="O10" s="73"/>
    </row>
    <row r="11" spans="1:15" s="89" customFormat="1" x14ac:dyDescent="0.3">
      <c r="A11" s="136">
        <v>10</v>
      </c>
      <c r="B11" s="135" t="s">
        <v>138</v>
      </c>
      <c r="C11" s="133"/>
      <c r="D11" s="121">
        <v>4.2</v>
      </c>
      <c r="E11" s="134">
        <f>J11*K11*L11</f>
        <v>1.0983600000000001E-2</v>
      </c>
      <c r="F11" s="133" t="s">
        <v>125</v>
      </c>
      <c r="G11" s="133"/>
      <c r="H11" s="132"/>
      <c r="I11" s="131" t="s">
        <v>137</v>
      </c>
      <c r="J11" s="130">
        <f>(45*10^(-3))^2</f>
        <v>2.0249999999999999E-3</v>
      </c>
      <c r="K11" s="129">
        <v>2E-3</v>
      </c>
      <c r="L11" s="128">
        <v>2712</v>
      </c>
      <c r="M11" s="127">
        <v>1</v>
      </c>
      <c r="N11" s="121">
        <f>D11*E11</f>
        <v>4.6131120000000005E-2</v>
      </c>
      <c r="O11" s="88"/>
    </row>
    <row r="12" spans="1:15" x14ac:dyDescent="0.3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126" t="s">
        <v>61</v>
      </c>
      <c r="N12" s="119">
        <f>N11*M11</f>
        <v>4.6131120000000005E-2</v>
      </c>
      <c r="O12" s="73"/>
    </row>
    <row r="13" spans="1:15" x14ac:dyDescent="0.3">
      <c r="A13" s="7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3"/>
    </row>
    <row r="14" spans="1:15" x14ac:dyDescent="0.3">
      <c r="A14" s="125" t="s">
        <v>49</v>
      </c>
      <c r="B14" s="124" t="s">
        <v>70</v>
      </c>
      <c r="C14" s="124" t="s">
        <v>51</v>
      </c>
      <c r="D14" s="124" t="s">
        <v>52</v>
      </c>
      <c r="E14" s="124" t="s">
        <v>71</v>
      </c>
      <c r="F14" s="124" t="s">
        <v>8</v>
      </c>
      <c r="G14" s="124" t="s">
        <v>72</v>
      </c>
      <c r="H14" s="124" t="s">
        <v>73</v>
      </c>
      <c r="I14" s="124" t="s">
        <v>61</v>
      </c>
      <c r="J14" s="94"/>
      <c r="K14" s="94"/>
      <c r="L14" s="94"/>
      <c r="M14" s="94"/>
      <c r="N14" s="94"/>
      <c r="O14" s="73"/>
    </row>
    <row r="15" spans="1:15" s="97" customFormat="1" ht="28.8" x14ac:dyDescent="0.3">
      <c r="A15" s="107">
        <v>10</v>
      </c>
      <c r="B15" s="158" t="s">
        <v>120</v>
      </c>
      <c r="C15" s="158" t="s">
        <v>123</v>
      </c>
      <c r="D15" s="152">
        <v>1.3</v>
      </c>
      <c r="E15" s="107" t="s">
        <v>71</v>
      </c>
      <c r="F15" s="107">
        <v>1</v>
      </c>
      <c r="G15" s="107" t="s">
        <v>136</v>
      </c>
      <c r="H15" s="107">
        <v>0.5</v>
      </c>
      <c r="I15" s="123">
        <f>IF(H15="",D15*F15,D15*F15*H15)</f>
        <v>0.65</v>
      </c>
      <c r="J15" s="122"/>
      <c r="K15" s="122"/>
      <c r="L15" s="122"/>
      <c r="M15" s="122"/>
      <c r="N15" s="122"/>
      <c r="O15" s="96"/>
    </row>
    <row r="16" spans="1:15" x14ac:dyDescent="0.3">
      <c r="A16" s="107">
        <v>20</v>
      </c>
      <c r="B16" s="158" t="s">
        <v>135</v>
      </c>
      <c r="C16" s="158"/>
      <c r="D16" s="152">
        <v>0.01</v>
      </c>
      <c r="E16" s="107" t="s">
        <v>80</v>
      </c>
      <c r="F16" s="107">
        <v>25.4</v>
      </c>
      <c r="G16" s="107"/>
      <c r="H16" s="107">
        <v>1</v>
      </c>
      <c r="I16" s="123">
        <f>F16*D16</f>
        <v>0.254</v>
      </c>
      <c r="J16" s="70"/>
      <c r="K16" s="70"/>
      <c r="L16" s="70"/>
      <c r="M16" s="70"/>
      <c r="N16" s="70"/>
      <c r="O16" s="73"/>
    </row>
    <row r="17" spans="1:15" x14ac:dyDescent="0.3">
      <c r="A17" s="93"/>
      <c r="B17" s="94"/>
      <c r="C17" s="94"/>
      <c r="D17" s="94"/>
      <c r="E17" s="94"/>
      <c r="F17" s="94"/>
      <c r="G17" s="94"/>
      <c r="H17" s="120" t="s">
        <v>61</v>
      </c>
      <c r="I17" s="119">
        <f>SUM(I15:I16)</f>
        <v>0.90400000000000003</v>
      </c>
      <c r="J17" s="94"/>
      <c r="K17" s="94"/>
      <c r="L17" s="94"/>
      <c r="M17" s="94"/>
      <c r="N17" s="94"/>
      <c r="O17" s="73"/>
    </row>
    <row r="18" spans="1:15" x14ac:dyDescent="0.3">
      <c r="A18" s="79"/>
      <c r="B18" s="70"/>
      <c r="C18" s="70"/>
      <c r="D18" s="70"/>
      <c r="E18" s="70"/>
      <c r="F18" s="70"/>
      <c r="G18" s="70"/>
      <c r="H18" s="70"/>
      <c r="I18" s="75"/>
      <c r="J18" s="70"/>
      <c r="K18" s="70"/>
      <c r="L18" s="70"/>
      <c r="M18" s="70"/>
      <c r="N18" s="70"/>
      <c r="O18" s="73"/>
    </row>
    <row r="19" spans="1:15" ht="15" thickBot="1" x14ac:dyDescent="0.35">
      <c r="A19" s="103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5"/>
    </row>
  </sheetData>
  <hyperlinks>
    <hyperlink ref="E3" location="'WT 02004 Drawing'!A1" display="Drawing"/>
    <hyperlink ref="B4" location="'WT A0200'!A1" display="'WT A02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zoomScale="90" zoomScaleNormal="90" workbookViewId="0">
      <selection activeCell="B14" sqref="B14"/>
    </sheetView>
  </sheetViews>
  <sheetFormatPr baseColWidth="10" defaultRowHeight="14.4" x14ac:dyDescent="0.3"/>
  <cols>
    <col min="1" max="1" width="14" style="67" customWidth="1"/>
    <col min="2" max="16384" width="11.5546875" style="67"/>
  </cols>
  <sheetData>
    <row r="1" spans="1:2" x14ac:dyDescent="0.3">
      <c r="A1" s="144" t="s">
        <v>130</v>
      </c>
      <c r="B1" s="144" t="str">
        <f>WT_0200_004</f>
        <v>WT 02004</v>
      </c>
    </row>
  </sheetData>
  <hyperlinks>
    <hyperlink ref="B1" location="'WT 02004'!A1" display="'WT 02004'!A1"/>
    <hyperlink ref="A1" location="'WT 02004'!A1" display="Drawing part :"/>
  </hyperlinks>
  <pageMargins left="0.7" right="0.7" top="0.75" bottom="0.75" header="0.3" footer="0.3"/>
  <pageSetup paperSize="9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19"/>
  <sheetViews>
    <sheetView zoomScale="90" zoomScaleNormal="90" workbookViewId="0">
      <selection activeCell="B14" sqref="B14"/>
    </sheetView>
  </sheetViews>
  <sheetFormatPr baseColWidth="10" defaultColWidth="9.109375" defaultRowHeight="14.4" x14ac:dyDescent="0.3"/>
  <cols>
    <col min="1" max="13" width="9.109375" style="67"/>
    <col min="14" max="14" width="12.5546875" style="67" bestFit="1" customWidth="1"/>
    <col min="15" max="15" width="3.109375" style="67" customWidth="1"/>
    <col min="16" max="16384" width="9.109375" style="67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141" t="s">
        <v>24</v>
      </c>
      <c r="B2" s="69" t="s">
        <v>23</v>
      </c>
      <c r="C2" s="70"/>
      <c r="D2" s="70"/>
      <c r="E2" s="70"/>
      <c r="F2" s="70"/>
      <c r="G2" s="70" t="s">
        <v>33</v>
      </c>
      <c r="H2" s="70"/>
      <c r="I2" s="70"/>
      <c r="J2" s="145" t="s">
        <v>18</v>
      </c>
      <c r="K2" s="71">
        <v>81</v>
      </c>
      <c r="L2" s="70"/>
      <c r="M2" s="141" t="s">
        <v>107</v>
      </c>
      <c r="N2" s="78">
        <f>WT_0200_006_m+WT_0200_006_p</f>
        <v>3.9701600000000004</v>
      </c>
      <c r="O2" s="73"/>
    </row>
    <row r="3" spans="1:15" x14ac:dyDescent="0.3">
      <c r="A3" s="141" t="s">
        <v>35</v>
      </c>
      <c r="B3" s="69" t="str">
        <f>'WT A0200'!B3</f>
        <v>Wheels &amp; Tires</v>
      </c>
      <c r="C3" s="70"/>
      <c r="D3" s="141" t="s">
        <v>40</v>
      </c>
      <c r="E3" s="144" t="s">
        <v>129</v>
      </c>
      <c r="F3" s="70"/>
      <c r="G3" s="70"/>
      <c r="H3" s="70"/>
      <c r="I3" s="70"/>
      <c r="J3" s="70"/>
      <c r="K3" s="70"/>
      <c r="L3" s="70"/>
      <c r="M3" s="141" t="s">
        <v>37</v>
      </c>
      <c r="N3" s="74">
        <v>1</v>
      </c>
      <c r="O3" s="73"/>
    </row>
    <row r="4" spans="1:15" x14ac:dyDescent="0.3">
      <c r="A4" s="141" t="s">
        <v>38</v>
      </c>
      <c r="B4" s="144" t="str">
        <f>'WT A0200'!B4</f>
        <v>Front Hubs</v>
      </c>
      <c r="C4" s="70"/>
      <c r="D4" s="141" t="s">
        <v>43</v>
      </c>
      <c r="E4" s="70"/>
      <c r="F4" s="70"/>
      <c r="G4" s="70"/>
      <c r="H4" s="70"/>
      <c r="I4" s="70"/>
      <c r="J4" s="142" t="s">
        <v>40</v>
      </c>
      <c r="K4" s="70"/>
      <c r="L4" s="70"/>
      <c r="M4" s="70"/>
      <c r="N4" s="70"/>
      <c r="O4" s="73"/>
    </row>
    <row r="5" spans="1:15" x14ac:dyDescent="0.3">
      <c r="A5" s="141" t="s">
        <v>108</v>
      </c>
      <c r="B5" s="77" t="s">
        <v>103</v>
      </c>
      <c r="C5" s="70"/>
      <c r="D5" s="141" t="s">
        <v>46</v>
      </c>
      <c r="E5" s="70"/>
      <c r="F5" s="70"/>
      <c r="G5" s="70"/>
      <c r="H5" s="70"/>
      <c r="I5" s="70"/>
      <c r="J5" s="142" t="s">
        <v>43</v>
      </c>
      <c r="K5" s="70"/>
      <c r="L5" s="70"/>
      <c r="M5" s="141" t="s">
        <v>44</v>
      </c>
      <c r="N5" s="78">
        <f>N3*N2</f>
        <v>3.9701600000000004</v>
      </c>
      <c r="O5" s="73"/>
    </row>
    <row r="6" spans="1:15" x14ac:dyDescent="0.3">
      <c r="A6" s="141" t="s">
        <v>41</v>
      </c>
      <c r="B6" s="143" t="s">
        <v>30</v>
      </c>
      <c r="C6" s="70"/>
      <c r="D6" s="70"/>
      <c r="E6" s="70"/>
      <c r="F6" s="70"/>
      <c r="G6" s="70"/>
      <c r="H6" s="70"/>
      <c r="I6" s="70"/>
      <c r="J6" s="142" t="s">
        <v>46</v>
      </c>
      <c r="K6" s="70"/>
      <c r="L6" s="70"/>
      <c r="M6" s="70"/>
      <c r="N6" s="70"/>
      <c r="O6" s="73"/>
    </row>
    <row r="7" spans="1:15" x14ac:dyDescent="0.3">
      <c r="A7" s="141" t="s">
        <v>45</v>
      </c>
      <c r="B7" s="69" t="s">
        <v>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5" x14ac:dyDescent="0.3">
      <c r="A8" s="141" t="s">
        <v>47</v>
      </c>
      <c r="B8" s="69" t="s">
        <v>143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5" x14ac:dyDescent="0.3">
      <c r="A9" s="140"/>
      <c r="B9" s="139"/>
      <c r="C9" s="139"/>
      <c r="D9" s="139"/>
      <c r="E9" s="139"/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5" x14ac:dyDescent="0.3">
      <c r="A10" s="138" t="s">
        <v>49</v>
      </c>
      <c r="B10" s="137" t="s">
        <v>50</v>
      </c>
      <c r="C10" s="137" t="s">
        <v>51</v>
      </c>
      <c r="D10" s="137" t="s">
        <v>52</v>
      </c>
      <c r="E10" s="137" t="s">
        <v>53</v>
      </c>
      <c r="F10" s="124" t="s">
        <v>54</v>
      </c>
      <c r="G10" s="124" t="s">
        <v>55</v>
      </c>
      <c r="H10" s="124" t="s">
        <v>56</v>
      </c>
      <c r="I10" s="124" t="s">
        <v>57</v>
      </c>
      <c r="J10" s="124" t="s">
        <v>58</v>
      </c>
      <c r="K10" s="124" t="s">
        <v>59</v>
      </c>
      <c r="L10" s="124" t="s">
        <v>60</v>
      </c>
      <c r="M10" s="124" t="s">
        <v>8</v>
      </c>
      <c r="N10" s="124" t="s">
        <v>61</v>
      </c>
      <c r="O10" s="73"/>
    </row>
    <row r="11" spans="1:15" s="89" customFormat="1" ht="28.8" x14ac:dyDescent="0.3">
      <c r="A11" s="136">
        <v>10</v>
      </c>
      <c r="B11" s="81" t="s">
        <v>142</v>
      </c>
      <c r="C11" s="80"/>
      <c r="D11" s="82">
        <v>2.25</v>
      </c>
      <c r="E11" s="134">
        <f>J11*K11*L11</f>
        <v>0.20096000000000003</v>
      </c>
      <c r="F11" s="133" t="s">
        <v>125</v>
      </c>
      <c r="G11" s="133"/>
      <c r="H11" s="132"/>
      <c r="I11" s="131" t="s">
        <v>141</v>
      </c>
      <c r="J11" s="130">
        <f>0.16*0.16</f>
        <v>2.5600000000000001E-2</v>
      </c>
      <c r="K11" s="129">
        <v>1E-3</v>
      </c>
      <c r="L11" s="128">
        <v>7850</v>
      </c>
      <c r="M11" s="127">
        <v>1</v>
      </c>
      <c r="N11" s="121">
        <f>D11*E11</f>
        <v>0.45216000000000006</v>
      </c>
      <c r="O11" s="88"/>
    </row>
    <row r="12" spans="1:15" x14ac:dyDescent="0.3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126" t="s">
        <v>61</v>
      </c>
      <c r="N12" s="119">
        <f>N11*M11</f>
        <v>0.45216000000000006</v>
      </c>
      <c r="O12" s="73"/>
    </row>
    <row r="13" spans="1:15" x14ac:dyDescent="0.3">
      <c r="A13" s="7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3"/>
    </row>
    <row r="14" spans="1:15" x14ac:dyDescent="0.3">
      <c r="A14" s="125" t="s">
        <v>49</v>
      </c>
      <c r="B14" s="124" t="s">
        <v>70</v>
      </c>
      <c r="C14" s="124" t="s">
        <v>51</v>
      </c>
      <c r="D14" s="124" t="s">
        <v>52</v>
      </c>
      <c r="E14" s="124" t="s">
        <v>71</v>
      </c>
      <c r="F14" s="124" t="s">
        <v>8</v>
      </c>
      <c r="G14" s="124" t="s">
        <v>72</v>
      </c>
      <c r="H14" s="124" t="s">
        <v>73</v>
      </c>
      <c r="I14" s="124" t="s">
        <v>61</v>
      </c>
      <c r="J14" s="94"/>
      <c r="K14" s="94"/>
      <c r="L14" s="94"/>
      <c r="M14" s="94"/>
      <c r="N14" s="94"/>
      <c r="O14" s="73"/>
    </row>
    <row r="15" spans="1:15" s="97" customFormat="1" x14ac:dyDescent="0.3">
      <c r="A15" s="80">
        <v>10</v>
      </c>
      <c r="B15" s="98" t="s">
        <v>120</v>
      </c>
      <c r="C15" s="98" t="s">
        <v>123</v>
      </c>
      <c r="D15" s="82">
        <v>1.3</v>
      </c>
      <c r="E15" s="80" t="s">
        <v>71</v>
      </c>
      <c r="F15" s="80">
        <v>1</v>
      </c>
      <c r="G15" s="80" t="s">
        <v>136</v>
      </c>
      <c r="H15" s="80">
        <v>0.5</v>
      </c>
      <c r="I15" s="123">
        <f>IF(H15="",D15*F15,D15*F15*H15)</f>
        <v>0.65</v>
      </c>
      <c r="J15" s="122"/>
      <c r="K15" s="122"/>
      <c r="L15" s="122"/>
      <c r="M15" s="122"/>
      <c r="N15" s="122"/>
      <c r="O15" s="96"/>
    </row>
    <row r="16" spans="1:15" x14ac:dyDescent="0.3">
      <c r="A16" s="80">
        <v>20</v>
      </c>
      <c r="B16" s="98" t="s">
        <v>135</v>
      </c>
      <c r="C16" s="98"/>
      <c r="D16" s="82">
        <v>0.01</v>
      </c>
      <c r="E16" s="80" t="s">
        <v>80</v>
      </c>
      <c r="F16" s="80">
        <v>286.8</v>
      </c>
      <c r="G16" s="80"/>
      <c r="H16" s="80">
        <v>1</v>
      </c>
      <c r="I16" s="121">
        <f>F16*D16</f>
        <v>2.8680000000000003</v>
      </c>
      <c r="J16" s="70"/>
      <c r="K16" s="70"/>
      <c r="L16" s="70"/>
      <c r="M16" s="70"/>
      <c r="N16" s="70"/>
      <c r="O16" s="73"/>
    </row>
    <row r="17" spans="1:15" x14ac:dyDescent="0.3">
      <c r="A17" s="93"/>
      <c r="B17" s="94"/>
      <c r="C17" s="94"/>
      <c r="D17" s="94"/>
      <c r="E17" s="94"/>
      <c r="F17" s="94"/>
      <c r="G17" s="94"/>
      <c r="H17" s="120" t="s">
        <v>61</v>
      </c>
      <c r="I17" s="119">
        <f>SUM(I15:I16)</f>
        <v>3.5180000000000002</v>
      </c>
      <c r="J17" s="94"/>
      <c r="K17" s="94"/>
      <c r="L17" s="94"/>
      <c r="M17" s="94"/>
      <c r="N17" s="94"/>
      <c r="O17" s="73"/>
    </row>
    <row r="18" spans="1:15" x14ac:dyDescent="0.3">
      <c r="A18" s="79"/>
      <c r="B18" s="70"/>
      <c r="C18" s="70"/>
      <c r="D18" s="70"/>
      <c r="E18" s="70"/>
      <c r="F18" s="70"/>
      <c r="G18" s="70"/>
      <c r="H18" s="70"/>
      <c r="I18" s="75"/>
      <c r="J18" s="70"/>
      <c r="K18" s="70"/>
      <c r="L18" s="70"/>
      <c r="M18" s="70"/>
      <c r="N18" s="70"/>
      <c r="O18" s="73"/>
    </row>
    <row r="19" spans="1:15" ht="15" thickBot="1" x14ac:dyDescent="0.35">
      <c r="A19" s="103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5"/>
    </row>
  </sheetData>
  <hyperlinks>
    <hyperlink ref="B4" location="'WT A0200'!A1" display="'WT A0200'!A1"/>
    <hyperlink ref="E3" location="'WT 02005 Drawing'!A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>
      <selection activeCell="K35" sqref="K35"/>
    </sheetView>
  </sheetViews>
  <sheetFormatPr baseColWidth="10" defaultRowHeight="14.4" x14ac:dyDescent="0.3"/>
  <cols>
    <col min="1" max="1" width="14" style="67" customWidth="1"/>
    <col min="2" max="16384" width="11.5546875" style="67"/>
  </cols>
  <sheetData>
    <row r="1" spans="1:2" x14ac:dyDescent="0.3">
      <c r="A1" s="144" t="s">
        <v>130</v>
      </c>
      <c r="B1" s="144" t="str">
        <f>WT_0200_006</f>
        <v>WT 02005</v>
      </c>
    </row>
  </sheetData>
  <hyperlinks>
    <hyperlink ref="A1" location="'WT 02005'!A1" display="Drawing part :"/>
    <hyperlink ref="B1" location="'WT 02005'!A1" display="'WT 02005'!A1"/>
  </hyperlinks>
  <pageMargins left="0.7" right="0.7" top="0.75" bottom="0.75" header="0.3" footer="0.3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FF"/>
    <pageSetUpPr fitToPage="1"/>
  </sheetPr>
  <dimension ref="A1:O27"/>
  <sheetViews>
    <sheetView zoomScale="75" zoomScaleNormal="75" zoomScaleSheetLayoutView="80" workbookViewId="0">
      <selection activeCell="O18" sqref="O18"/>
    </sheetView>
  </sheetViews>
  <sheetFormatPr baseColWidth="10" defaultColWidth="9.109375" defaultRowHeight="14.4" x14ac:dyDescent="0.3"/>
  <cols>
    <col min="1" max="1" width="9.109375" style="67"/>
    <col min="2" max="2" width="32.6640625" style="67" customWidth="1"/>
    <col min="3" max="3" width="19.6640625" style="67" customWidth="1"/>
    <col min="4" max="14" width="9.109375" style="67"/>
    <col min="15" max="15" width="36.44140625" style="67" customWidth="1"/>
    <col min="16" max="16384" width="9.109375" style="67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68" t="s">
        <v>24</v>
      </c>
      <c r="B2" s="69" t="s">
        <v>23</v>
      </c>
      <c r="C2" s="70"/>
      <c r="D2" s="70"/>
      <c r="E2" s="106" t="s">
        <v>33</v>
      </c>
      <c r="F2" s="70"/>
      <c r="G2" s="70"/>
      <c r="H2" s="70"/>
      <c r="I2" s="70"/>
      <c r="J2" s="68" t="s">
        <v>18</v>
      </c>
      <c r="K2" s="71">
        <v>81</v>
      </c>
      <c r="L2" s="70"/>
      <c r="M2" s="68" t="s">
        <v>34</v>
      </c>
      <c r="N2" s="72">
        <f>WT_A0100_m+WT_A0100_p+WT_A0100_f</f>
        <v>175.23</v>
      </c>
      <c r="O2" s="73"/>
    </row>
    <row r="3" spans="1:15" x14ac:dyDescent="0.3">
      <c r="A3" s="68" t="s">
        <v>35</v>
      </c>
      <c r="B3" s="69" t="s">
        <v>36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68" t="s">
        <v>37</v>
      </c>
      <c r="N3" s="74">
        <v>4</v>
      </c>
      <c r="O3" s="73"/>
    </row>
    <row r="4" spans="1:15" x14ac:dyDescent="0.3">
      <c r="A4" s="68" t="s">
        <v>38</v>
      </c>
      <c r="B4" s="75" t="s">
        <v>39</v>
      </c>
      <c r="C4" s="70"/>
      <c r="D4" s="70"/>
      <c r="E4" s="70"/>
      <c r="F4" s="70"/>
      <c r="G4" s="70"/>
      <c r="H4" s="70"/>
      <c r="I4" s="70"/>
      <c r="J4" s="76" t="s">
        <v>40</v>
      </c>
      <c r="K4" s="70"/>
      <c r="L4" s="70"/>
      <c r="M4" s="70"/>
      <c r="N4" s="70"/>
      <c r="O4" s="73"/>
    </row>
    <row r="5" spans="1:15" x14ac:dyDescent="0.3">
      <c r="A5" s="68" t="s">
        <v>41</v>
      </c>
      <c r="B5" s="77" t="s">
        <v>42</v>
      </c>
      <c r="C5" s="70"/>
      <c r="D5" s="70"/>
      <c r="E5" s="70"/>
      <c r="F5" s="70"/>
      <c r="G5" s="70"/>
      <c r="H5" s="70"/>
      <c r="I5" s="70"/>
      <c r="J5" s="76" t="s">
        <v>43</v>
      </c>
      <c r="K5" s="70"/>
      <c r="L5" s="70"/>
      <c r="M5" s="68" t="s">
        <v>44</v>
      </c>
      <c r="N5" s="78">
        <f>N2*N3</f>
        <v>700.92</v>
      </c>
      <c r="O5" s="73"/>
    </row>
    <row r="6" spans="1:15" x14ac:dyDescent="0.3">
      <c r="A6" s="68" t="s">
        <v>45</v>
      </c>
      <c r="B6" s="69" t="s">
        <v>1</v>
      </c>
      <c r="C6" s="70"/>
      <c r="D6" s="70"/>
      <c r="E6" s="70"/>
      <c r="F6" s="70"/>
      <c r="G6" s="70"/>
      <c r="H6" s="70"/>
      <c r="I6" s="70"/>
      <c r="J6" s="76" t="s">
        <v>46</v>
      </c>
      <c r="K6" s="70"/>
      <c r="L6" s="70"/>
      <c r="M6" s="70"/>
      <c r="N6" s="70"/>
      <c r="O6" s="73"/>
    </row>
    <row r="7" spans="1:15" x14ac:dyDescent="0.3">
      <c r="A7" s="68" t="s">
        <v>47</v>
      </c>
      <c r="B7" s="69" t="s">
        <v>48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5" x14ac:dyDescent="0.3">
      <c r="A8" s="79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5" x14ac:dyDescent="0.3">
      <c r="A9" s="79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5" x14ac:dyDescent="0.3">
      <c r="A10" s="68" t="s">
        <v>49</v>
      </c>
      <c r="B10" s="68" t="s">
        <v>50</v>
      </c>
      <c r="C10" s="68" t="s">
        <v>51</v>
      </c>
      <c r="D10" s="68" t="s">
        <v>52</v>
      </c>
      <c r="E10" s="68" t="s">
        <v>53</v>
      </c>
      <c r="F10" s="68" t="s">
        <v>54</v>
      </c>
      <c r="G10" s="68" t="s">
        <v>55</v>
      </c>
      <c r="H10" s="68" t="s">
        <v>56</v>
      </c>
      <c r="I10" s="68" t="s">
        <v>57</v>
      </c>
      <c r="J10" s="68" t="s">
        <v>58</v>
      </c>
      <c r="K10" s="68" t="s">
        <v>59</v>
      </c>
      <c r="L10" s="68" t="s">
        <v>60</v>
      </c>
      <c r="M10" s="68" t="s">
        <v>8</v>
      </c>
      <c r="N10" s="68" t="s">
        <v>61</v>
      </c>
      <c r="O10" s="73"/>
    </row>
    <row r="11" spans="1:15" x14ac:dyDescent="0.3">
      <c r="A11" s="80">
        <v>10</v>
      </c>
      <c r="B11" s="81" t="s">
        <v>62</v>
      </c>
      <c r="C11" s="80" t="s">
        <v>63</v>
      </c>
      <c r="D11" s="82">
        <v>80</v>
      </c>
      <c r="E11" s="80"/>
      <c r="F11" s="80" t="s">
        <v>64</v>
      </c>
      <c r="G11" s="80"/>
      <c r="H11" s="83"/>
      <c r="I11" s="84"/>
      <c r="J11" s="85"/>
      <c r="K11" s="83"/>
      <c r="L11" s="83"/>
      <c r="M11" s="86">
        <v>1</v>
      </c>
      <c r="N11" s="87">
        <f>IF(J11="",D11*M11,D11*J11*K11*L11*M11)</f>
        <v>80</v>
      </c>
      <c r="O11" s="73"/>
    </row>
    <row r="12" spans="1:15" s="89" customFormat="1" x14ac:dyDescent="0.3">
      <c r="A12" s="80">
        <v>20</v>
      </c>
      <c r="B12" s="81" t="s">
        <v>65</v>
      </c>
      <c r="C12" s="80" t="s">
        <v>66</v>
      </c>
      <c r="D12" s="82">
        <v>85</v>
      </c>
      <c r="E12" s="80"/>
      <c r="F12" s="80" t="s">
        <v>64</v>
      </c>
      <c r="G12" s="80"/>
      <c r="H12" s="83"/>
      <c r="I12" s="84"/>
      <c r="J12" s="85"/>
      <c r="K12" s="83"/>
      <c r="L12" s="83"/>
      <c r="M12" s="86">
        <v>1</v>
      </c>
      <c r="N12" s="87">
        <f>IF(J12="",D12*M12,D12*J12*K12*L12*M12)</f>
        <v>85</v>
      </c>
      <c r="O12" s="88"/>
    </row>
    <row r="13" spans="1:15" x14ac:dyDescent="0.3">
      <c r="A13" s="80">
        <v>30</v>
      </c>
      <c r="B13" s="81" t="s">
        <v>67</v>
      </c>
      <c r="C13" s="80"/>
      <c r="D13" s="82">
        <v>1</v>
      </c>
      <c r="E13" s="80"/>
      <c r="F13" s="80" t="s">
        <v>64</v>
      </c>
      <c r="G13" s="80"/>
      <c r="H13" s="83"/>
      <c r="I13" s="90"/>
      <c r="J13" s="85"/>
      <c r="K13" s="83"/>
      <c r="L13" s="91"/>
      <c r="M13" s="86">
        <v>1</v>
      </c>
      <c r="N13" s="87">
        <f>IF(J13="",D13*M13,D13*J13*K13*L13*M13)</f>
        <v>1</v>
      </c>
      <c r="O13" s="73"/>
    </row>
    <row r="14" spans="1:15" ht="28.8" x14ac:dyDescent="0.3">
      <c r="A14" s="80">
        <v>40</v>
      </c>
      <c r="B14" s="81" t="s">
        <v>68</v>
      </c>
      <c r="C14" s="107" t="s">
        <v>69</v>
      </c>
      <c r="D14" s="82">
        <v>4</v>
      </c>
      <c r="E14" s="80"/>
      <c r="F14" s="80" t="s">
        <v>64</v>
      </c>
      <c r="G14" s="80"/>
      <c r="H14" s="83"/>
      <c r="I14" s="90"/>
      <c r="J14" s="85"/>
      <c r="K14" s="83"/>
      <c r="L14" s="83"/>
      <c r="M14" s="92">
        <v>1</v>
      </c>
      <c r="N14" s="87">
        <f>IF(J14="",D14*M14,D14*J14*K14*L14*M14)</f>
        <v>4</v>
      </c>
      <c r="O14" s="73"/>
    </row>
    <row r="15" spans="1:15" x14ac:dyDescent="0.3">
      <c r="A15" s="93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68" t="s">
        <v>61</v>
      </c>
      <c r="N15" s="95">
        <f>SUM(N11:N14)</f>
        <v>170</v>
      </c>
      <c r="O15" s="73"/>
    </row>
    <row r="16" spans="1:15" x14ac:dyDescent="0.3">
      <c r="A16" s="79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3"/>
    </row>
    <row r="17" spans="1:15" s="97" customFormat="1" x14ac:dyDescent="0.3">
      <c r="A17" s="68" t="s">
        <v>49</v>
      </c>
      <c r="B17" s="68" t="s">
        <v>70</v>
      </c>
      <c r="C17" s="68" t="s">
        <v>51</v>
      </c>
      <c r="D17" s="68" t="s">
        <v>52</v>
      </c>
      <c r="E17" s="68" t="s">
        <v>71</v>
      </c>
      <c r="F17" s="68" t="s">
        <v>8</v>
      </c>
      <c r="G17" s="68" t="s">
        <v>72</v>
      </c>
      <c r="H17" s="68" t="s">
        <v>73</v>
      </c>
      <c r="I17" s="68" t="s">
        <v>61</v>
      </c>
      <c r="J17" s="94"/>
      <c r="K17" s="94"/>
      <c r="L17" s="94"/>
      <c r="M17" s="94"/>
      <c r="N17" s="94"/>
      <c r="O17" s="96"/>
    </row>
    <row r="18" spans="1:15" x14ac:dyDescent="0.3">
      <c r="A18" s="80">
        <v>10</v>
      </c>
      <c r="B18" s="98" t="s">
        <v>74</v>
      </c>
      <c r="C18" s="98" t="s">
        <v>75</v>
      </c>
      <c r="D18" s="82">
        <v>0.63</v>
      </c>
      <c r="E18" s="80" t="s">
        <v>64</v>
      </c>
      <c r="F18" s="80">
        <v>1</v>
      </c>
      <c r="G18" s="80"/>
      <c r="H18" s="80">
        <v>1</v>
      </c>
      <c r="I18" s="82">
        <f>D18*F18*H18</f>
        <v>0.63</v>
      </c>
      <c r="J18" s="70"/>
      <c r="K18" s="70"/>
      <c r="L18" s="70"/>
      <c r="M18" s="70"/>
      <c r="N18" s="70"/>
      <c r="O18" s="73"/>
    </row>
    <row r="19" spans="1:15" x14ac:dyDescent="0.3">
      <c r="A19" s="80">
        <v>20</v>
      </c>
      <c r="B19" s="99" t="s">
        <v>76</v>
      </c>
      <c r="C19" s="98" t="s">
        <v>77</v>
      </c>
      <c r="D19" s="82">
        <v>0.75</v>
      </c>
      <c r="E19" s="80" t="s">
        <v>64</v>
      </c>
      <c r="F19" s="80">
        <v>4</v>
      </c>
      <c r="G19" s="80"/>
      <c r="H19" s="80">
        <v>1</v>
      </c>
      <c r="I19" s="82">
        <f>D19*F19*H19</f>
        <v>3</v>
      </c>
      <c r="J19" s="70"/>
      <c r="K19" s="70"/>
      <c r="L19" s="70"/>
      <c r="M19" s="70"/>
      <c r="N19" s="70"/>
      <c r="O19" s="73"/>
    </row>
    <row r="20" spans="1:15" x14ac:dyDescent="0.3">
      <c r="A20" s="93"/>
      <c r="B20" s="94"/>
      <c r="C20" s="94"/>
      <c r="D20" s="94"/>
      <c r="E20" s="94"/>
      <c r="F20" s="94"/>
      <c r="G20" s="94"/>
      <c r="H20" s="100" t="s">
        <v>61</v>
      </c>
      <c r="I20" s="95">
        <f>SUM(I18:I19)</f>
        <v>3.63</v>
      </c>
      <c r="J20" s="70"/>
      <c r="K20" s="70"/>
      <c r="L20" s="70"/>
      <c r="M20" s="70"/>
      <c r="N20" s="70"/>
      <c r="O20" s="73"/>
    </row>
    <row r="21" spans="1:15" x14ac:dyDescent="0.3">
      <c r="A21" s="79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3"/>
    </row>
    <row r="22" spans="1:15" x14ac:dyDescent="0.3">
      <c r="A22" s="68" t="s">
        <v>49</v>
      </c>
      <c r="B22" s="68" t="s">
        <v>78</v>
      </c>
      <c r="C22" s="68" t="s">
        <v>51</v>
      </c>
      <c r="D22" s="68" t="s">
        <v>52</v>
      </c>
      <c r="E22" s="68" t="s">
        <v>53</v>
      </c>
      <c r="F22" s="68" t="s">
        <v>54</v>
      </c>
      <c r="G22" s="68" t="s">
        <v>55</v>
      </c>
      <c r="H22" s="68" t="s">
        <v>56</v>
      </c>
      <c r="I22" s="68" t="s">
        <v>8</v>
      </c>
      <c r="J22" s="68" t="s">
        <v>61</v>
      </c>
      <c r="K22" s="70"/>
      <c r="L22" s="70"/>
      <c r="M22" s="70"/>
      <c r="N22" s="70"/>
      <c r="O22" s="73"/>
    </row>
    <row r="23" spans="1:15" x14ac:dyDescent="0.3">
      <c r="A23" s="80">
        <v>10</v>
      </c>
      <c r="B23" s="81" t="s">
        <v>79</v>
      </c>
      <c r="C23" s="80" t="s">
        <v>75</v>
      </c>
      <c r="D23" s="82">
        <v>0.4</v>
      </c>
      <c r="E23" s="80"/>
      <c r="F23" s="101" t="s">
        <v>80</v>
      </c>
      <c r="G23" s="80"/>
      <c r="H23" s="98"/>
      <c r="I23" s="102">
        <v>4</v>
      </c>
      <c r="J23" s="82">
        <f>D23*I23</f>
        <v>1.6</v>
      </c>
      <c r="K23" s="70"/>
      <c r="L23" s="70"/>
      <c r="M23" s="70"/>
      <c r="N23" s="70"/>
      <c r="O23" s="73"/>
    </row>
    <row r="24" spans="1:15" x14ac:dyDescent="0.3">
      <c r="A24" s="93"/>
      <c r="B24" s="94"/>
      <c r="C24" s="94"/>
      <c r="D24" s="94"/>
      <c r="E24" s="94"/>
      <c r="F24" s="94"/>
      <c r="G24" s="94"/>
      <c r="H24" s="94"/>
      <c r="I24" s="100" t="s">
        <v>61</v>
      </c>
      <c r="J24" s="95">
        <f>SUM(J23:J23)</f>
        <v>1.6</v>
      </c>
      <c r="K24" s="70"/>
      <c r="L24" s="70"/>
      <c r="M24" s="70"/>
      <c r="N24" s="70"/>
      <c r="O24" s="73"/>
    </row>
    <row r="25" spans="1:15" x14ac:dyDescent="0.3">
      <c r="A25" s="79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3"/>
    </row>
    <row r="26" spans="1:15" ht="18.600000000000001" customHeight="1" thickBot="1" x14ac:dyDescent="0.35">
      <c r="A26" s="103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5"/>
    </row>
    <row r="27" spans="1:15" x14ac:dyDescent="0.3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</row>
  </sheetData>
  <hyperlinks>
    <hyperlink ref="E2" location="WT_A0100_BOM" display="Back to BOM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26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FF"/>
    <pageSetUpPr fitToPage="1"/>
  </sheetPr>
  <dimension ref="A1:O40"/>
  <sheetViews>
    <sheetView tabSelected="1" zoomScale="90" zoomScaleNormal="90" zoomScaleSheetLayoutView="80" workbookViewId="0">
      <selection activeCell="E2" sqref="E2"/>
    </sheetView>
  </sheetViews>
  <sheetFormatPr baseColWidth="10" defaultColWidth="9.109375" defaultRowHeight="14.4" x14ac:dyDescent="0.3"/>
  <cols>
    <col min="1" max="1" width="9.109375" style="67"/>
    <col min="2" max="2" width="29.6640625" style="67" customWidth="1"/>
    <col min="3" max="3" width="28.77734375" style="67" customWidth="1"/>
    <col min="4" max="13" width="9.109375" style="67"/>
    <col min="14" max="14" width="10.88671875" style="67" customWidth="1"/>
    <col min="15" max="15" width="5.33203125" style="67" customWidth="1"/>
    <col min="16" max="16384" width="9.109375" style="67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68" t="s">
        <v>24</v>
      </c>
      <c r="B2" s="69" t="s">
        <v>23</v>
      </c>
      <c r="C2" s="70"/>
      <c r="D2" s="70"/>
      <c r="E2" s="106" t="s">
        <v>33</v>
      </c>
      <c r="F2" s="70"/>
      <c r="G2" s="70"/>
      <c r="H2" s="70"/>
      <c r="I2" s="70"/>
      <c r="J2" s="68" t="s">
        <v>18</v>
      </c>
      <c r="K2" s="71">
        <v>81</v>
      </c>
      <c r="L2" s="70"/>
      <c r="M2" s="68" t="s">
        <v>34</v>
      </c>
      <c r="N2" s="72">
        <f>WT_A0200_pa+WT_A0200_m+WT_A0200_p+WT_A0200_f</f>
        <v>341.7412675152284</v>
      </c>
      <c r="O2" s="73"/>
    </row>
    <row r="3" spans="1:15" x14ac:dyDescent="0.3">
      <c r="A3" s="68" t="s">
        <v>35</v>
      </c>
      <c r="B3" s="69" t="s">
        <v>36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68" t="s">
        <v>37</v>
      </c>
      <c r="N3" s="74">
        <v>2</v>
      </c>
      <c r="O3" s="73"/>
    </row>
    <row r="4" spans="1:15" x14ac:dyDescent="0.3">
      <c r="A4" s="68" t="s">
        <v>38</v>
      </c>
      <c r="B4" s="75" t="s">
        <v>110</v>
      </c>
      <c r="C4" s="70"/>
      <c r="D4" s="70"/>
      <c r="E4" s="70"/>
      <c r="F4" s="70"/>
      <c r="G4" s="70"/>
      <c r="H4" s="70"/>
      <c r="I4" s="70"/>
      <c r="J4" s="76" t="s">
        <v>40</v>
      </c>
      <c r="K4" s="70"/>
      <c r="L4" s="70"/>
      <c r="M4" s="70"/>
      <c r="N4" s="70"/>
      <c r="O4" s="73"/>
    </row>
    <row r="5" spans="1:15" x14ac:dyDescent="0.3">
      <c r="A5" s="68" t="s">
        <v>41</v>
      </c>
      <c r="B5" s="77" t="s">
        <v>25</v>
      </c>
      <c r="C5" s="70"/>
      <c r="D5" s="70"/>
      <c r="E5" s="70"/>
      <c r="F5" s="70"/>
      <c r="G5" s="70"/>
      <c r="H5" s="70"/>
      <c r="I5" s="70"/>
      <c r="J5" s="76" t="s">
        <v>43</v>
      </c>
      <c r="K5" s="70"/>
      <c r="L5" s="70"/>
      <c r="M5" s="68" t="s">
        <v>44</v>
      </c>
      <c r="N5" s="78">
        <f>N2*N3</f>
        <v>683.4825350304568</v>
      </c>
      <c r="O5" s="73"/>
    </row>
    <row r="6" spans="1:15" x14ac:dyDescent="0.3">
      <c r="A6" s="68" t="s">
        <v>45</v>
      </c>
      <c r="B6" s="69" t="s">
        <v>1</v>
      </c>
      <c r="C6" s="70"/>
      <c r="D6" s="70"/>
      <c r="E6" s="70"/>
      <c r="F6" s="70"/>
      <c r="G6" s="70"/>
      <c r="H6" s="70"/>
      <c r="I6" s="70"/>
      <c r="J6" s="76" t="s">
        <v>46</v>
      </c>
      <c r="K6" s="70"/>
      <c r="L6" s="70"/>
      <c r="M6" s="70"/>
      <c r="N6" s="70"/>
      <c r="O6" s="73"/>
    </row>
    <row r="7" spans="1:15" x14ac:dyDescent="0.3">
      <c r="A7" s="68" t="s">
        <v>47</v>
      </c>
      <c r="B7" s="69" t="s">
        <v>109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5" x14ac:dyDescent="0.3">
      <c r="A8" s="79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5" x14ac:dyDescent="0.3">
      <c r="A9" s="68" t="s">
        <v>49</v>
      </c>
      <c r="B9" s="68" t="s">
        <v>108</v>
      </c>
      <c r="C9" s="68" t="s">
        <v>107</v>
      </c>
      <c r="D9" s="68" t="s">
        <v>8</v>
      </c>
      <c r="E9" s="68" t="s">
        <v>61</v>
      </c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5" x14ac:dyDescent="0.3">
      <c r="A10" s="112">
        <v>10</v>
      </c>
      <c r="B10" s="115" t="str">
        <f>'WT 02001'!B5</f>
        <v>Front Hub</v>
      </c>
      <c r="C10" s="78">
        <f>'WT 02001'!N2</f>
        <v>64.158517485600001</v>
      </c>
      <c r="D10" s="114">
        <f>'WT 02001'!N3</f>
        <v>1</v>
      </c>
      <c r="E10" s="78">
        <f>C10*D10</f>
        <v>64.158517485600001</v>
      </c>
      <c r="F10" s="70"/>
      <c r="G10" s="70"/>
      <c r="H10" s="70"/>
      <c r="I10" s="70"/>
      <c r="J10" s="70"/>
      <c r="K10" s="70"/>
      <c r="L10" s="70"/>
      <c r="M10" s="70"/>
      <c r="N10" s="70"/>
      <c r="O10" s="73"/>
    </row>
    <row r="11" spans="1:15" x14ac:dyDescent="0.3">
      <c r="A11" s="112">
        <v>20</v>
      </c>
      <c r="B11" s="118" t="s">
        <v>106</v>
      </c>
      <c r="C11" s="78">
        <f>'WT 02002'!N2</f>
        <v>2.6214313574000001</v>
      </c>
      <c r="D11" s="114">
        <f>'WT 02002'!N3</f>
        <v>1</v>
      </c>
      <c r="E11" s="78">
        <f>C11*D11</f>
        <v>2.6214313574000001</v>
      </c>
      <c r="F11" s="75"/>
      <c r="G11" s="75"/>
      <c r="H11" s="75"/>
      <c r="I11" s="75"/>
      <c r="J11" s="75"/>
      <c r="K11" s="75"/>
      <c r="L11" s="75"/>
      <c r="M11" s="75"/>
      <c r="N11" s="75"/>
      <c r="O11" s="73"/>
    </row>
    <row r="12" spans="1:15" x14ac:dyDescent="0.3">
      <c r="A12" s="112">
        <v>30</v>
      </c>
      <c r="B12" s="117" t="s">
        <v>105</v>
      </c>
      <c r="C12" s="78">
        <f>'WT 02003'!N2</f>
        <v>20.676657798400001</v>
      </c>
      <c r="D12" s="114">
        <f>'WT 02003'!N3</f>
        <v>1</v>
      </c>
      <c r="E12" s="78">
        <f>C12*D12</f>
        <v>20.676657798400001</v>
      </c>
      <c r="F12" s="75"/>
      <c r="G12" s="75"/>
      <c r="H12" s="75"/>
      <c r="I12" s="75"/>
      <c r="J12" s="75"/>
      <c r="K12" s="75"/>
      <c r="L12" s="75"/>
      <c r="M12" s="75"/>
      <c r="N12" s="75"/>
      <c r="O12" s="116"/>
    </row>
    <row r="13" spans="1:15" s="110" customFormat="1" x14ac:dyDescent="0.3">
      <c r="A13" s="112">
        <v>40</v>
      </c>
      <c r="B13" s="115" t="s">
        <v>104</v>
      </c>
      <c r="C13" s="78">
        <f>'WT 02004'!N2</f>
        <v>0.95013112</v>
      </c>
      <c r="D13" s="114">
        <f>'WT 02004'!N3</f>
        <v>1</v>
      </c>
      <c r="E13" s="78">
        <f>C13*D13</f>
        <v>0.95013112</v>
      </c>
      <c r="F13" s="75"/>
      <c r="G13" s="75"/>
      <c r="H13" s="75"/>
      <c r="I13" s="75"/>
      <c r="J13" s="75"/>
      <c r="K13" s="75"/>
      <c r="L13" s="75"/>
      <c r="M13" s="75"/>
      <c r="N13" s="75"/>
      <c r="O13" s="116"/>
    </row>
    <row r="14" spans="1:15" s="110" customFormat="1" x14ac:dyDescent="0.3">
      <c r="A14" s="112">
        <v>50</v>
      </c>
      <c r="B14" s="115" t="s">
        <v>103</v>
      </c>
      <c r="C14" s="78">
        <f>'WT 02005'!N2</f>
        <v>3.9701600000000004</v>
      </c>
      <c r="D14" s="114">
        <f>'WT 02005'!N3</f>
        <v>1</v>
      </c>
      <c r="E14" s="78">
        <f>C14*D14</f>
        <v>3.9701600000000004</v>
      </c>
      <c r="F14" s="75"/>
      <c r="G14" s="75"/>
      <c r="H14" s="75"/>
      <c r="I14" s="75"/>
      <c r="J14" s="75"/>
      <c r="K14" s="75"/>
      <c r="L14" s="75"/>
      <c r="M14" s="75"/>
      <c r="N14" s="75"/>
      <c r="O14" s="109"/>
    </row>
    <row r="15" spans="1:15" x14ac:dyDescent="0.3">
      <c r="A15" s="79"/>
      <c r="B15" s="70"/>
      <c r="C15" s="70"/>
      <c r="D15" s="100" t="s">
        <v>61</v>
      </c>
      <c r="E15" s="95">
        <f>SUM(E10:E14)</f>
        <v>92.376897761400002</v>
      </c>
      <c r="F15" s="75"/>
      <c r="G15" s="75"/>
      <c r="H15" s="75"/>
      <c r="I15" s="75"/>
      <c r="J15" s="75"/>
      <c r="K15" s="75"/>
      <c r="L15" s="75"/>
      <c r="M15" s="75"/>
      <c r="N15" s="75"/>
      <c r="O15" s="73"/>
    </row>
    <row r="16" spans="1:15" x14ac:dyDescent="0.3">
      <c r="A16" s="79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3"/>
    </row>
    <row r="17" spans="1:15" x14ac:dyDescent="0.3">
      <c r="A17" s="68" t="s">
        <v>49</v>
      </c>
      <c r="B17" s="68" t="s">
        <v>50</v>
      </c>
      <c r="C17" s="68" t="s">
        <v>51</v>
      </c>
      <c r="D17" s="68" t="s">
        <v>52</v>
      </c>
      <c r="E17" s="68" t="s">
        <v>53</v>
      </c>
      <c r="F17" s="68" t="s">
        <v>54</v>
      </c>
      <c r="G17" s="68" t="s">
        <v>55</v>
      </c>
      <c r="H17" s="68" t="s">
        <v>56</v>
      </c>
      <c r="I17" s="68" t="s">
        <v>57</v>
      </c>
      <c r="J17" s="68" t="s">
        <v>58</v>
      </c>
      <c r="K17" s="68" t="s">
        <v>59</v>
      </c>
      <c r="L17" s="68" t="s">
        <v>60</v>
      </c>
      <c r="M17" s="68" t="s">
        <v>8</v>
      </c>
      <c r="N17" s="68" t="s">
        <v>61</v>
      </c>
      <c r="O17" s="73"/>
    </row>
    <row r="18" spans="1:15" ht="28.8" x14ac:dyDescent="0.3">
      <c r="A18" s="146">
        <v>10</v>
      </c>
      <c r="B18" s="113" t="s">
        <v>102</v>
      </c>
      <c r="C18" s="146"/>
      <c r="D18" s="147">
        <f>0.4*((E18^2*G18))^0.5</f>
        <v>118.74544201778863</v>
      </c>
      <c r="E18" s="146">
        <v>72</v>
      </c>
      <c r="F18" s="146" t="s">
        <v>82</v>
      </c>
      <c r="G18" s="146">
        <v>17</v>
      </c>
      <c r="H18" s="148" t="s">
        <v>82</v>
      </c>
      <c r="I18" s="149"/>
      <c r="J18" s="150"/>
      <c r="K18" s="148"/>
      <c r="L18" s="148"/>
      <c r="M18" s="169">
        <v>2</v>
      </c>
      <c r="N18" s="147">
        <f>M18*D18</f>
        <v>237.49088403557727</v>
      </c>
      <c r="O18" s="73"/>
    </row>
    <row r="19" spans="1:15" s="89" customFormat="1" x14ac:dyDescent="0.3">
      <c r="A19" s="151">
        <v>20</v>
      </c>
      <c r="B19" s="111" t="s">
        <v>101</v>
      </c>
      <c r="C19" s="111" t="s">
        <v>100</v>
      </c>
      <c r="D19" s="152">
        <f>0.126*E19+1.57</f>
        <v>5.98</v>
      </c>
      <c r="E19" s="151">
        <v>35</v>
      </c>
      <c r="F19" s="151" t="s">
        <v>82</v>
      </c>
      <c r="G19" s="151"/>
      <c r="H19" s="153"/>
      <c r="I19" s="154"/>
      <c r="J19" s="155"/>
      <c r="K19" s="153"/>
      <c r="L19" s="153"/>
      <c r="M19" s="156">
        <v>1</v>
      </c>
      <c r="N19" s="147">
        <f>M19*D19</f>
        <v>5.98</v>
      </c>
      <c r="O19" s="88"/>
    </row>
    <row r="20" spans="1:15" ht="43.2" x14ac:dyDescent="0.3">
      <c r="A20" s="151">
        <v>30</v>
      </c>
      <c r="B20" s="111" t="s">
        <v>99</v>
      </c>
      <c r="C20" s="108" t="s">
        <v>98</v>
      </c>
      <c r="D20" s="152">
        <v>0</v>
      </c>
      <c r="E20" s="151"/>
      <c r="F20" s="151"/>
      <c r="G20" s="151"/>
      <c r="H20" s="153"/>
      <c r="I20" s="154"/>
      <c r="J20" s="155"/>
      <c r="K20" s="153"/>
      <c r="L20" s="153"/>
      <c r="M20" s="156"/>
      <c r="N20" s="147">
        <f>M20*D20</f>
        <v>0</v>
      </c>
      <c r="O20" s="73"/>
    </row>
    <row r="21" spans="1:15" x14ac:dyDescent="0.3">
      <c r="A21" s="93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68" t="s">
        <v>61</v>
      </c>
      <c r="N21" s="95">
        <f>SUM(N18:N20)</f>
        <v>243.47088403557726</v>
      </c>
      <c r="O21" s="73"/>
    </row>
    <row r="22" spans="1:15" x14ac:dyDescent="0.3">
      <c r="A22" s="79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3"/>
    </row>
    <row r="23" spans="1:15" s="97" customFormat="1" x14ac:dyDescent="0.3">
      <c r="A23" s="68" t="s">
        <v>49</v>
      </c>
      <c r="B23" s="68" t="s">
        <v>70</v>
      </c>
      <c r="C23" s="68" t="s">
        <v>51</v>
      </c>
      <c r="D23" s="68" t="s">
        <v>52</v>
      </c>
      <c r="E23" s="68" t="s">
        <v>71</v>
      </c>
      <c r="F23" s="68" t="s">
        <v>8</v>
      </c>
      <c r="G23" s="68" t="s">
        <v>72</v>
      </c>
      <c r="H23" s="68" t="s">
        <v>73</v>
      </c>
      <c r="I23" s="68" t="s">
        <v>61</v>
      </c>
      <c r="J23" s="94"/>
      <c r="K23" s="94"/>
      <c r="L23" s="94"/>
      <c r="M23" s="94"/>
      <c r="N23" s="94"/>
      <c r="O23" s="96"/>
    </row>
    <row r="24" spans="1:15" ht="28.8" x14ac:dyDescent="0.3">
      <c r="A24" s="157">
        <v>10</v>
      </c>
      <c r="B24" s="158" t="s">
        <v>92</v>
      </c>
      <c r="C24" s="158" t="s">
        <v>97</v>
      </c>
      <c r="D24" s="159">
        <v>0.06</v>
      </c>
      <c r="E24" s="107" t="s">
        <v>64</v>
      </c>
      <c r="F24" s="107">
        <v>1</v>
      </c>
      <c r="G24" s="107"/>
      <c r="H24" s="107">
        <v>1</v>
      </c>
      <c r="I24" s="147">
        <f>IF(H24="",D24*F24,D24*F24*H24)</f>
        <v>0.06</v>
      </c>
      <c r="J24" s="70"/>
      <c r="K24" s="70"/>
      <c r="L24" s="70"/>
      <c r="M24" s="70"/>
      <c r="N24" s="70"/>
      <c r="O24" s="73"/>
    </row>
    <row r="25" spans="1:15" x14ac:dyDescent="0.3">
      <c r="A25" s="107">
        <v>20</v>
      </c>
      <c r="B25" s="158" t="s">
        <v>96</v>
      </c>
      <c r="C25" s="158" t="s">
        <v>95</v>
      </c>
      <c r="D25" s="160">
        <v>0.19</v>
      </c>
      <c r="E25" s="107" t="s">
        <v>64</v>
      </c>
      <c r="F25" s="107">
        <v>2</v>
      </c>
      <c r="G25" s="107"/>
      <c r="H25" s="107">
        <v>1</v>
      </c>
      <c r="I25" s="147">
        <f>IF(H25="",D25*F25,D25*F25*H25)</f>
        <v>0.38</v>
      </c>
      <c r="J25" s="70"/>
      <c r="K25" s="70"/>
      <c r="L25" s="70"/>
      <c r="M25" s="70"/>
      <c r="N25" s="70"/>
      <c r="O25" s="73"/>
    </row>
    <row r="26" spans="1:15" ht="28.8" x14ac:dyDescent="0.3">
      <c r="A26" s="157">
        <v>30</v>
      </c>
      <c r="B26" s="158" t="s">
        <v>92</v>
      </c>
      <c r="C26" s="158" t="s">
        <v>94</v>
      </c>
      <c r="D26" s="159">
        <v>0.06</v>
      </c>
      <c r="E26" s="107" t="s">
        <v>64</v>
      </c>
      <c r="F26" s="107">
        <v>1</v>
      </c>
      <c r="G26" s="107"/>
      <c r="H26" s="107">
        <v>1</v>
      </c>
      <c r="I26" s="147">
        <f>IF(H26="",D26*F26,D26*F26*H26)</f>
        <v>0.06</v>
      </c>
      <c r="J26" s="70"/>
      <c r="K26" s="70"/>
      <c r="L26" s="70"/>
      <c r="M26" s="70"/>
      <c r="N26" s="70"/>
      <c r="O26" s="73"/>
    </row>
    <row r="27" spans="1:15" s="110" customFormat="1" ht="28.8" x14ac:dyDescent="0.3">
      <c r="A27" s="157">
        <v>40</v>
      </c>
      <c r="B27" s="158" t="s">
        <v>92</v>
      </c>
      <c r="C27" s="158" t="s">
        <v>93</v>
      </c>
      <c r="D27" s="159">
        <v>0.06</v>
      </c>
      <c r="E27" s="107" t="s">
        <v>64</v>
      </c>
      <c r="F27" s="107">
        <v>1</v>
      </c>
      <c r="G27" s="107"/>
      <c r="H27" s="107">
        <v>1</v>
      </c>
      <c r="I27" s="147">
        <f>IF(H27="",D27*F27,D27*F27*H27)</f>
        <v>0.06</v>
      </c>
      <c r="J27" s="75"/>
      <c r="K27" s="75"/>
      <c r="L27" s="75"/>
      <c r="M27" s="75"/>
      <c r="N27" s="75"/>
      <c r="O27" s="109"/>
    </row>
    <row r="28" spans="1:15" s="97" customFormat="1" ht="28.8" x14ac:dyDescent="0.3">
      <c r="A28" s="157">
        <v>50</v>
      </c>
      <c r="B28" s="158" t="s">
        <v>92</v>
      </c>
      <c r="C28" s="158" t="s">
        <v>91</v>
      </c>
      <c r="D28" s="159">
        <v>0.06</v>
      </c>
      <c r="E28" s="107" t="s">
        <v>64</v>
      </c>
      <c r="F28" s="107">
        <v>1</v>
      </c>
      <c r="G28" s="107"/>
      <c r="H28" s="107">
        <v>1</v>
      </c>
      <c r="I28" s="147">
        <f>IF(H28="",D28*F28,D28*F28*H28)</f>
        <v>0.06</v>
      </c>
      <c r="J28" s="75"/>
      <c r="K28" s="75"/>
      <c r="L28" s="75"/>
      <c r="M28" s="75"/>
      <c r="N28" s="75"/>
      <c r="O28" s="96"/>
    </row>
    <row r="29" spans="1:15" s="110" customFormat="1" x14ac:dyDescent="0.3">
      <c r="A29" s="107">
        <v>80</v>
      </c>
      <c r="B29" s="158" t="s">
        <v>88</v>
      </c>
      <c r="C29" s="108" t="s">
        <v>90</v>
      </c>
      <c r="D29" s="161">
        <v>0.13</v>
      </c>
      <c r="E29" s="108" t="s">
        <v>71</v>
      </c>
      <c r="F29" s="162">
        <v>1</v>
      </c>
      <c r="G29" s="107"/>
      <c r="H29" s="107">
        <v>1</v>
      </c>
      <c r="I29" s="147">
        <f>IF(H29="",D29*F29,D29*F29*H29)</f>
        <v>0.13</v>
      </c>
      <c r="J29" s="75"/>
      <c r="K29" s="75"/>
      <c r="L29" s="75"/>
      <c r="M29" s="75"/>
      <c r="N29" s="75"/>
      <c r="O29" s="96"/>
    </row>
    <row r="30" spans="1:15" x14ac:dyDescent="0.3">
      <c r="A30" s="107">
        <v>60</v>
      </c>
      <c r="B30" s="99" t="s">
        <v>89</v>
      </c>
      <c r="C30" s="108" t="s">
        <v>87</v>
      </c>
      <c r="D30" s="159">
        <v>0.02</v>
      </c>
      <c r="E30" s="107" t="s">
        <v>80</v>
      </c>
      <c r="F30" s="107">
        <v>15.07</v>
      </c>
      <c r="G30" s="107"/>
      <c r="H30" s="107">
        <v>1</v>
      </c>
      <c r="I30" s="147">
        <f>IF(H30="",D30*F30,D30*F30*H30)</f>
        <v>0.3014</v>
      </c>
      <c r="J30" s="75"/>
      <c r="K30" s="75"/>
      <c r="L30" s="75"/>
      <c r="M30" s="75"/>
      <c r="N30" s="75"/>
      <c r="O30" s="109"/>
    </row>
    <row r="31" spans="1:15" x14ac:dyDescent="0.3">
      <c r="A31" s="157">
        <v>70</v>
      </c>
      <c r="B31" s="158" t="s">
        <v>88</v>
      </c>
      <c r="C31" s="108" t="s">
        <v>87</v>
      </c>
      <c r="D31" s="159">
        <v>0.13</v>
      </c>
      <c r="E31" s="107" t="s">
        <v>64</v>
      </c>
      <c r="F31" s="107">
        <v>4</v>
      </c>
      <c r="G31" s="107"/>
      <c r="H31" s="107">
        <v>1</v>
      </c>
      <c r="I31" s="147">
        <f>IF(H31="",D31*F31,D31*F31*H31)</f>
        <v>0.52</v>
      </c>
      <c r="J31" s="70"/>
      <c r="K31" s="70"/>
      <c r="L31" s="70"/>
      <c r="M31" s="70"/>
      <c r="N31" s="70"/>
      <c r="O31" s="73"/>
    </row>
    <row r="32" spans="1:15" x14ac:dyDescent="0.3">
      <c r="A32" s="107">
        <v>80</v>
      </c>
      <c r="B32" s="158" t="s">
        <v>86</v>
      </c>
      <c r="C32" s="108" t="s">
        <v>85</v>
      </c>
      <c r="D32" s="161">
        <v>0.06</v>
      </c>
      <c r="E32" s="108" t="s">
        <v>71</v>
      </c>
      <c r="F32" s="162">
        <v>1</v>
      </c>
      <c r="G32" s="107"/>
      <c r="H32" s="107">
        <v>1</v>
      </c>
      <c r="I32" s="147">
        <f>IF(H32="",D32*F32,D32*F32*H32)</f>
        <v>0.06</v>
      </c>
      <c r="J32" s="70"/>
      <c r="K32" s="70"/>
      <c r="L32" s="70"/>
      <c r="M32" s="70"/>
      <c r="N32" s="70"/>
      <c r="O32" s="73"/>
    </row>
    <row r="33" spans="1:15" x14ac:dyDescent="0.3">
      <c r="A33" s="93"/>
      <c r="B33" s="94"/>
      <c r="C33" s="94"/>
      <c r="D33" s="94"/>
      <c r="E33" s="94"/>
      <c r="F33" s="94"/>
      <c r="G33" s="94"/>
      <c r="H33" s="100" t="s">
        <v>61</v>
      </c>
      <c r="I33" s="95">
        <f>SUM(I24:I32)</f>
        <v>1.6314000000000002</v>
      </c>
      <c r="K33" s="70"/>
      <c r="L33" s="70"/>
      <c r="M33" s="70"/>
      <c r="N33" s="70"/>
      <c r="O33" s="73"/>
    </row>
    <row r="34" spans="1:15" x14ac:dyDescent="0.3">
      <c r="A34" s="79"/>
      <c r="B34" s="70"/>
      <c r="C34" s="70"/>
      <c r="D34" s="70"/>
      <c r="E34" s="70"/>
      <c r="F34" s="70"/>
      <c r="G34" s="70"/>
      <c r="H34" s="70"/>
      <c r="I34" s="70"/>
      <c r="K34" s="70"/>
      <c r="L34" s="70"/>
      <c r="M34" s="70"/>
      <c r="N34" s="70"/>
      <c r="O34" s="73"/>
    </row>
    <row r="35" spans="1:15" x14ac:dyDescent="0.3">
      <c r="A35" s="68" t="s">
        <v>49</v>
      </c>
      <c r="B35" s="68" t="s">
        <v>78</v>
      </c>
      <c r="C35" s="68" t="s">
        <v>51</v>
      </c>
      <c r="D35" s="68" t="s">
        <v>52</v>
      </c>
      <c r="E35" s="68" t="s">
        <v>53</v>
      </c>
      <c r="F35" s="68" t="s">
        <v>54</v>
      </c>
      <c r="G35" s="68" t="s">
        <v>55</v>
      </c>
      <c r="H35" s="68" t="s">
        <v>56</v>
      </c>
      <c r="I35" s="68" t="s">
        <v>8</v>
      </c>
      <c r="J35" s="68" t="s">
        <v>61</v>
      </c>
      <c r="K35" s="70"/>
      <c r="L35" s="70"/>
      <c r="M35" s="70"/>
      <c r="N35" s="70"/>
      <c r="O35" s="73"/>
    </row>
    <row r="36" spans="1:15" x14ac:dyDescent="0.3">
      <c r="A36" s="164">
        <v>10</v>
      </c>
      <c r="B36" s="166" t="s">
        <v>84</v>
      </c>
      <c r="C36" s="164" t="s">
        <v>83</v>
      </c>
      <c r="D36" s="165">
        <f>1.25/105154*E36^2*G36*SQRT(G36)+(0.005*EXP(0.319*E36))</f>
        <v>1.0655214295627982</v>
      </c>
      <c r="E36" s="164">
        <v>12</v>
      </c>
      <c r="F36" s="167" t="s">
        <v>82</v>
      </c>
      <c r="G36" s="164">
        <v>62</v>
      </c>
      <c r="H36" s="163" t="s">
        <v>82</v>
      </c>
      <c r="I36" s="168">
        <v>4</v>
      </c>
      <c r="J36" s="165">
        <f>D36*I36</f>
        <v>4.2620857182511926</v>
      </c>
      <c r="K36" s="70"/>
      <c r="L36" s="70"/>
      <c r="M36" s="70"/>
      <c r="N36" s="70"/>
      <c r="O36" s="73"/>
    </row>
    <row r="37" spans="1:15" x14ac:dyDescent="0.3">
      <c r="A37" s="93"/>
      <c r="B37" s="94"/>
      <c r="C37" s="94"/>
      <c r="D37" s="94"/>
      <c r="E37" s="94"/>
      <c r="F37" s="94"/>
      <c r="G37" s="94"/>
      <c r="H37" s="94"/>
      <c r="I37" s="100" t="s">
        <v>61</v>
      </c>
      <c r="J37" s="95">
        <f>SUM(J36:J36)</f>
        <v>4.2620857182511926</v>
      </c>
      <c r="K37" s="70"/>
      <c r="L37" s="70"/>
      <c r="M37" s="70"/>
      <c r="N37" s="70"/>
      <c r="O37" s="73"/>
    </row>
    <row r="38" spans="1:15" x14ac:dyDescent="0.3">
      <c r="A38" s="79"/>
      <c r="B38" s="70"/>
      <c r="C38" s="70"/>
      <c r="D38" s="70"/>
      <c r="E38" s="70"/>
      <c r="F38" s="70"/>
      <c r="G38" s="70"/>
      <c r="H38" s="70"/>
      <c r="I38" s="70"/>
      <c r="J38" s="94"/>
      <c r="K38" s="70"/>
      <c r="L38" s="70"/>
      <c r="M38" s="70"/>
      <c r="N38" s="70"/>
      <c r="O38" s="73"/>
    </row>
    <row r="39" spans="1:15" ht="15" thickBot="1" x14ac:dyDescent="0.35">
      <c r="A39" s="103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5"/>
    </row>
    <row r="40" spans="1:15" x14ac:dyDescent="0.3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</row>
  </sheetData>
  <hyperlinks>
    <hyperlink ref="B10" location="'WT 02001'!A1" display="'WT 02001'!A1"/>
    <hyperlink ref="B11" location="'WT 02002'!A1" display="Front Bearing Spacer"/>
    <hyperlink ref="B13" location="'WT 02004'!A1" display="Speed Sensor Spacer"/>
    <hyperlink ref="B14" location="'WT 02005'!A1" display="Speed Sensor Disc"/>
    <hyperlink ref="B12" location="'WT 02003'!A1" display="Front Wheel Spacer"/>
    <hyperlink ref="E2" location="WT_A0200_BOM" display="Back to BOM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27"/>
  <sheetViews>
    <sheetView zoomScale="70" zoomScaleNormal="70" workbookViewId="0"/>
  </sheetViews>
  <sheetFormatPr baseColWidth="10" defaultColWidth="9.109375" defaultRowHeight="14.4" x14ac:dyDescent="0.3"/>
  <cols>
    <col min="1" max="1" width="9.109375" style="67"/>
    <col min="2" max="2" width="17.6640625" style="67" customWidth="1"/>
    <col min="3" max="3" width="18" style="67" customWidth="1"/>
    <col min="4" max="4" width="9.109375" style="67"/>
    <col min="5" max="5" width="9.109375" style="67" customWidth="1"/>
    <col min="6" max="6" width="9.109375" style="67"/>
    <col min="7" max="7" width="28.109375" style="67" customWidth="1"/>
    <col min="8" max="8" width="9.109375" style="67"/>
    <col min="9" max="9" width="16.5546875" style="67" customWidth="1"/>
    <col min="10" max="13" width="9.109375" style="67"/>
    <col min="14" max="14" width="12.5546875" style="67" bestFit="1" customWidth="1"/>
    <col min="15" max="15" width="3.109375" style="67" customWidth="1"/>
    <col min="16" max="16384" width="9.109375" style="67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141" t="s">
        <v>24</v>
      </c>
      <c r="B2" s="69" t="s">
        <v>23</v>
      </c>
      <c r="C2" s="70"/>
      <c r="D2" s="70"/>
      <c r="E2" s="70"/>
      <c r="F2" s="70"/>
      <c r="G2" s="70" t="s">
        <v>33</v>
      </c>
      <c r="H2" s="70"/>
      <c r="I2" s="70"/>
      <c r="J2" s="145" t="s">
        <v>18</v>
      </c>
      <c r="K2" s="71">
        <v>81</v>
      </c>
      <c r="L2" s="70"/>
      <c r="M2" s="141" t="s">
        <v>107</v>
      </c>
      <c r="N2" s="78">
        <f>WT_0200_001_m+WT_0200_001_p</f>
        <v>64.158517485600001</v>
      </c>
      <c r="O2" s="73"/>
    </row>
    <row r="3" spans="1:15" x14ac:dyDescent="0.3">
      <c r="A3" s="141" t="s">
        <v>35</v>
      </c>
      <c r="B3" s="69" t="str">
        <f>'WT A0200'!B3</f>
        <v>Wheels &amp; Tires</v>
      </c>
      <c r="C3" s="70"/>
      <c r="D3" s="141" t="s">
        <v>40</v>
      </c>
      <c r="E3" s="117" t="s">
        <v>129</v>
      </c>
      <c r="F3" s="70"/>
      <c r="G3" s="70"/>
      <c r="H3" s="70"/>
      <c r="I3" s="70"/>
      <c r="J3" s="70"/>
      <c r="K3" s="70"/>
      <c r="L3" s="70"/>
      <c r="M3" s="141" t="s">
        <v>37</v>
      </c>
      <c r="N3" s="74">
        <v>1</v>
      </c>
      <c r="O3" s="73"/>
    </row>
    <row r="4" spans="1:15" x14ac:dyDescent="0.3">
      <c r="A4" s="141" t="s">
        <v>38</v>
      </c>
      <c r="B4" s="144" t="str">
        <f>'WT A0200'!B4</f>
        <v>Front Hubs</v>
      </c>
      <c r="C4" s="70"/>
      <c r="D4" s="141" t="s">
        <v>43</v>
      </c>
      <c r="E4" s="70"/>
      <c r="F4" s="70"/>
      <c r="G4" s="70"/>
      <c r="H4" s="70"/>
      <c r="I4" s="70"/>
      <c r="J4" s="142" t="s">
        <v>40</v>
      </c>
      <c r="K4" s="70"/>
      <c r="L4" s="70"/>
      <c r="M4" s="70"/>
      <c r="N4" s="70"/>
      <c r="O4" s="73"/>
    </row>
    <row r="5" spans="1:15" x14ac:dyDescent="0.3">
      <c r="A5" s="141" t="s">
        <v>108</v>
      </c>
      <c r="B5" s="77" t="s">
        <v>128</v>
      </c>
      <c r="C5" s="70"/>
      <c r="D5" s="141" t="s">
        <v>46</v>
      </c>
      <c r="E5" s="70"/>
      <c r="F5" s="70"/>
      <c r="G5" s="70"/>
      <c r="H5" s="70"/>
      <c r="I5" s="70"/>
      <c r="J5" s="142" t="s">
        <v>43</v>
      </c>
      <c r="K5" s="70"/>
      <c r="L5" s="70"/>
      <c r="M5" s="141" t="s">
        <v>44</v>
      </c>
      <c r="N5" s="78">
        <f>N3*N2</f>
        <v>64.158517485600001</v>
      </c>
      <c r="O5" s="73"/>
    </row>
    <row r="6" spans="1:15" x14ac:dyDescent="0.3">
      <c r="A6" s="141" t="s">
        <v>41</v>
      </c>
      <c r="B6" s="143" t="s">
        <v>26</v>
      </c>
      <c r="C6" s="70"/>
      <c r="D6" s="70"/>
      <c r="E6" s="70"/>
      <c r="F6" s="70"/>
      <c r="G6" s="70"/>
      <c r="H6" s="70"/>
      <c r="I6" s="70"/>
      <c r="J6" s="142" t="s">
        <v>46</v>
      </c>
      <c r="K6" s="70"/>
      <c r="L6" s="70"/>
      <c r="M6" s="70"/>
      <c r="N6" s="70"/>
      <c r="O6" s="73"/>
    </row>
    <row r="7" spans="1:15" x14ac:dyDescent="0.3">
      <c r="A7" s="141" t="s">
        <v>45</v>
      </c>
      <c r="B7" s="69" t="s">
        <v>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5" x14ac:dyDescent="0.3">
      <c r="A8" s="141" t="s">
        <v>47</v>
      </c>
      <c r="B8" s="69" t="s">
        <v>127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5" x14ac:dyDescent="0.3">
      <c r="A9" s="140"/>
      <c r="B9" s="139"/>
      <c r="C9" s="139"/>
      <c r="D9" s="139"/>
      <c r="E9" s="139"/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5" x14ac:dyDescent="0.3">
      <c r="A10" s="138" t="s">
        <v>49</v>
      </c>
      <c r="B10" s="137" t="s">
        <v>50</v>
      </c>
      <c r="C10" s="137" t="s">
        <v>51</v>
      </c>
      <c r="D10" s="137" t="s">
        <v>52</v>
      </c>
      <c r="E10" s="137" t="s">
        <v>53</v>
      </c>
      <c r="F10" s="124" t="s">
        <v>54</v>
      </c>
      <c r="G10" s="124" t="s">
        <v>55</v>
      </c>
      <c r="H10" s="124" t="s">
        <v>56</v>
      </c>
      <c r="I10" s="124" t="s">
        <v>57</v>
      </c>
      <c r="J10" s="124" t="s">
        <v>58</v>
      </c>
      <c r="K10" s="124" t="s">
        <v>59</v>
      </c>
      <c r="L10" s="124" t="s">
        <v>60</v>
      </c>
      <c r="M10" s="124" t="s">
        <v>8</v>
      </c>
      <c r="N10" s="124" t="s">
        <v>61</v>
      </c>
      <c r="O10" s="73"/>
    </row>
    <row r="11" spans="1:15" s="89" customFormat="1" ht="28.8" x14ac:dyDescent="0.3">
      <c r="A11" s="170">
        <v>10</v>
      </c>
      <c r="B11" s="171" t="s">
        <v>126</v>
      </c>
      <c r="C11" s="172"/>
      <c r="D11" s="123">
        <v>4.2</v>
      </c>
      <c r="E11" s="173">
        <f>J11*K11*L11</f>
        <v>3.2740660680000002</v>
      </c>
      <c r="F11" s="172" t="s">
        <v>125</v>
      </c>
      <c r="G11" s="172"/>
      <c r="H11" s="174"/>
      <c r="I11" s="175" t="s">
        <v>124</v>
      </c>
      <c r="J11" s="176">
        <f>(65*10^-3)^2*3.14</f>
        <v>1.3266500000000002E-2</v>
      </c>
      <c r="K11" s="177">
        <v>9.0999999999999998E-2</v>
      </c>
      <c r="L11" s="178">
        <v>2712</v>
      </c>
      <c r="M11" s="179">
        <v>1</v>
      </c>
      <c r="N11" s="123">
        <f>D11*E11</f>
        <v>13.751077485600002</v>
      </c>
      <c r="O11" s="88"/>
    </row>
    <row r="12" spans="1:15" x14ac:dyDescent="0.3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126" t="s">
        <v>61</v>
      </c>
      <c r="N12" s="119">
        <f>N11*M11</f>
        <v>13.751077485600002</v>
      </c>
      <c r="O12" s="73"/>
    </row>
    <row r="13" spans="1:15" x14ac:dyDescent="0.3">
      <c r="A13" s="7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3"/>
    </row>
    <row r="14" spans="1:15" x14ac:dyDescent="0.3">
      <c r="A14" s="125" t="s">
        <v>49</v>
      </c>
      <c r="B14" s="124" t="s">
        <v>70</v>
      </c>
      <c r="C14" s="124" t="s">
        <v>51</v>
      </c>
      <c r="D14" s="124" t="s">
        <v>52</v>
      </c>
      <c r="E14" s="124" t="s">
        <v>71</v>
      </c>
      <c r="F14" s="124" t="s">
        <v>8</v>
      </c>
      <c r="G14" s="124" t="s">
        <v>72</v>
      </c>
      <c r="H14" s="124" t="s">
        <v>73</v>
      </c>
      <c r="I14" s="124" t="s">
        <v>61</v>
      </c>
      <c r="J14" s="94"/>
      <c r="K14" s="94"/>
      <c r="L14" s="94"/>
      <c r="M14" s="94"/>
      <c r="N14" s="94"/>
      <c r="O14" s="73"/>
    </row>
    <row r="15" spans="1:15" s="97" customFormat="1" ht="28.8" x14ac:dyDescent="0.3">
      <c r="A15" s="107">
        <v>10</v>
      </c>
      <c r="B15" s="158" t="s">
        <v>120</v>
      </c>
      <c r="C15" s="158" t="s">
        <v>123</v>
      </c>
      <c r="D15" s="152">
        <v>1.3</v>
      </c>
      <c r="E15" s="107" t="s">
        <v>71</v>
      </c>
      <c r="F15" s="107">
        <v>1</v>
      </c>
      <c r="G15" s="107"/>
      <c r="H15" s="107">
        <v>1</v>
      </c>
      <c r="I15" s="123">
        <f>IF(H15="",D15*F15,D15*F15*H15)</f>
        <v>1.3</v>
      </c>
      <c r="J15" s="122"/>
      <c r="K15" s="122"/>
      <c r="L15" s="122"/>
      <c r="M15" s="122"/>
      <c r="N15" s="122"/>
      <c r="O15" s="96"/>
    </row>
    <row r="16" spans="1:15" x14ac:dyDescent="0.3">
      <c r="A16" s="107">
        <v>20</v>
      </c>
      <c r="B16" s="158" t="s">
        <v>118</v>
      </c>
      <c r="C16" s="158" t="s">
        <v>121</v>
      </c>
      <c r="D16" s="152">
        <v>0.04</v>
      </c>
      <c r="E16" s="107" t="s">
        <v>116</v>
      </c>
      <c r="F16" s="107">
        <f>13.2+898.7+18.7</f>
        <v>930.60000000000014</v>
      </c>
      <c r="G16" s="107" t="s">
        <v>111</v>
      </c>
      <c r="H16" s="107">
        <v>1</v>
      </c>
      <c r="I16" s="123">
        <f>IF(H16="",D16*F16,D16*F16*H16)</f>
        <v>37.224000000000004</v>
      </c>
      <c r="J16" s="70"/>
      <c r="K16" s="70"/>
      <c r="L16" s="70"/>
      <c r="M16" s="70"/>
      <c r="N16" s="70"/>
      <c r="O16" s="73"/>
    </row>
    <row r="17" spans="1:15" s="110" customFormat="1" ht="28.8" x14ac:dyDescent="0.3">
      <c r="A17" s="107">
        <v>30</v>
      </c>
      <c r="B17" s="158" t="s">
        <v>119</v>
      </c>
      <c r="C17" s="158" t="s">
        <v>122</v>
      </c>
      <c r="D17" s="152">
        <v>0.65</v>
      </c>
      <c r="E17" s="107" t="s">
        <v>71</v>
      </c>
      <c r="F17" s="107">
        <v>1</v>
      </c>
      <c r="G17" s="107"/>
      <c r="H17" s="107">
        <v>1</v>
      </c>
      <c r="I17" s="123">
        <f>IF(H17="",D17*F17,D17*F17*H17)</f>
        <v>0.65</v>
      </c>
      <c r="J17" s="75"/>
      <c r="K17" s="75"/>
      <c r="L17" s="75"/>
      <c r="M17" s="75"/>
      <c r="N17" s="75"/>
      <c r="O17" s="109"/>
    </row>
    <row r="18" spans="1:15" s="110" customFormat="1" x14ac:dyDescent="0.3">
      <c r="A18" s="107">
        <v>40</v>
      </c>
      <c r="B18" s="158" t="s">
        <v>118</v>
      </c>
      <c r="C18" s="158" t="s">
        <v>121</v>
      </c>
      <c r="D18" s="152">
        <v>0.04</v>
      </c>
      <c r="E18" s="107" t="s">
        <v>116</v>
      </c>
      <c r="F18" s="107">
        <f>13.2+53.1-2.8</f>
        <v>63.5</v>
      </c>
      <c r="G18" s="107" t="s">
        <v>111</v>
      </c>
      <c r="H18" s="107">
        <v>1</v>
      </c>
      <c r="I18" s="123">
        <f>IF(H18="",D18*F18,D18*F18*H18)</f>
        <v>2.54</v>
      </c>
      <c r="J18" s="75"/>
      <c r="K18" s="75"/>
      <c r="L18" s="75"/>
      <c r="M18" s="75"/>
      <c r="N18" s="75"/>
      <c r="O18" s="109"/>
    </row>
    <row r="19" spans="1:15" s="110" customFormat="1" ht="28.8" x14ac:dyDescent="0.3">
      <c r="A19" s="107">
        <v>50</v>
      </c>
      <c r="B19" s="158" t="s">
        <v>120</v>
      </c>
      <c r="C19" s="158"/>
      <c r="D19" s="152">
        <v>1.3</v>
      </c>
      <c r="E19" s="107" t="s">
        <v>71</v>
      </c>
      <c r="F19" s="107">
        <v>1</v>
      </c>
      <c r="G19" s="107"/>
      <c r="H19" s="107">
        <v>1</v>
      </c>
      <c r="I19" s="123">
        <f>IF(H19="",D19*F19,D19*F19*H19)</f>
        <v>1.3</v>
      </c>
      <c r="J19" s="75"/>
      <c r="K19" s="75"/>
      <c r="L19" s="75"/>
      <c r="M19" s="75"/>
      <c r="N19" s="75"/>
      <c r="O19" s="109"/>
    </row>
    <row r="20" spans="1:15" s="110" customFormat="1" x14ac:dyDescent="0.3">
      <c r="A20" s="107">
        <v>60</v>
      </c>
      <c r="B20" s="158" t="s">
        <v>118</v>
      </c>
      <c r="C20" s="158" t="s">
        <v>117</v>
      </c>
      <c r="D20" s="152">
        <v>0.04</v>
      </c>
      <c r="E20" s="107" t="s">
        <v>116</v>
      </c>
      <c r="F20" s="107">
        <v>149</v>
      </c>
      <c r="G20" s="107" t="s">
        <v>111</v>
      </c>
      <c r="H20" s="107">
        <v>1</v>
      </c>
      <c r="I20" s="123">
        <f>IF(H20="",D20*F20,D20*F20*H20)</f>
        <v>5.96</v>
      </c>
      <c r="J20" s="75"/>
      <c r="K20" s="75"/>
      <c r="L20" s="75"/>
      <c r="M20" s="75"/>
      <c r="N20" s="75"/>
      <c r="O20" s="109"/>
    </row>
    <row r="21" spans="1:15" s="110" customFormat="1" ht="28.8" x14ac:dyDescent="0.3">
      <c r="A21" s="107">
        <v>70</v>
      </c>
      <c r="B21" s="158" t="s">
        <v>119</v>
      </c>
      <c r="C21" s="158"/>
      <c r="D21" s="152">
        <v>0.65</v>
      </c>
      <c r="E21" s="107" t="s">
        <v>71</v>
      </c>
      <c r="F21" s="107">
        <v>1</v>
      </c>
      <c r="G21" s="107"/>
      <c r="H21" s="107">
        <v>1</v>
      </c>
      <c r="I21" s="123">
        <f>IF(H21="",D21*F21,D21*F21*H21)</f>
        <v>0.65</v>
      </c>
      <c r="J21" s="75"/>
      <c r="K21" s="75"/>
      <c r="L21" s="75"/>
      <c r="M21" s="75"/>
      <c r="N21" s="75"/>
      <c r="O21" s="109"/>
    </row>
    <row r="22" spans="1:15" x14ac:dyDescent="0.3">
      <c r="A22" s="107">
        <v>80</v>
      </c>
      <c r="B22" s="158" t="s">
        <v>118</v>
      </c>
      <c r="C22" s="158" t="s">
        <v>117</v>
      </c>
      <c r="D22" s="152">
        <v>0.04</v>
      </c>
      <c r="E22" s="107" t="s">
        <v>116</v>
      </c>
      <c r="F22" s="107">
        <f>0.48*0.7</f>
        <v>0.33599999999999997</v>
      </c>
      <c r="G22" s="107" t="s">
        <v>111</v>
      </c>
      <c r="H22" s="107">
        <v>1</v>
      </c>
      <c r="I22" s="123">
        <f>IF(H22="",D22*F22,D22*F22*H22)</f>
        <v>1.3439999999999999E-2</v>
      </c>
      <c r="J22" s="70"/>
      <c r="K22" s="70"/>
      <c r="L22" s="70"/>
      <c r="M22" s="70"/>
      <c r="N22" s="70"/>
      <c r="O22" s="73"/>
    </row>
    <row r="23" spans="1:15" ht="28.8" x14ac:dyDescent="0.3">
      <c r="A23" s="107">
        <v>90</v>
      </c>
      <c r="B23" s="99" t="s">
        <v>115</v>
      </c>
      <c r="C23" s="158" t="s">
        <v>114</v>
      </c>
      <c r="D23" s="152">
        <v>0.1</v>
      </c>
      <c r="E23" s="107" t="s">
        <v>80</v>
      </c>
      <c r="F23" s="107">
        <v>6</v>
      </c>
      <c r="G23" s="107" t="s">
        <v>111</v>
      </c>
      <c r="H23" s="107">
        <v>1</v>
      </c>
      <c r="I23" s="123">
        <f>IF(H23="",D23*F23,D23*F23*H23)</f>
        <v>0.60000000000000009</v>
      </c>
      <c r="J23" s="70"/>
      <c r="K23" s="70"/>
      <c r="L23" s="70"/>
      <c r="M23" s="70"/>
      <c r="N23" s="70"/>
      <c r="O23" s="73"/>
    </row>
    <row r="24" spans="1:15" ht="28.8" x14ac:dyDescent="0.3">
      <c r="A24" s="107">
        <v>100</v>
      </c>
      <c r="B24" s="99" t="s">
        <v>113</v>
      </c>
      <c r="C24" s="158" t="s">
        <v>112</v>
      </c>
      <c r="D24" s="152">
        <v>0.1</v>
      </c>
      <c r="E24" s="107" t="s">
        <v>80</v>
      </c>
      <c r="F24" s="107">
        <v>1.7</v>
      </c>
      <c r="G24" s="107" t="s">
        <v>111</v>
      </c>
      <c r="H24" s="107">
        <v>1</v>
      </c>
      <c r="I24" s="123">
        <f>IF(H24="",D24*F24,D24*F24*H24)</f>
        <v>0.17</v>
      </c>
      <c r="J24" s="70"/>
      <c r="K24" s="70"/>
      <c r="L24" s="70"/>
      <c r="M24" s="70"/>
      <c r="N24" s="70"/>
      <c r="O24" s="73"/>
    </row>
    <row r="25" spans="1:15" x14ac:dyDescent="0.3">
      <c r="A25" s="93"/>
      <c r="B25" s="94"/>
      <c r="C25" s="94"/>
      <c r="D25" s="94"/>
      <c r="E25" s="94"/>
      <c r="F25" s="94"/>
      <c r="G25" s="94"/>
      <c r="H25" s="120" t="s">
        <v>61</v>
      </c>
      <c r="I25" s="119">
        <f>SUM(I15:I24)</f>
        <v>50.407440000000001</v>
      </c>
      <c r="J25" s="94"/>
      <c r="K25" s="94"/>
      <c r="L25" s="94"/>
      <c r="M25" s="94"/>
      <c r="N25" s="94"/>
      <c r="O25" s="73"/>
    </row>
    <row r="26" spans="1:15" x14ac:dyDescent="0.3">
      <c r="A26" s="79"/>
      <c r="B26" s="70"/>
      <c r="C26" s="70"/>
      <c r="D26" s="70"/>
      <c r="E26" s="70"/>
      <c r="F26" s="70"/>
      <c r="G26" s="70"/>
      <c r="H26" s="70"/>
      <c r="I26" s="75"/>
      <c r="J26" s="70"/>
      <c r="K26" s="70"/>
      <c r="L26" s="70"/>
      <c r="M26" s="70"/>
      <c r="N26" s="70"/>
      <c r="O26" s="73"/>
    </row>
    <row r="27" spans="1:15" ht="15" thickBot="1" x14ac:dyDescent="0.35">
      <c r="A27" s="103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5"/>
    </row>
  </sheetData>
  <hyperlinks>
    <hyperlink ref="E3" location="'WT 02001 Drawing'!A1" display="Drawing"/>
    <hyperlink ref="B4" location="'WT A0200'!A1" display="'WT A02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7" max="16383" man="1"/>
    <brk id="6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4" style="67" customWidth="1"/>
    <col min="2" max="16384" width="11.5546875" style="67"/>
  </cols>
  <sheetData>
    <row r="1" spans="1:2" x14ac:dyDescent="0.3">
      <c r="A1" s="144" t="s">
        <v>130</v>
      </c>
      <c r="B1" s="144" t="str">
        <f>WT_0200_001</f>
        <v>WT 02001</v>
      </c>
    </row>
  </sheetData>
  <hyperlinks>
    <hyperlink ref="A1" location="'WT 02001'!A1" display="Drawing part :"/>
    <hyperlink ref="B1" location="'WT 02001'!A1" display="'WT 02001'!A1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21"/>
  <sheetViews>
    <sheetView zoomScale="90" zoomScaleNormal="90" workbookViewId="0">
      <selection activeCell="J18" sqref="J18"/>
    </sheetView>
  </sheetViews>
  <sheetFormatPr baseColWidth="10" defaultColWidth="9.109375" defaultRowHeight="14.4" x14ac:dyDescent="0.3"/>
  <cols>
    <col min="1" max="1" width="9.109375" style="67"/>
    <col min="2" max="2" width="26.5546875" style="67" customWidth="1"/>
    <col min="3" max="3" width="23" style="67" bestFit="1" customWidth="1"/>
    <col min="4" max="4" width="9.109375" style="67"/>
    <col min="5" max="5" width="8.109375" style="67" bestFit="1" customWidth="1"/>
    <col min="6" max="6" width="8.77734375" style="67" bestFit="1" customWidth="1"/>
    <col min="7" max="7" width="19.6640625" style="67" bestFit="1" customWidth="1"/>
    <col min="8" max="13" width="9.109375" style="67"/>
    <col min="14" max="14" width="12.5546875" style="67" bestFit="1" customWidth="1"/>
    <col min="15" max="15" width="3.109375" style="67" customWidth="1"/>
    <col min="16" max="16384" width="9.109375" style="67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141" t="s">
        <v>24</v>
      </c>
      <c r="B2" s="69" t="s">
        <v>23</v>
      </c>
      <c r="C2" s="70"/>
      <c r="D2" s="70"/>
      <c r="E2" s="70"/>
      <c r="F2" s="70"/>
      <c r="G2" s="70" t="s">
        <v>33</v>
      </c>
      <c r="H2" s="70"/>
      <c r="I2" s="70"/>
      <c r="J2" s="145" t="s">
        <v>18</v>
      </c>
      <c r="K2" s="71">
        <v>81</v>
      </c>
      <c r="L2" s="70"/>
      <c r="M2" s="141" t="s">
        <v>107</v>
      </c>
      <c r="N2" s="78">
        <f>WT_0200_005_m+WT_0200_005_p</f>
        <v>2.6214313574000001</v>
      </c>
      <c r="O2" s="73"/>
    </row>
    <row r="3" spans="1:15" x14ac:dyDescent="0.3">
      <c r="A3" s="141" t="s">
        <v>35</v>
      </c>
      <c r="B3" s="69" t="str">
        <f>'WT A0200'!B3</f>
        <v>Wheels &amp; Tires</v>
      </c>
      <c r="C3" s="70"/>
      <c r="D3" s="141" t="s">
        <v>40</v>
      </c>
      <c r="E3" s="117" t="s">
        <v>129</v>
      </c>
      <c r="F3" s="70"/>
      <c r="G3" s="70"/>
      <c r="H3" s="70"/>
      <c r="I3" s="70"/>
      <c r="J3" s="70"/>
      <c r="K3" s="70"/>
      <c r="L3" s="70"/>
      <c r="M3" s="141" t="s">
        <v>37</v>
      </c>
      <c r="N3" s="74">
        <v>1</v>
      </c>
      <c r="O3" s="73"/>
    </row>
    <row r="4" spans="1:15" x14ac:dyDescent="0.3">
      <c r="A4" s="141" t="s">
        <v>38</v>
      </c>
      <c r="B4" s="144" t="str">
        <f>'WT A0200'!B4</f>
        <v>Front Hubs</v>
      </c>
      <c r="C4" s="70"/>
      <c r="D4" s="141" t="s">
        <v>43</v>
      </c>
      <c r="E4" s="70"/>
      <c r="F4" s="70"/>
      <c r="G4" s="70"/>
      <c r="H4" s="70"/>
      <c r="I4" s="70"/>
      <c r="J4" s="142" t="s">
        <v>40</v>
      </c>
      <c r="K4" s="70"/>
      <c r="L4" s="70"/>
      <c r="M4" s="70"/>
      <c r="N4" s="70"/>
      <c r="O4" s="73"/>
    </row>
    <row r="5" spans="1:15" x14ac:dyDescent="0.3">
      <c r="A5" s="141" t="s">
        <v>108</v>
      </c>
      <c r="B5" s="77" t="s">
        <v>133</v>
      </c>
      <c r="C5" s="70"/>
      <c r="D5" s="141" t="s">
        <v>46</v>
      </c>
      <c r="E5" s="70"/>
      <c r="F5" s="70"/>
      <c r="G5" s="70"/>
      <c r="H5" s="70"/>
      <c r="I5" s="70"/>
      <c r="J5" s="142" t="s">
        <v>43</v>
      </c>
      <c r="K5" s="70"/>
      <c r="L5" s="70"/>
      <c r="M5" s="141" t="s">
        <v>44</v>
      </c>
      <c r="N5" s="78">
        <f>N3*N2</f>
        <v>2.6214313574000001</v>
      </c>
      <c r="O5" s="73"/>
    </row>
    <row r="6" spans="1:15" x14ac:dyDescent="0.3">
      <c r="A6" s="141" t="s">
        <v>41</v>
      </c>
      <c r="B6" s="143" t="s">
        <v>27</v>
      </c>
      <c r="C6" s="70"/>
      <c r="D6" s="70"/>
      <c r="E6" s="70"/>
      <c r="F6" s="70"/>
      <c r="G6" s="70"/>
      <c r="H6" s="70"/>
      <c r="I6" s="70"/>
      <c r="J6" s="142" t="s">
        <v>46</v>
      </c>
      <c r="K6" s="70"/>
      <c r="L6" s="70"/>
      <c r="M6" s="70"/>
      <c r="N6" s="70"/>
      <c r="O6" s="73"/>
    </row>
    <row r="7" spans="1:15" x14ac:dyDescent="0.3">
      <c r="A7" s="141" t="s">
        <v>45</v>
      </c>
      <c r="B7" s="69" t="s">
        <v>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5" x14ac:dyDescent="0.3">
      <c r="A8" s="141" t="s">
        <v>47</v>
      </c>
      <c r="B8" s="69" t="s">
        <v>132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5" x14ac:dyDescent="0.3">
      <c r="A9" s="140"/>
      <c r="B9" s="139"/>
      <c r="C9" s="139"/>
      <c r="D9" s="139"/>
      <c r="E9" s="139"/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5" x14ac:dyDescent="0.3">
      <c r="A10" s="138" t="s">
        <v>49</v>
      </c>
      <c r="B10" s="137" t="s">
        <v>50</v>
      </c>
      <c r="C10" s="137" t="s">
        <v>51</v>
      </c>
      <c r="D10" s="137" t="s">
        <v>52</v>
      </c>
      <c r="E10" s="137" t="s">
        <v>53</v>
      </c>
      <c r="F10" s="124" t="s">
        <v>54</v>
      </c>
      <c r="G10" s="124" t="s">
        <v>55</v>
      </c>
      <c r="H10" s="124" t="s">
        <v>56</v>
      </c>
      <c r="I10" s="124" t="s">
        <v>57</v>
      </c>
      <c r="J10" s="124" t="s">
        <v>58</v>
      </c>
      <c r="K10" s="124" t="s">
        <v>59</v>
      </c>
      <c r="L10" s="124" t="s">
        <v>60</v>
      </c>
      <c r="M10" s="124" t="s">
        <v>8</v>
      </c>
      <c r="N10" s="124" t="s">
        <v>61</v>
      </c>
      <c r="O10" s="73"/>
    </row>
    <row r="11" spans="1:15" s="89" customFormat="1" x14ac:dyDescent="0.3">
      <c r="A11" s="136">
        <v>10</v>
      </c>
      <c r="B11" s="135" t="s">
        <v>126</v>
      </c>
      <c r="C11" s="133"/>
      <c r="D11" s="121">
        <v>4.2</v>
      </c>
      <c r="E11" s="134">
        <f>J11*K11*L11</f>
        <v>5.7959846999999995E-2</v>
      </c>
      <c r="F11" s="133" t="s">
        <v>125</v>
      </c>
      <c r="G11" s="133"/>
      <c r="H11" s="132"/>
      <c r="I11" s="131" t="s">
        <v>131</v>
      </c>
      <c r="J11" s="130">
        <f>(55/2*10^-3)^2*3.14</f>
        <v>2.374625E-3</v>
      </c>
      <c r="K11" s="129">
        <v>8.9999999999999993E-3</v>
      </c>
      <c r="L11" s="128">
        <v>2712</v>
      </c>
      <c r="M11" s="127">
        <v>1</v>
      </c>
      <c r="N11" s="121">
        <f>D11*E11</f>
        <v>0.24343135739999999</v>
      </c>
      <c r="O11" s="88"/>
    </row>
    <row r="12" spans="1:15" x14ac:dyDescent="0.3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126" t="s">
        <v>61</v>
      </c>
      <c r="N12" s="119">
        <f>N11*M11</f>
        <v>0.24343135739999999</v>
      </c>
      <c r="O12" s="73"/>
    </row>
    <row r="13" spans="1:15" x14ac:dyDescent="0.3">
      <c r="A13" s="7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3"/>
    </row>
    <row r="14" spans="1:15" x14ac:dyDescent="0.3">
      <c r="A14" s="125" t="s">
        <v>49</v>
      </c>
      <c r="B14" s="124" t="s">
        <v>70</v>
      </c>
      <c r="C14" s="124" t="s">
        <v>51</v>
      </c>
      <c r="D14" s="124" t="s">
        <v>52</v>
      </c>
      <c r="E14" s="124" t="s">
        <v>71</v>
      </c>
      <c r="F14" s="124" t="s">
        <v>8</v>
      </c>
      <c r="G14" s="124" t="s">
        <v>72</v>
      </c>
      <c r="H14" s="124" t="s">
        <v>73</v>
      </c>
      <c r="I14" s="124" t="s">
        <v>61</v>
      </c>
      <c r="J14" s="94"/>
      <c r="K14" s="94"/>
      <c r="L14" s="94"/>
      <c r="M14" s="94"/>
      <c r="N14" s="94"/>
      <c r="O14" s="73"/>
    </row>
    <row r="15" spans="1:15" s="97" customFormat="1" ht="28.8" x14ac:dyDescent="0.3">
      <c r="A15" s="107">
        <v>10</v>
      </c>
      <c r="B15" s="158" t="s">
        <v>120</v>
      </c>
      <c r="C15" s="158" t="s">
        <v>123</v>
      </c>
      <c r="D15" s="152">
        <v>1.3</v>
      </c>
      <c r="E15" s="107" t="s">
        <v>71</v>
      </c>
      <c r="F15" s="107">
        <v>1</v>
      </c>
      <c r="G15" s="107"/>
      <c r="H15" s="107">
        <v>1</v>
      </c>
      <c r="I15" s="123">
        <f>IF(H15="",D15*F15,D15*F15*H15)</f>
        <v>1.3</v>
      </c>
      <c r="J15" s="122"/>
      <c r="K15" s="122"/>
      <c r="L15" s="122"/>
      <c r="M15" s="122"/>
      <c r="N15" s="122"/>
      <c r="O15" s="96"/>
    </row>
    <row r="16" spans="1:15" x14ac:dyDescent="0.3">
      <c r="A16" s="107">
        <v>20</v>
      </c>
      <c r="B16" s="158" t="s">
        <v>118</v>
      </c>
      <c r="C16" s="158" t="s">
        <v>121</v>
      </c>
      <c r="D16" s="152">
        <v>0.04</v>
      </c>
      <c r="E16" s="107" t="s">
        <v>116</v>
      </c>
      <c r="F16" s="107">
        <v>9.1999999999999993</v>
      </c>
      <c r="G16" s="107" t="s">
        <v>111</v>
      </c>
      <c r="H16" s="107">
        <v>1</v>
      </c>
      <c r="I16" s="123">
        <f>IF(H16="",D16*F16,D16*F16*H16)</f>
        <v>0.36799999999999999</v>
      </c>
      <c r="J16" s="70"/>
      <c r="K16" s="70"/>
      <c r="L16" s="70"/>
      <c r="M16" s="70"/>
      <c r="N16" s="70"/>
      <c r="O16" s="73"/>
    </row>
    <row r="17" spans="1:15" s="110" customFormat="1" x14ac:dyDescent="0.3">
      <c r="A17" s="107">
        <v>30</v>
      </c>
      <c r="B17" s="158" t="s">
        <v>119</v>
      </c>
      <c r="C17" s="158" t="s">
        <v>122</v>
      </c>
      <c r="D17" s="152">
        <v>0.65</v>
      </c>
      <c r="E17" s="107" t="s">
        <v>71</v>
      </c>
      <c r="F17" s="107">
        <v>1</v>
      </c>
      <c r="G17" s="107"/>
      <c r="H17" s="107">
        <v>1</v>
      </c>
      <c r="I17" s="123">
        <f>IF(H17="",D17*F17,D17*F17*H17)</f>
        <v>0.65</v>
      </c>
      <c r="J17" s="75"/>
      <c r="K17" s="75"/>
      <c r="L17" s="75"/>
      <c r="M17" s="75"/>
      <c r="N17" s="75"/>
      <c r="O17" s="109"/>
    </row>
    <row r="18" spans="1:15" s="110" customFormat="1" x14ac:dyDescent="0.3">
      <c r="A18" s="107">
        <v>40</v>
      </c>
      <c r="B18" s="158" t="s">
        <v>118</v>
      </c>
      <c r="C18" s="158" t="s">
        <v>121</v>
      </c>
      <c r="D18" s="152">
        <v>0.04</v>
      </c>
      <c r="E18" s="107" t="s">
        <v>116</v>
      </c>
      <c r="F18" s="107">
        <v>1.5</v>
      </c>
      <c r="G18" s="107" t="s">
        <v>111</v>
      </c>
      <c r="H18" s="107">
        <v>1</v>
      </c>
      <c r="I18" s="123">
        <f>IF(H18="",D18*F18,D18*F18*H18)</f>
        <v>0.06</v>
      </c>
      <c r="J18" s="75"/>
      <c r="K18" s="75"/>
      <c r="L18" s="75"/>
      <c r="M18" s="75"/>
      <c r="N18" s="75"/>
      <c r="O18" s="109"/>
    </row>
    <row r="19" spans="1:15" x14ac:dyDescent="0.3">
      <c r="A19" s="93"/>
      <c r="B19" s="94"/>
      <c r="C19" s="94"/>
      <c r="D19" s="94"/>
      <c r="E19" s="94"/>
      <c r="F19" s="94"/>
      <c r="G19" s="94"/>
      <c r="H19" s="120" t="s">
        <v>61</v>
      </c>
      <c r="I19" s="119">
        <f>SUM(I15:I18)</f>
        <v>2.3780000000000001</v>
      </c>
      <c r="J19" s="94"/>
      <c r="K19" s="94"/>
      <c r="L19" s="94"/>
      <c r="M19" s="94"/>
      <c r="N19" s="94"/>
      <c r="O19" s="73"/>
    </row>
    <row r="20" spans="1:15" x14ac:dyDescent="0.3">
      <c r="A20" s="79"/>
      <c r="B20" s="70"/>
      <c r="C20" s="70"/>
      <c r="D20" s="70"/>
      <c r="E20" s="70"/>
      <c r="F20" s="70"/>
      <c r="G20" s="70"/>
      <c r="H20" s="70"/>
      <c r="I20" s="75"/>
      <c r="J20" s="70"/>
      <c r="K20" s="70"/>
      <c r="L20" s="70"/>
      <c r="M20" s="70"/>
      <c r="N20" s="70"/>
      <c r="O20" s="73"/>
    </row>
    <row r="21" spans="1:15" ht="15" thickBot="1" x14ac:dyDescent="0.35">
      <c r="A21" s="103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5"/>
    </row>
  </sheetData>
  <hyperlinks>
    <hyperlink ref="E3" location="'WT 02002 Drawing'!A1" display="Drawing"/>
    <hyperlink ref="B4" location="'WT A0200'!A1" display="'WT A02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zoomScale="80" zoomScaleNormal="80" workbookViewId="0">
      <selection activeCell="L30" sqref="L30"/>
    </sheetView>
  </sheetViews>
  <sheetFormatPr baseColWidth="10" defaultRowHeight="14.4" x14ac:dyDescent="0.3"/>
  <cols>
    <col min="1" max="1" width="14" style="67" customWidth="1"/>
    <col min="2" max="16384" width="11.5546875" style="67"/>
  </cols>
  <sheetData>
    <row r="1" spans="1:2" x14ac:dyDescent="0.3">
      <c r="A1" s="144" t="s">
        <v>130</v>
      </c>
      <c r="B1" s="144" t="str">
        <f>WT_0200_005</f>
        <v>WT 02002</v>
      </c>
    </row>
  </sheetData>
  <hyperlinks>
    <hyperlink ref="B1" location="WT_0200_005" display="WT_0200_005"/>
    <hyperlink ref="A1" location="'WT 02002'!A1" display="Drawing part :"/>
  </hyperlinks>
  <pageMargins left="0.7" right="0.7" top="0.75" bottom="0.75" header="0.3" footer="0.3"/>
  <pageSetup paperSize="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23"/>
  <sheetViews>
    <sheetView topLeftCell="A4" zoomScale="115" zoomScaleNormal="115" workbookViewId="0">
      <selection activeCell="N19" sqref="N19"/>
    </sheetView>
  </sheetViews>
  <sheetFormatPr baseColWidth="10" defaultColWidth="9.109375" defaultRowHeight="14.4" x14ac:dyDescent="0.3"/>
  <cols>
    <col min="1" max="1" width="9.109375" style="67"/>
    <col min="2" max="2" width="17.6640625" style="67" customWidth="1"/>
    <col min="3" max="3" width="21.77734375" style="67" bestFit="1" customWidth="1"/>
    <col min="4" max="4" width="8.33203125" style="67" bestFit="1" customWidth="1"/>
    <col min="5" max="5" width="7.77734375" style="67" bestFit="1" customWidth="1"/>
    <col min="6" max="6" width="8.33203125" style="67" bestFit="1" customWidth="1"/>
    <col min="7" max="7" width="18.5546875" style="67" bestFit="1" customWidth="1"/>
    <col min="8" max="8" width="9.109375" style="67"/>
    <col min="9" max="9" width="17" style="67" bestFit="1" customWidth="1"/>
    <col min="10" max="13" width="9.109375" style="67"/>
    <col min="14" max="14" width="12.5546875" style="67" bestFit="1" customWidth="1"/>
    <col min="15" max="15" width="3.109375" style="67" customWidth="1"/>
    <col min="16" max="16384" width="9.109375" style="67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141" t="s">
        <v>24</v>
      </c>
      <c r="B2" s="69" t="s">
        <v>23</v>
      </c>
      <c r="C2" s="70"/>
      <c r="D2" s="70"/>
      <c r="E2" s="70"/>
      <c r="F2" s="70"/>
      <c r="G2" s="70" t="s">
        <v>33</v>
      </c>
      <c r="H2" s="70"/>
      <c r="I2" s="70"/>
      <c r="J2" s="145" t="s">
        <v>18</v>
      </c>
      <c r="K2" s="71">
        <v>81</v>
      </c>
      <c r="L2" s="70"/>
      <c r="M2" s="141" t="s">
        <v>107</v>
      </c>
      <c r="N2" s="78">
        <f>WT_0200_003_m+WT_0200_003_p</f>
        <v>20.676657798400001</v>
      </c>
      <c r="O2" s="73"/>
    </row>
    <row r="3" spans="1:15" x14ac:dyDescent="0.3">
      <c r="A3" s="141" t="s">
        <v>35</v>
      </c>
      <c r="B3" s="69" t="str">
        <f>'WT A0200'!B3</f>
        <v>Wheels &amp; Tires</v>
      </c>
      <c r="C3" s="70"/>
      <c r="D3" s="141" t="s">
        <v>40</v>
      </c>
      <c r="E3" s="144" t="s">
        <v>129</v>
      </c>
      <c r="F3" s="70"/>
      <c r="G3" s="70"/>
      <c r="H3" s="70"/>
      <c r="I3" s="70"/>
      <c r="J3" s="70"/>
      <c r="K3" s="70"/>
      <c r="L3" s="70"/>
      <c r="M3" s="141" t="s">
        <v>37</v>
      </c>
      <c r="N3" s="74">
        <v>1</v>
      </c>
      <c r="O3" s="73"/>
    </row>
    <row r="4" spans="1:15" x14ac:dyDescent="0.3">
      <c r="A4" s="141" t="s">
        <v>38</v>
      </c>
      <c r="B4" s="144" t="str">
        <f>'WT A0200'!B4</f>
        <v>Front Hubs</v>
      </c>
      <c r="C4" s="70"/>
      <c r="D4" s="141" t="s">
        <v>43</v>
      </c>
      <c r="E4" s="70"/>
      <c r="F4" s="70"/>
      <c r="G4" s="70"/>
      <c r="H4" s="70"/>
      <c r="I4" s="70"/>
      <c r="J4" s="142" t="s">
        <v>40</v>
      </c>
      <c r="K4" s="70"/>
      <c r="L4" s="70"/>
      <c r="M4" s="70"/>
      <c r="N4" s="70"/>
      <c r="O4" s="73"/>
    </row>
    <row r="5" spans="1:15" x14ac:dyDescent="0.3">
      <c r="A5" s="141" t="s">
        <v>108</v>
      </c>
      <c r="B5" s="77" t="s">
        <v>105</v>
      </c>
      <c r="C5" s="70"/>
      <c r="D5" s="141" t="s">
        <v>46</v>
      </c>
      <c r="E5" s="70"/>
      <c r="F5" s="70"/>
      <c r="G5" s="70"/>
      <c r="H5" s="70"/>
      <c r="I5" s="70"/>
      <c r="J5" s="142" t="s">
        <v>43</v>
      </c>
      <c r="K5" s="70"/>
      <c r="L5" s="70"/>
      <c r="M5" s="141" t="s">
        <v>44</v>
      </c>
      <c r="N5" s="78">
        <f>N3*N2</f>
        <v>20.676657798400001</v>
      </c>
      <c r="O5" s="73"/>
    </row>
    <row r="6" spans="1:15" x14ac:dyDescent="0.3">
      <c r="A6" s="141" t="s">
        <v>41</v>
      </c>
      <c r="B6" s="143" t="s">
        <v>28</v>
      </c>
      <c r="C6" s="70"/>
      <c r="D6" s="70"/>
      <c r="E6" s="70"/>
      <c r="F6" s="70"/>
      <c r="G6" s="70"/>
      <c r="H6" s="70"/>
      <c r="I6" s="70"/>
      <c r="J6" s="142" t="s">
        <v>46</v>
      </c>
      <c r="K6" s="70"/>
      <c r="L6" s="70"/>
      <c r="M6" s="70"/>
      <c r="N6" s="70"/>
      <c r="O6" s="73"/>
    </row>
    <row r="7" spans="1:15" x14ac:dyDescent="0.3">
      <c r="A7" s="141" t="s">
        <v>45</v>
      </c>
      <c r="B7" s="69" t="s">
        <v>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5" x14ac:dyDescent="0.3">
      <c r="A8" s="141" t="s">
        <v>47</v>
      </c>
      <c r="B8" s="69" t="s">
        <v>134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5" x14ac:dyDescent="0.3">
      <c r="A9" s="140"/>
      <c r="B9" s="139"/>
      <c r="C9" s="139"/>
      <c r="D9" s="139"/>
      <c r="E9" s="139"/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5" x14ac:dyDescent="0.3">
      <c r="A10" s="138" t="s">
        <v>49</v>
      </c>
      <c r="B10" s="137" t="s">
        <v>50</v>
      </c>
      <c r="C10" s="137" t="s">
        <v>51</v>
      </c>
      <c r="D10" s="137" t="s">
        <v>52</v>
      </c>
      <c r="E10" s="137" t="s">
        <v>53</v>
      </c>
      <c r="F10" s="124" t="s">
        <v>54</v>
      </c>
      <c r="G10" s="124" t="s">
        <v>55</v>
      </c>
      <c r="H10" s="124" t="s">
        <v>56</v>
      </c>
      <c r="I10" s="124" t="s">
        <v>57</v>
      </c>
      <c r="J10" s="124" t="s">
        <v>58</v>
      </c>
      <c r="K10" s="124" t="s">
        <v>59</v>
      </c>
      <c r="L10" s="124" t="s">
        <v>60</v>
      </c>
      <c r="M10" s="124" t="s">
        <v>8</v>
      </c>
      <c r="N10" s="124" t="s">
        <v>61</v>
      </c>
      <c r="O10" s="73"/>
    </row>
    <row r="11" spans="1:15" s="89" customFormat="1" ht="28.8" x14ac:dyDescent="0.3">
      <c r="A11" s="170">
        <v>10</v>
      </c>
      <c r="B11" s="171" t="s">
        <v>126</v>
      </c>
      <c r="C11" s="172"/>
      <c r="D11" s="123">
        <v>4.2</v>
      </c>
      <c r="E11" s="173">
        <f>J11*K11*L11</f>
        <v>0.86348995200000023</v>
      </c>
      <c r="F11" s="172" t="s">
        <v>125</v>
      </c>
      <c r="G11" s="172"/>
      <c r="H11" s="174"/>
      <c r="I11" s="175" t="s">
        <v>124</v>
      </c>
      <c r="J11" s="176">
        <f>(65*10^-3)^2*3.14</f>
        <v>1.3266500000000002E-2</v>
      </c>
      <c r="K11" s="177">
        <v>2.4E-2</v>
      </c>
      <c r="L11" s="178">
        <v>2712</v>
      </c>
      <c r="M11" s="179">
        <v>1</v>
      </c>
      <c r="N11" s="123">
        <f>D11*E11</f>
        <v>3.626657798400001</v>
      </c>
      <c r="O11" s="88"/>
    </row>
    <row r="12" spans="1:15" x14ac:dyDescent="0.3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126" t="s">
        <v>61</v>
      </c>
      <c r="N12" s="119">
        <f>N11*M11</f>
        <v>3.626657798400001</v>
      </c>
      <c r="O12" s="73"/>
    </row>
    <row r="13" spans="1:15" x14ac:dyDescent="0.3">
      <c r="A13" s="7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3"/>
    </row>
    <row r="14" spans="1:15" x14ac:dyDescent="0.3">
      <c r="A14" s="125" t="s">
        <v>49</v>
      </c>
      <c r="B14" s="124" t="s">
        <v>70</v>
      </c>
      <c r="C14" s="124" t="s">
        <v>51</v>
      </c>
      <c r="D14" s="124" t="s">
        <v>52</v>
      </c>
      <c r="E14" s="124" t="s">
        <v>71</v>
      </c>
      <c r="F14" s="124" t="s">
        <v>8</v>
      </c>
      <c r="G14" s="124" t="s">
        <v>72</v>
      </c>
      <c r="H14" s="124" t="s">
        <v>73</v>
      </c>
      <c r="I14" s="124" t="s">
        <v>61</v>
      </c>
      <c r="J14" s="94"/>
      <c r="K14" s="94"/>
      <c r="L14" s="94"/>
      <c r="M14" s="94"/>
      <c r="N14" s="94"/>
      <c r="O14" s="73"/>
    </row>
    <row r="15" spans="1:15" s="97" customFormat="1" ht="28.8" x14ac:dyDescent="0.3">
      <c r="A15" s="107">
        <v>10</v>
      </c>
      <c r="B15" s="158" t="s">
        <v>120</v>
      </c>
      <c r="C15" s="158" t="s">
        <v>123</v>
      </c>
      <c r="D15" s="152">
        <v>1.3</v>
      </c>
      <c r="E15" s="107" t="s">
        <v>71</v>
      </c>
      <c r="F15" s="107">
        <v>1</v>
      </c>
      <c r="G15" s="107"/>
      <c r="H15" s="107">
        <v>1</v>
      </c>
      <c r="I15" s="123">
        <f>IF(H15="",D15*F15,D15*F15*H15)</f>
        <v>1.3</v>
      </c>
      <c r="J15" s="122"/>
      <c r="K15" s="122"/>
      <c r="L15" s="122"/>
      <c r="M15" s="122"/>
      <c r="N15" s="122"/>
      <c r="O15" s="96"/>
    </row>
    <row r="16" spans="1:15" x14ac:dyDescent="0.3">
      <c r="A16" s="107">
        <v>20</v>
      </c>
      <c r="B16" s="158" t="s">
        <v>118</v>
      </c>
      <c r="C16" s="158" t="s">
        <v>121</v>
      </c>
      <c r="D16" s="152">
        <v>0.04</v>
      </c>
      <c r="E16" s="107" t="s">
        <v>116</v>
      </c>
      <c r="F16" s="107">
        <v>112</v>
      </c>
      <c r="G16" s="107" t="s">
        <v>111</v>
      </c>
      <c r="H16" s="107">
        <v>1</v>
      </c>
      <c r="I16" s="123">
        <f>IF(H16="",D16*F16,D16*F16*H16)</f>
        <v>4.4800000000000004</v>
      </c>
      <c r="J16" s="70"/>
      <c r="K16" s="70"/>
      <c r="L16" s="70"/>
      <c r="M16" s="70"/>
      <c r="N16" s="70"/>
      <c r="O16" s="73"/>
    </row>
    <row r="17" spans="1:15" s="110" customFormat="1" ht="28.8" x14ac:dyDescent="0.3">
      <c r="A17" s="107">
        <v>30</v>
      </c>
      <c r="B17" s="158" t="s">
        <v>119</v>
      </c>
      <c r="C17" s="158" t="s">
        <v>122</v>
      </c>
      <c r="D17" s="152">
        <v>0.65</v>
      </c>
      <c r="E17" s="107" t="s">
        <v>71</v>
      </c>
      <c r="F17" s="107">
        <v>1</v>
      </c>
      <c r="G17" s="107"/>
      <c r="H17" s="107">
        <v>1</v>
      </c>
      <c r="I17" s="123">
        <f>IF(H17="",D17*F17,D17*F17*H17)</f>
        <v>0.65</v>
      </c>
      <c r="J17" s="75"/>
      <c r="K17" s="75"/>
      <c r="L17" s="75"/>
      <c r="M17" s="75"/>
      <c r="N17" s="75"/>
      <c r="O17" s="109"/>
    </row>
    <row r="18" spans="1:15" s="110" customFormat="1" x14ac:dyDescent="0.3">
      <c r="A18" s="107">
        <v>40</v>
      </c>
      <c r="B18" s="158" t="s">
        <v>118</v>
      </c>
      <c r="C18" s="158" t="s">
        <v>121</v>
      </c>
      <c r="D18" s="152">
        <v>0.04</v>
      </c>
      <c r="E18" s="107" t="s">
        <v>116</v>
      </c>
      <c r="F18" s="107">
        <v>84</v>
      </c>
      <c r="G18" s="107" t="s">
        <v>111</v>
      </c>
      <c r="H18" s="107">
        <v>1</v>
      </c>
      <c r="I18" s="123">
        <f>IF(H18="",D18*F18,D18*F18*H18)</f>
        <v>3.36</v>
      </c>
      <c r="J18" s="75"/>
      <c r="K18" s="75"/>
      <c r="L18" s="75"/>
      <c r="M18" s="75"/>
      <c r="N18" s="75"/>
      <c r="O18" s="109"/>
    </row>
    <row r="19" spans="1:15" s="110" customFormat="1" ht="28.8" x14ac:dyDescent="0.3">
      <c r="A19" s="107">
        <v>50</v>
      </c>
      <c r="B19" s="158" t="s">
        <v>120</v>
      </c>
      <c r="C19" s="158"/>
      <c r="D19" s="152">
        <v>1.3</v>
      </c>
      <c r="E19" s="107" t="s">
        <v>71</v>
      </c>
      <c r="F19" s="107">
        <v>1</v>
      </c>
      <c r="G19" s="107"/>
      <c r="H19" s="107">
        <v>1</v>
      </c>
      <c r="I19" s="123">
        <f>IF(H19="",D19*F19,D19*F19*H19)</f>
        <v>1.3</v>
      </c>
      <c r="J19" s="75"/>
      <c r="K19" s="75"/>
      <c r="L19" s="75"/>
      <c r="M19" s="75"/>
      <c r="N19" s="75"/>
      <c r="O19" s="109"/>
    </row>
    <row r="20" spans="1:15" s="110" customFormat="1" x14ac:dyDescent="0.3">
      <c r="A20" s="107">
        <v>60</v>
      </c>
      <c r="B20" s="158" t="s">
        <v>118</v>
      </c>
      <c r="C20" s="158" t="s">
        <v>117</v>
      </c>
      <c r="D20" s="152">
        <v>0.04</v>
      </c>
      <c r="E20" s="107" t="s">
        <v>116</v>
      </c>
      <c r="F20" s="107">
        <v>149</v>
      </c>
      <c r="G20" s="107" t="s">
        <v>111</v>
      </c>
      <c r="H20" s="107">
        <v>1</v>
      </c>
      <c r="I20" s="123">
        <f>IF(H20="",D20*F20,D20*F20*H20)</f>
        <v>5.96</v>
      </c>
      <c r="J20" s="75"/>
      <c r="K20" s="75"/>
      <c r="L20" s="75"/>
      <c r="M20" s="75"/>
      <c r="N20" s="75"/>
      <c r="O20" s="109"/>
    </row>
    <row r="21" spans="1:15" x14ac:dyDescent="0.3">
      <c r="A21" s="93"/>
      <c r="B21" s="94"/>
      <c r="C21" s="94"/>
      <c r="D21" s="94"/>
      <c r="E21" s="94"/>
      <c r="F21" s="94"/>
      <c r="G21" s="94"/>
      <c r="H21" s="120" t="s">
        <v>61</v>
      </c>
      <c r="I21" s="119">
        <f>SUM(I15:I20)</f>
        <v>17.05</v>
      </c>
      <c r="J21" s="94"/>
      <c r="K21" s="94"/>
      <c r="L21" s="94"/>
      <c r="M21" s="94"/>
      <c r="N21" s="94"/>
      <c r="O21" s="73"/>
    </row>
    <row r="22" spans="1:15" x14ac:dyDescent="0.3">
      <c r="A22" s="79"/>
      <c r="B22" s="70"/>
      <c r="C22" s="70"/>
      <c r="D22" s="70"/>
      <c r="E22" s="70"/>
      <c r="F22" s="70"/>
      <c r="G22" s="70"/>
      <c r="H22" s="70"/>
      <c r="I22" s="75"/>
      <c r="J22" s="70"/>
      <c r="K22" s="70"/>
      <c r="L22" s="70"/>
      <c r="M22" s="70"/>
      <c r="N22" s="70"/>
      <c r="O22" s="73"/>
    </row>
    <row r="23" spans="1:15" ht="15" thickBot="1" x14ac:dyDescent="0.35">
      <c r="A23" s="103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5"/>
    </row>
  </sheetData>
  <hyperlinks>
    <hyperlink ref="B4" location="'WT A0200'!A1" display="'WT A0200'!A1"/>
    <hyperlink ref="E3" location="'WT 02003 Drawing'!A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zoomScale="70" zoomScaleNormal="70" workbookViewId="0">
      <selection activeCell="B14" sqref="B14"/>
    </sheetView>
  </sheetViews>
  <sheetFormatPr baseColWidth="10" defaultRowHeight="14.4" x14ac:dyDescent="0.3"/>
  <cols>
    <col min="1" max="1" width="14" style="67" customWidth="1"/>
    <col min="2" max="16384" width="11.5546875" style="67"/>
  </cols>
  <sheetData>
    <row r="1" spans="1:2" x14ac:dyDescent="0.3">
      <c r="A1" s="144" t="s">
        <v>130</v>
      </c>
      <c r="B1" s="144" t="str">
        <f>WT_0200_003</f>
        <v>WT 02003</v>
      </c>
    </row>
  </sheetData>
  <hyperlinks>
    <hyperlink ref="A1" location="'WT 02003'!A1" display="Drawing part :"/>
    <hyperlink ref="B1" location="'WT 02003'!A1" display="'WT 02003'!A1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32</vt:i4>
      </vt:variant>
    </vt:vector>
  </HeadingPairs>
  <TitlesOfParts>
    <vt:vector size="45" baseType="lpstr">
      <vt:lpstr>BOM</vt:lpstr>
      <vt:lpstr>WT A0100</vt:lpstr>
      <vt:lpstr>WT A0200</vt:lpstr>
      <vt:lpstr>WT 02001</vt:lpstr>
      <vt:lpstr>dWT 02001</vt:lpstr>
      <vt:lpstr>WT 02002</vt:lpstr>
      <vt:lpstr>dWT 02002</vt:lpstr>
      <vt:lpstr>WT 02003</vt:lpstr>
      <vt:lpstr>dWT 02003</vt:lpstr>
      <vt:lpstr>WT 02004</vt:lpstr>
      <vt:lpstr>dWT 02004</vt:lpstr>
      <vt:lpstr>WT 02005</vt:lpstr>
      <vt:lpstr>dWT 02005</vt:lpstr>
      <vt:lpstr>WT_0200_001</vt:lpstr>
      <vt:lpstr>WT_0200_001_m</vt:lpstr>
      <vt:lpstr>WT_0200_001_p</vt:lpstr>
      <vt:lpstr>WT_0200_001_q</vt:lpstr>
      <vt:lpstr>WT_0200_003</vt:lpstr>
      <vt:lpstr>WT_0200_003_m</vt:lpstr>
      <vt:lpstr>WT_0200_003_p</vt:lpstr>
      <vt:lpstr>WT_0200_003_q</vt:lpstr>
      <vt:lpstr>WT_0200_004</vt:lpstr>
      <vt:lpstr>WT_0200_004_m</vt:lpstr>
      <vt:lpstr>WT_0200_004_p</vt:lpstr>
      <vt:lpstr>WT_0200_004_q</vt:lpstr>
      <vt:lpstr>WT_0200_005</vt:lpstr>
      <vt:lpstr>WT_0200_005_m</vt:lpstr>
      <vt:lpstr>WT_0200_005_p</vt:lpstr>
      <vt:lpstr>WT_0200_005_q</vt:lpstr>
      <vt:lpstr>WT_0200_006</vt:lpstr>
      <vt:lpstr>WT_0200_006_m</vt:lpstr>
      <vt:lpstr>WT_0200_006_p</vt:lpstr>
      <vt:lpstr>WT_0200_006_q</vt:lpstr>
      <vt:lpstr>WT_A0100</vt:lpstr>
      <vt:lpstr>WT_A0100_BOM</vt:lpstr>
      <vt:lpstr>WT_A0100_f</vt:lpstr>
      <vt:lpstr>WT_A0100_m</vt:lpstr>
      <vt:lpstr>WT_A0100_p</vt:lpstr>
      <vt:lpstr>WT_A0100_q</vt:lpstr>
      <vt:lpstr>WT_A0200</vt:lpstr>
      <vt:lpstr>WT_A0200_BOM</vt:lpstr>
      <vt:lpstr>WT_A0200_f</vt:lpstr>
      <vt:lpstr>WT_A0200_m</vt:lpstr>
      <vt:lpstr>WT_A0200_p</vt:lpstr>
      <vt:lpstr>WT_A0200_pa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2018-05-04T18:34:48Z</dcterms:modified>
</cp:coreProperties>
</file>