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en Lazure\Desktop\"/>
    </mc:Choice>
  </mc:AlternateContent>
  <bookViews>
    <workbookView xWindow="4740" yWindow="60" windowWidth="16380" windowHeight="8190" activeTab="8"/>
  </bookViews>
  <sheets>
    <sheet name="Instructions" sheetId="7" r:id="rId1"/>
    <sheet name="BOM" sheetId="8" r:id="rId2"/>
    <sheet name="SU_A0100" sheetId="20" r:id="rId3"/>
    <sheet name="SU_01001" sheetId="21" r:id="rId4"/>
    <sheet name="SU_01002" sheetId="22" r:id="rId5"/>
    <sheet name="SU_01003" sheetId="23" r:id="rId6"/>
    <sheet name="SU_01004" sheetId="24" r:id="rId7"/>
    <sheet name="SU_01005" sheetId="25" r:id="rId8"/>
    <sheet name="SU_01006" sheetId="26" r:id="rId9"/>
    <sheet name="SU Drawing Part 1" sheetId="27" r:id="rId10"/>
    <sheet name="SU Drawing Part 2" sheetId="28" r:id="rId11"/>
    <sheet name="SU Drawing Part 5" sheetId="29" r:id="rId12"/>
    <sheet name="SU Drawing Part 6" sheetId="30" r:id="rId13"/>
  </sheets>
  <externalReferences>
    <externalReference r:id="rId14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[1]SU_02001!$B$6</definedName>
    <definedName name="BR_01001_f">SU_01001!#REF!</definedName>
    <definedName name="BR_01001_m">[1]SU_02001!$N$12</definedName>
    <definedName name="BR_01001_p">[1]SU_02001!$I$21</definedName>
    <definedName name="BR_01001_q">SU_01001!$N$3</definedName>
    <definedName name="BR_01001_t">SU_01001!#REF!</definedName>
    <definedName name="BR_A0001">SU_A0100!$B$5</definedName>
    <definedName name="BR_A0001_f">[1]SU_A0200!$J$50</definedName>
    <definedName name="BR_A0001_m">[1]SU_A0200!$N$22</definedName>
    <definedName name="BR_A0001_p">[1]SU_A0200!$I$43</definedName>
    <definedName name="BR_A0001_pa">[1]SU_A0200!$E$16</definedName>
    <definedName name="BR_A0001_q">SU_A0100!$N$3</definedName>
    <definedName name="BR_A0001_t">SU_A0100!#REF!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SU_01001!$B$6</definedName>
    <definedName name="EL_01001_f">SU_01001!#REF!</definedName>
    <definedName name="EL_01001_m">SU_01001!$N$12</definedName>
    <definedName name="EL_01001_p">SU_01001!$I$21</definedName>
    <definedName name="EL_01001_q">SU_01001!$N$3</definedName>
    <definedName name="EL_01001_t">SU_01001!#REF!</definedName>
    <definedName name="EL_02001">SU_01001!#REF!</definedName>
    <definedName name="EL_02001_f">SU_01001!#REF!</definedName>
    <definedName name="EL_02001_m">SU_01001!#REF!</definedName>
    <definedName name="EL_02001_p">SU_01001!#REF!</definedName>
    <definedName name="EL_02001_q">SU_01001!#REF!</definedName>
    <definedName name="EL_02001_t">SU_01001!#REF!</definedName>
    <definedName name="EL_02002">SU_01001!#REF!</definedName>
    <definedName name="EL_02002_f">SU_01001!#REF!</definedName>
    <definedName name="EL_02002_m">SU_01001!#REF!</definedName>
    <definedName name="EL_02002_p">SU_01001!#REF!</definedName>
    <definedName name="EL_02002_q">SU_01001!#REF!</definedName>
    <definedName name="EL_02002_t">SU_01001!#REF!</definedName>
    <definedName name="EL_A0001">SU_A0100!$B$5</definedName>
    <definedName name="EL_A0001_f">SU_A0100!$J$50</definedName>
    <definedName name="El_A0001_m">SU_A0100!$N$22</definedName>
    <definedName name="EL_A0001_p">SU_A0100!$I$43</definedName>
    <definedName name="EL_A0001_q">SU_A0100!$N$3</definedName>
    <definedName name="EL_A0001_t">SU_A0100!#REF!</definedName>
    <definedName name="EL_A0002">SU_A0100!#REF!</definedName>
    <definedName name="EL_A0002_f">SU_A0100!#REF!</definedName>
    <definedName name="EL_A0002_m">SU_A0100!#REF!</definedName>
    <definedName name="EL_A0002_p">SU_A0100!#REF!</definedName>
    <definedName name="EL_A0002_q">SU_A0100!#REF!</definedName>
    <definedName name="EL_A0002_t">SU_A0100!#REF!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iterateDelta="1E-4"/>
</workbook>
</file>

<file path=xl/calcChain.xml><?xml version="1.0" encoding="utf-8"?>
<calcChain xmlns="http://schemas.openxmlformats.org/spreadsheetml/2006/main">
  <c r="E12" i="20" l="1"/>
  <c r="J11" i="21"/>
  <c r="L58" i="30"/>
  <c r="B1" i="27"/>
  <c r="I18" i="26"/>
  <c r="I17" i="26"/>
  <c r="I16" i="26"/>
  <c r="I15" i="26"/>
  <c r="I19" i="26" s="1"/>
  <c r="J11" i="26"/>
  <c r="E11" i="26"/>
  <c r="D11" i="26"/>
  <c r="N11" i="26" s="1"/>
  <c r="N12" i="26" s="1"/>
  <c r="N2" i="26" s="1"/>
  <c r="B4" i="26"/>
  <c r="B3" i="26"/>
  <c r="I20" i="25"/>
  <c r="I19" i="25"/>
  <c r="I18" i="25"/>
  <c r="I17" i="25"/>
  <c r="I16" i="25"/>
  <c r="I15" i="25"/>
  <c r="I21" i="25" s="1"/>
  <c r="J11" i="25"/>
  <c r="E11" i="25"/>
  <c r="N11" i="25" s="1"/>
  <c r="N12" i="25" s="1"/>
  <c r="N2" i="25" s="1"/>
  <c r="B4" i="25"/>
  <c r="B3" i="25"/>
  <c r="I15" i="24"/>
  <c r="I16" i="24" s="1"/>
  <c r="N11" i="24"/>
  <c r="N12" i="24" s="1"/>
  <c r="N2" i="24" s="1"/>
  <c r="J11" i="24"/>
  <c r="E11" i="24"/>
  <c r="B4" i="24"/>
  <c r="B3" i="24"/>
  <c r="I15" i="23"/>
  <c r="I16" i="23" s="1"/>
  <c r="J11" i="23"/>
  <c r="E11" i="23"/>
  <c r="N11" i="23" s="1"/>
  <c r="N12" i="23" s="1"/>
  <c r="B4" i="23"/>
  <c r="B3" i="23"/>
  <c r="I20" i="22"/>
  <c r="I19" i="22"/>
  <c r="I18" i="22"/>
  <c r="I17" i="22"/>
  <c r="I16" i="22"/>
  <c r="I15" i="22"/>
  <c r="I21" i="22" s="1"/>
  <c r="J11" i="22"/>
  <c r="E11" i="22"/>
  <c r="D11" i="22"/>
  <c r="N11" i="22" s="1"/>
  <c r="N12" i="22" s="1"/>
  <c r="N2" i="22" s="1"/>
  <c r="B4" i="22"/>
  <c r="B3" i="22"/>
  <c r="I20" i="21"/>
  <c r="I19" i="21"/>
  <c r="I18" i="21"/>
  <c r="I17" i="21"/>
  <c r="I16" i="21"/>
  <c r="I15" i="21"/>
  <c r="I21" i="21" s="1"/>
  <c r="D11" i="21"/>
  <c r="N11" i="21" s="1"/>
  <c r="N12" i="21" s="1"/>
  <c r="B4" i="21"/>
  <c r="B3" i="21"/>
  <c r="J49" i="20"/>
  <c r="D48" i="20"/>
  <c r="J48" i="20" s="1"/>
  <c r="D47" i="20"/>
  <c r="J47" i="20" s="1"/>
  <c r="D46" i="20"/>
  <c r="J46" i="20" s="1"/>
  <c r="I42" i="20"/>
  <c r="I41" i="20"/>
  <c r="I40" i="20"/>
  <c r="I39" i="20"/>
  <c r="I38" i="20"/>
  <c r="I37" i="20"/>
  <c r="I36" i="20"/>
  <c r="I35" i="20"/>
  <c r="F34" i="20"/>
  <c r="I34" i="20" s="1"/>
  <c r="I33" i="20"/>
  <c r="F33" i="20"/>
  <c r="I32" i="20"/>
  <c r="I31" i="20"/>
  <c r="I30" i="20"/>
  <c r="I29" i="20"/>
  <c r="I28" i="20"/>
  <c r="I27" i="20"/>
  <c r="I26" i="20"/>
  <c r="F25" i="20"/>
  <c r="I25" i="20" s="1"/>
  <c r="I43" i="20" s="1"/>
  <c r="N21" i="20"/>
  <c r="N20" i="20"/>
  <c r="D19" i="20"/>
  <c r="N19" i="20" s="1"/>
  <c r="N22" i="20" s="1"/>
  <c r="B15" i="20"/>
  <c r="B14" i="20"/>
  <c r="B13" i="20"/>
  <c r="B12" i="20"/>
  <c r="B11" i="20"/>
  <c r="B10" i="20"/>
  <c r="N2" i="21" l="1"/>
  <c r="N5" i="21" s="1"/>
  <c r="N5" i="22"/>
  <c r="C11" i="20"/>
  <c r="E11" i="20" s="1"/>
  <c r="N5" i="25"/>
  <c r="C14" i="20"/>
  <c r="E14" i="20" s="1"/>
  <c r="N2" i="23"/>
  <c r="C13" i="20"/>
  <c r="E13" i="20" s="1"/>
  <c r="N5" i="24"/>
  <c r="J50" i="20"/>
  <c r="N5" i="26"/>
  <c r="C15" i="20"/>
  <c r="E15" i="20" s="1"/>
  <c r="C10" i="20" l="1"/>
  <c r="E10" i="20" s="1"/>
  <c r="N5" i="23"/>
  <c r="C12" i="20"/>
  <c r="E16" i="20" l="1"/>
  <c r="N2" i="20"/>
  <c r="N5" i="20" s="1"/>
  <c r="B8" i="8" l="1"/>
  <c r="I8" i="8" l="1"/>
  <c r="I7" i="8"/>
  <c r="B18" i="8"/>
  <c r="B9" i="8"/>
  <c r="B10" i="8"/>
  <c r="B11" i="8"/>
  <c r="B12" i="8"/>
  <c r="B13" i="8"/>
  <c r="B14" i="8"/>
  <c r="B15" i="8"/>
  <c r="B16" i="8"/>
  <c r="B17" i="8"/>
  <c r="B7" i="8"/>
  <c r="C7" i="8" l="1"/>
  <c r="C8" i="8"/>
  <c r="F8" i="8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L7" i="8" l="1"/>
  <c r="L8" i="8"/>
  <c r="L18" i="8" s="1"/>
  <c r="J8" i="8"/>
  <c r="K7" i="8"/>
  <c r="M7" i="8"/>
  <c r="M18" i="8" s="1"/>
  <c r="K8" i="8" l="1"/>
  <c r="K18" i="8" s="1"/>
  <c r="J7" i="8"/>
  <c r="H7" i="8" s="1"/>
  <c r="N7" i="8" s="1"/>
  <c r="O1" i="8"/>
  <c r="H8" i="8" l="1"/>
  <c r="N8" i="8" s="1"/>
  <c r="J18" i="8"/>
  <c r="N18" i="8"/>
</calcChain>
</file>

<file path=xl/sharedStrings.xml><?xml version="1.0" encoding="utf-8"?>
<sst xmlns="http://schemas.openxmlformats.org/spreadsheetml/2006/main" count="628" uniqueCount="206">
  <si>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</si>
  <si>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</si>
  <si>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</si>
  <si>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</si>
  <si>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</si>
  <si>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</si>
  <si>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</si>
  <si>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</si>
  <si>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</si>
  <si>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</si>
  <si>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</si>
  <si>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</si>
  <si>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</si>
  <si>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</si>
  <si>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</si>
  <si>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</si>
  <si>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</si>
  <si>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</si>
  <si>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</si>
  <si>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</si>
  <si>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</si>
  <si>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</si>
  <si>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</si>
  <si>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</si>
  <si>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</si>
  <si>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</si>
  <si>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</si>
  <si>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</si>
  <si>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</si>
  <si>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</si>
  <si>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</si>
  <si>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</si>
  <si>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</si>
  <si>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</si>
  <si>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</si>
  <si>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</si>
  <si>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</si>
  <si>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</si>
  <si>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</si>
  <si>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</si>
  <si>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</si>
  <si>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</si>
  <si>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</si>
  <si>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</si>
  <si>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</si>
  <si>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</si>
  <si>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</si>
  <si>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</si>
  <si>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</si>
  <si>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</si>
  <si>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</si>
  <si>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</si>
  <si>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</si>
  <si>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</si>
  <si>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</si>
  <si>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</si>
  <si>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</si>
  <si>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</si>
  <si>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</si>
  <si>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</si>
  <si>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</si>
  <si>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</si>
  <si>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</si>
  <si>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</si>
  <si>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</si>
  <si>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</si>
  <si>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</si>
  <si>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</si>
  <si>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</si>
  <si>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</si>
  <si>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</si>
  <si>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</si>
  <si>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</si>
  <si>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</si>
  <si>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</si>
  <si>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</si>
  <si>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</si>
  <si>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</si>
  <si>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</si>
  <si>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</si>
  <si>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</si>
  <si>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</si>
  <si>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</si>
  <si>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</si>
  <si>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</si>
  <si>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</si>
  <si>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</si>
  <si>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</si>
  <si>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</si>
  <si>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</si>
  <si>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</si>
  <si>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</si>
  <si>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</si>
  <si>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</si>
  <si>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</si>
  <si>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</si>
  <si>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</si>
  <si>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</si>
  <si>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</si>
  <si>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</si>
  <si>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</si>
  <si>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</si>
  <si>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</si>
  <si>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</si>
  <si>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</si>
  <si>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</si>
  <si>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</si>
  <si>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</si>
  <si>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</si>
  <si>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</si>
  <si>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</si>
  <si>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</si>
  <si>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</si>
  <si>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</si>
  <si>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</si>
  <si>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</si>
  <si>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</si>
  <si>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</si>
  <si>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</si>
  <si>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</si>
  <si>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</si>
  <si>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</si>
  <si>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</si>
  <si>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</si>
  <si>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</si>
  <si>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</si>
  <si>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</si>
  <si>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</si>
  <si>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</si>
  <si>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</si>
  <si>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</si>
  <si>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</si>
  <si>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</si>
  <si>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</si>
  <si>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</si>
  <si>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</si>
  <si>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</si>
  <si>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</si>
  <si>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</si>
  <si>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</si>
  <si>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</si>
  <si>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</si>
  <si>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</si>
  <si>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</si>
  <si>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</si>
  <si>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</si>
  <si>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</si>
  <si>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</si>
  <si>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</si>
  <si>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</si>
  <si>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Inserting Parts 30 and 40 on Parts 70</t>
  </si>
  <si>
    <t>Inserting Parts 70 in Part 10</t>
  </si>
  <si>
    <t>Inserting Parts 20 in Parts 30 and 40</t>
  </si>
  <si>
    <t>Cure, Room Temperature</t>
  </si>
  <si>
    <t>m²</t>
  </si>
  <si>
    <t>Epoxy resin curing (24h at room temperature)</t>
  </si>
  <si>
    <t>Epoxy resin curing (1h at 80°C)</t>
  </si>
  <si>
    <t>Cure, Oven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</si>
  <si>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</si>
  <si>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</si>
  <si>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</si>
  <si>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</si>
  <si>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</si>
  <si>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</si>
  <si>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</si>
  <si>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</si>
  <si>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</si>
  <si>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</si>
  <si>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</si>
  <si>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</si>
  <si>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</si>
  <si>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</si>
  <si>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</si>
  <si>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</si>
  <si>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</si>
  <si>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</si>
  <si>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</si>
  <si>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Assemble, 1kg, Loose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</si>
  <si>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</si>
  <si>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</si>
  <si>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</si>
  <si>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</si>
  <si>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</si>
  <si>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</si>
  <si>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</si>
  <si>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</si>
  <si>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</si>
  <si>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</si>
  <si>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</si>
  <si>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Non-metallic cutting &lt;= 25.4 mm</t>
  </si>
  <si>
    <t>Cut the carbon fiber reinforced epoxy tube to length</t>
  </si>
  <si>
    <t>mm^3</t>
  </si>
  <si>
    <t>tube face</t>
  </si>
  <si>
    <t>Spacer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</si>
  <si>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</si>
  <si>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</si>
  <si>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</si>
  <si>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</si>
  <si>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</si>
  <si>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</si>
  <si>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</si>
  <si>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</si>
  <si>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SU_01006</t>
  </si>
  <si>
    <t>SU_01001</t>
  </si>
  <si>
    <t>SU_01004</t>
  </si>
  <si>
    <t>SU_01003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</si>
</sst>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_(&quot;$&quot;* #,##0.0000_);_(&quot;$&quot;* \(#,##0.0000\);_(&quot;$&quot;* &quot;-&quot;??_);_(@_)"/>
    <numFmt numFmtId="178" formatCode="_(\$* #,##0.000_);_(\$* \(#,##0.000\);_(\$* \-??_);_(@_)"/>
    <numFmt numFmtId="179" formatCode="_(\$* #,##0.000000_);_(\$* \(#,##0.000000\);_(\$* \-??_);_(@_)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2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170" fontId="32" fillId="13" borderId="1">
      <alignment vertical="center" wrapText="1"/>
    </xf>
    <xf numFmtId="170" fontId="26" fillId="11" borderId="6">
      <alignment vertical="center" wrapText="1"/>
    </xf>
    <xf numFmtId="170" fontId="2" fillId="0" borderId="0" applyFont="0" applyFill="0" applyBorder="0" applyAlignment="0" applyProtection="0"/>
    <xf numFmtId="0" fontId="29" fillId="12" borderId="0" applyNumberFormat="0" applyBorder="0" applyAlignment="0" applyProtection="0"/>
    <xf numFmtId="170" fontId="9" fillId="0" borderId="0" applyFont="0" applyFill="0" applyBorder="0" applyAlignment="0" applyProtection="0"/>
    <xf numFmtId="0" fontId="31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4" fontId="32" fillId="0" borderId="1">
      <alignment vertical="center" wrapText="1"/>
    </xf>
    <xf numFmtId="165" fontId="17" fillId="0" borderId="0" applyFill="0" applyBorder="0" applyAlignment="0" applyProtection="0"/>
    <xf numFmtId="0" fontId="34" fillId="0" borderId="0"/>
    <xf numFmtId="0" fontId="1" fillId="0" borderId="0"/>
  </cellStyleXfs>
  <cellXfs count="177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left"/>
    </xf>
    <xf numFmtId="0" fontId="5" fillId="0" borderId="4" xfId="0" applyFont="1" applyBorder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1" fontId="6" fillId="0" borderId="3" xfId="0" applyNumberFormat="1" applyFont="1" applyBorder="1"/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6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0" fontId="6" fillId="0" borderId="16" xfId="7" applyNumberFormat="1" applyFont="1" applyBorder="1" applyAlignment="1" applyProtection="1"/>
    <xf numFmtId="165" fontId="6" fillId="0" borderId="16" xfId="7" applyNumberFormat="1" applyFont="1" applyBorder="1" applyAlignment="1" applyProtection="1"/>
    <xf numFmtId="164" fontId="6" fillId="0" borderId="16" xfId="7" applyNumberFormat="1" applyFont="1" applyBorder="1" applyAlignment="1" applyProtection="1"/>
    <xf numFmtId="11" fontId="6" fillId="0" borderId="16" xfId="0" applyNumberFormat="1" applyFont="1" applyBorder="1"/>
    <xf numFmtId="167" fontId="6" fillId="0" borderId="16" xfId="7" applyNumberFormat="1" applyFont="1" applyBorder="1" applyAlignment="1" applyProtection="1"/>
    <xf numFmtId="0" fontId="6" fillId="0" borderId="16" xfId="0" applyFont="1" applyBorder="1" applyAlignment="1"/>
    <xf numFmtId="11" fontId="6" fillId="0" borderId="16" xfId="0" applyNumberFormat="1" applyFont="1" applyBorder="1" applyAlignment="1"/>
    <xf numFmtId="168" fontId="6" fillId="0" borderId="16" xfId="7" applyNumberFormat="1" applyFont="1" applyBorder="1" applyAlignment="1" applyProtection="1"/>
    <xf numFmtId="0" fontId="0" fillId="0" borderId="16" xfId="0" applyBorder="1" applyAlignment="1"/>
    <xf numFmtId="2" fontId="6" fillId="0" borderId="16" xfId="7" applyNumberFormat="1" applyFont="1" applyBorder="1" applyAlignment="1" applyProtection="1"/>
    <xf numFmtId="169" fontId="6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6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16" xfId="8" applyNumberFormat="1" applyBorder="1" applyAlignment="1" applyProtection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173" fontId="6" fillId="0" borderId="16" xfId="7" applyNumberFormat="1" applyFont="1" applyBorder="1" applyAlignment="1" applyProtection="1"/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7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13" fillId="10" borderId="3" xfId="1" applyFont="1" applyFill="1" applyBorder="1" applyAlignment="1" applyProtection="1">
      <alignment horizontal="center"/>
      <protection locked="0"/>
    </xf>
    <xf numFmtId="11" fontId="13" fillId="10" borderId="3" xfId="1" applyNumberFormat="1" applyFont="1" applyFill="1" applyBorder="1" applyAlignment="1" applyProtection="1">
      <protection locked="0"/>
    </xf>
    <xf numFmtId="170" fontId="33" fillId="0" borderId="0" xfId="11" applyFont="1" applyFill="1" applyBorder="1">
      <alignment vertical="center" wrapText="1"/>
    </xf>
    <xf numFmtId="0" fontId="6" fillId="0" borderId="0" xfId="0" applyFont="1" applyFill="1" applyBorder="1"/>
    <xf numFmtId="0" fontId="6" fillId="0" borderId="16" xfId="0" applyNumberFormat="1" applyFont="1" applyBorder="1"/>
    <xf numFmtId="165" fontId="28" fillId="0" borderId="28" xfId="29" applyFont="1" applyFill="1" applyBorder="1" applyAlignment="1" applyProtection="1"/>
    <xf numFmtId="166" fontId="7" fillId="0" borderId="1" xfId="7">
      <alignment vertical="center" wrapText="1"/>
    </xf>
    <xf numFmtId="0" fontId="27" fillId="0" borderId="0" xfId="9"/>
    <xf numFmtId="165" fontId="28" fillId="0" borderId="29" xfId="29" applyFont="1" applyFill="1" applyBorder="1" applyAlignment="1" applyProtection="1"/>
    <xf numFmtId="165" fontId="28" fillId="0" borderId="3" xfId="29" applyFont="1" applyFill="1" applyBorder="1" applyAlignment="1" applyProtection="1"/>
    <xf numFmtId="39" fontId="28" fillId="0" borderId="28" xfId="29" applyNumberFormat="1" applyFont="1" applyFill="1" applyBorder="1" applyAlignment="1" applyProtection="1"/>
    <xf numFmtId="37" fontId="28" fillId="0" borderId="30" xfId="29" applyNumberFormat="1" applyFont="1" applyFill="1" applyBorder="1" applyAlignment="1" applyProtection="1"/>
    <xf numFmtId="165" fontId="28" fillId="0" borderId="30" xfId="29" applyFont="1" applyFill="1" applyBorder="1" applyAlignment="1" applyProtection="1"/>
    <xf numFmtId="37" fontId="28" fillId="0" borderId="28" xfId="29" applyNumberFormat="1" applyFont="1" applyFill="1" applyBorder="1" applyAlignment="1" applyProtection="1"/>
    <xf numFmtId="0" fontId="17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6" fillId="0" borderId="3" xfId="0" applyNumberFormat="1" applyFont="1" applyBorder="1" applyAlignment="1"/>
    <xf numFmtId="176" fontId="0" fillId="0" borderId="0" xfId="0" applyNumberFormat="1" applyAlignment="1">
      <alignment wrapText="1"/>
    </xf>
    <xf numFmtId="177" fontId="33" fillId="0" borderId="0" xfId="11" applyNumberFormat="1" applyFont="1" applyFill="1" applyBorder="1">
      <alignment vertical="center" wrapText="1"/>
    </xf>
    <xf numFmtId="0" fontId="6" fillId="0" borderId="3" xfId="0" applyNumberFormat="1" applyFont="1" applyBorder="1"/>
    <xf numFmtId="178" fontId="6" fillId="0" borderId="3" xfId="7" applyNumberFormat="1" applyFont="1" applyBorder="1" applyAlignment="1" applyProtection="1"/>
    <xf numFmtId="179" fontId="6" fillId="0" borderId="3" xfId="7" applyNumberFormat="1" applyFont="1" applyBorder="1" applyAlignment="1" applyProtection="1"/>
    <xf numFmtId="0" fontId="0" fillId="10" borderId="0" xfId="0" applyFill="1"/>
    <xf numFmtId="0" fontId="28" fillId="0" borderId="28" xfId="31" applyFont="1" applyFill="1" applyBorder="1"/>
    <xf numFmtId="0" fontId="28" fillId="0" borderId="28" xfId="31" applyFont="1" applyFill="1" applyBorder="1" applyAlignment="1">
      <alignment wrapText="1"/>
    </xf>
    <xf numFmtId="0" fontId="28" fillId="0" borderId="28" xfId="31" applyNumberFormat="1" applyFont="1" applyFill="1" applyBorder="1"/>
    <xf numFmtId="175" fontId="28" fillId="0" borderId="28" xfId="31" applyNumberFormat="1" applyFont="1" applyFill="1" applyBorder="1"/>
    <xf numFmtId="0" fontId="28" fillId="0" borderId="29" xfId="31" applyNumberFormat="1" applyFont="1" applyFill="1" applyBorder="1"/>
    <xf numFmtId="0" fontId="28" fillId="0" borderId="29" xfId="31" applyFont="1" applyFill="1" applyBorder="1"/>
    <xf numFmtId="0" fontId="28" fillId="0" borderId="3" xfId="31" applyNumberFormat="1" applyFont="1" applyFill="1" applyBorder="1"/>
    <xf numFmtId="0" fontId="28" fillId="0" borderId="3" xfId="31" applyFont="1" applyFill="1" applyBorder="1"/>
    <xf numFmtId="0" fontId="28" fillId="0" borderId="3" xfId="31" applyFont="1" applyBorder="1"/>
    <xf numFmtId="0" fontId="1" fillId="0" borderId="3" xfId="31" applyBorder="1"/>
    <xf numFmtId="4" fontId="28" fillId="0" borderId="28" xfId="31" applyNumberFormat="1" applyFont="1" applyFill="1" applyBorder="1"/>
    <xf numFmtId="0" fontId="17" fillId="0" borderId="28" xfId="31" applyFont="1" applyFill="1" applyBorder="1"/>
    <xf numFmtId="2" fontId="28" fillId="0" borderId="28" xfId="31" applyNumberFormat="1" applyFont="1" applyFill="1" applyBorder="1"/>
  </cellXfs>
  <cellStyles count="32">
    <cellStyle name="Comma 2" xfId="5"/>
    <cellStyle name="Cost Table Plain" xfId="10"/>
    <cellStyle name="Cost_Green" xfId="4"/>
    <cellStyle name="Cost_Yellow" xfId="11"/>
    <cellStyle name="Currency 2" xfId="2"/>
    <cellStyle name="Currency 2 2" xfId="12"/>
    <cellStyle name="Good 2" xfId="13"/>
    <cellStyle name="Lien hypertexte" xfId="8" builtinId="8"/>
    <cellStyle name="Monétaire 10 2" xfId="29"/>
    <cellStyle name="Monétaire 2" xfId="3"/>
    <cellStyle name="Monétaire 3" xfId="1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3" xfId="6"/>
    <cellStyle name="Normal 3 2" xfId="26"/>
    <cellStyle name="Normal 3 3" xfId="25"/>
    <cellStyle name="Normal 3 4" xfId="31"/>
    <cellStyle name="Normal 4" xfId="9"/>
    <cellStyle name="Normal 5" xfId="27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FF66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SU_01001!B5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SU_01005!B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SU_01006!B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14007</xdr:colOff>
      <xdr:row>27</xdr:row>
      <xdr:rowOff>70037</xdr:rowOff>
    </xdr:from>
    <xdr:to>
      <xdr:col>17</xdr:col>
      <xdr:colOff>392206</xdr:colOff>
      <xdr:row>50</xdr:row>
      <xdr:rowOff>42022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1360" y="5322794"/>
          <a:ext cx="3361765" cy="4482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426640</xdr:colOff>
      <xdr:row>14</xdr:row>
      <xdr:rowOff>704452</xdr:rowOff>
    </xdr:from>
    <xdr:to>
      <xdr:col>16</xdr:col>
      <xdr:colOff>556550</xdr:colOff>
      <xdr:row>19</xdr:row>
      <xdr:rowOff>370283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390" y="3343671"/>
          <a:ext cx="3364441" cy="25233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485775</xdr:colOff>
      <xdr:row>14</xdr:row>
      <xdr:rowOff>66675</xdr:rowOff>
    </xdr:from>
    <xdr:to>
      <xdr:col>14</xdr:col>
      <xdr:colOff>638175</xdr:colOff>
      <xdr:row>23</xdr:row>
      <xdr:rowOff>171450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75" y="2733675"/>
          <a:ext cx="3200400" cy="2400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</xdr:row>
      <xdr:rowOff>152400</xdr:rowOff>
    </xdr:from>
    <xdr:ext cx="6019903" cy="2863928"/>
    <xdr:pic>
      <xdr:nvPicPr>
        <xdr:cNvPr id="2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533400"/>
          <a:ext cx="6019903" cy="286392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85775"/>
          <a:ext cx="10058400" cy="47645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419225"/>
          <a:ext cx="9878804" cy="42963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62025"/>
          <a:ext cx="10058400" cy="414061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>
        <row r="3">
          <cell r="B3" t="str">
            <v>Suspension &amp; Shocks</v>
          </cell>
        </row>
        <row r="4">
          <cell r="B4" t="str">
            <v>Lower Front A-arm</v>
          </cell>
        </row>
        <row r="16">
          <cell r="E16">
            <v>459.73524404633599</v>
          </cell>
        </row>
        <row r="22">
          <cell r="N22">
            <v>20.759999999999998</v>
          </cell>
        </row>
        <row r="43">
          <cell r="I43">
            <v>8.595516447372308</v>
          </cell>
        </row>
        <row r="50">
          <cell r="J50">
            <v>0.78187609418733417</v>
          </cell>
        </row>
      </sheetData>
      <sheetData sheetId="1">
        <row r="5">
          <cell r="B5" t="str">
            <v>Lower Front Bearing Support</v>
          </cell>
        </row>
        <row r="12">
          <cell r="N12">
            <v>2.3578128</v>
          </cell>
        </row>
        <row r="21">
          <cell r="I21">
            <v>11.600000000000001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5" x14ac:dyDescent="0.25"/>
  <sheetData>
    <row r="1" spans="1:2" x14ac:dyDescent="0.25">
      <c r="A1" s="100" t="s">
        <v>128</v>
      </c>
    </row>
    <row r="3" spans="1:2" x14ac:dyDescent="0.25">
      <c r="A3" s="99" t="s">
        <v>61</v>
      </c>
      <c r="B3" s="96" t="s">
        <v>62</v>
      </c>
    </row>
    <row r="5" spans="1:2" x14ac:dyDescent="0.25">
      <c r="A5" t="s">
        <v>96</v>
      </c>
    </row>
    <row r="6" spans="1:2" x14ac:dyDescent="0.25">
      <c r="A6" t="s">
        <v>97</v>
      </c>
    </row>
    <row r="7" spans="1:2" x14ac:dyDescent="0.25">
      <c r="A7" t="s">
        <v>104</v>
      </c>
    </row>
    <row r="8" spans="1:2" x14ac:dyDescent="0.25">
      <c r="A8" t="s">
        <v>101</v>
      </c>
    </row>
    <row r="9" spans="1:2" x14ac:dyDescent="0.25">
      <c r="A9" t="s">
        <v>63</v>
      </c>
    </row>
    <row r="10" spans="1:2" x14ac:dyDescent="0.25">
      <c r="A10" s="96" t="s">
        <v>92</v>
      </c>
    </row>
    <row r="11" spans="1:2" x14ac:dyDescent="0.25">
      <c r="A11" t="s">
        <v>64</v>
      </c>
    </row>
    <row r="12" spans="1:2" x14ac:dyDescent="0.25">
      <c r="A12" t="s">
        <v>65</v>
      </c>
    </row>
    <row r="14" spans="1:2" x14ac:dyDescent="0.25">
      <c r="A14" t="s">
        <v>95</v>
      </c>
    </row>
    <row r="15" spans="1:2" x14ac:dyDescent="0.25">
      <c r="A15" t="s">
        <v>109</v>
      </c>
    </row>
    <row r="16" spans="1:2" x14ac:dyDescent="0.25">
      <c r="A16" t="s">
        <v>113</v>
      </c>
    </row>
    <row r="18" spans="1:3" x14ac:dyDescent="0.25">
      <c r="A18" s="99" t="s">
        <v>66</v>
      </c>
      <c r="B18" s="96" t="s">
        <v>99</v>
      </c>
      <c r="C18" s="96"/>
    </row>
    <row r="20" spans="1:3" x14ac:dyDescent="0.25">
      <c r="A20" t="s">
        <v>110</v>
      </c>
    </row>
    <row r="21" spans="1:3" x14ac:dyDescent="0.25">
      <c r="A21" t="s">
        <v>129</v>
      </c>
    </row>
    <row r="23" spans="1:3" x14ac:dyDescent="0.25">
      <c r="A23" s="99" t="s">
        <v>68</v>
      </c>
      <c r="B23" s="96" t="s">
        <v>69</v>
      </c>
    </row>
    <row r="25" spans="1:3" x14ac:dyDescent="0.25">
      <c r="A25" t="s">
        <v>121</v>
      </c>
    </row>
    <row r="26" spans="1:3" x14ac:dyDescent="0.25">
      <c r="A26" t="s">
        <v>75</v>
      </c>
    </row>
    <row r="27" spans="1:3" x14ac:dyDescent="0.25">
      <c r="A27" t="s">
        <v>70</v>
      </c>
    </row>
    <row r="28" spans="1:3" x14ac:dyDescent="0.25">
      <c r="A28" t="s">
        <v>105</v>
      </c>
    </row>
    <row r="29" spans="1:3" x14ac:dyDescent="0.25">
      <c r="A29" t="s">
        <v>102</v>
      </c>
    </row>
    <row r="30" spans="1:3" x14ac:dyDescent="0.25">
      <c r="A30" t="s">
        <v>71</v>
      </c>
    </row>
    <row r="31" spans="1:3" x14ac:dyDescent="0.25">
      <c r="A31" s="96" t="s">
        <v>92</v>
      </c>
    </row>
    <row r="32" spans="1:3" x14ac:dyDescent="0.25">
      <c r="A32" t="s">
        <v>103</v>
      </c>
    </row>
    <row r="33" spans="1:2" x14ac:dyDescent="0.25">
      <c r="A33" t="s">
        <v>106</v>
      </c>
    </row>
    <row r="35" spans="1:2" x14ac:dyDescent="0.25">
      <c r="A35" t="s">
        <v>107</v>
      </c>
    </row>
    <row r="36" spans="1:2" x14ac:dyDescent="0.25">
      <c r="A36" t="s">
        <v>108</v>
      </c>
    </row>
    <row r="37" spans="1:2" x14ac:dyDescent="0.25">
      <c r="A37" t="s">
        <v>114</v>
      </c>
    </row>
    <row r="39" spans="1:2" x14ac:dyDescent="0.25">
      <c r="A39" s="99" t="s">
        <v>72</v>
      </c>
      <c r="B39" s="96" t="s">
        <v>67</v>
      </c>
    </row>
    <row r="41" spans="1:2" x14ac:dyDescent="0.25">
      <c r="A41" t="s">
        <v>119</v>
      </c>
    </row>
    <row r="42" spans="1:2" x14ac:dyDescent="0.25">
      <c r="A42" t="s">
        <v>120</v>
      </c>
    </row>
    <row r="43" spans="1:2" x14ac:dyDescent="0.25">
      <c r="A43" t="s">
        <v>98</v>
      </c>
    </row>
    <row r="45" spans="1:2" x14ac:dyDescent="0.25">
      <c r="A45" s="99" t="s">
        <v>73</v>
      </c>
      <c r="B45" s="96" t="s">
        <v>89</v>
      </c>
    </row>
    <row r="47" spans="1:2" x14ac:dyDescent="0.25">
      <c r="A47" t="s">
        <v>122</v>
      </c>
    </row>
    <row r="48" spans="1:2" x14ac:dyDescent="0.25">
      <c r="A48" t="s">
        <v>90</v>
      </c>
    </row>
    <row r="49" spans="1:2" x14ac:dyDescent="0.25">
      <c r="A49" t="s">
        <v>91</v>
      </c>
    </row>
    <row r="50" spans="1:2" x14ac:dyDescent="0.25">
      <c r="A50" t="s">
        <v>111</v>
      </c>
    </row>
    <row r="51" spans="1:2" x14ac:dyDescent="0.25">
      <c r="A51" t="s">
        <v>123</v>
      </c>
    </row>
    <row r="52" spans="1:2" x14ac:dyDescent="0.25">
      <c r="A52" t="s">
        <v>124</v>
      </c>
    </row>
    <row r="53" spans="1:2" x14ac:dyDescent="0.25">
      <c r="A53" t="s">
        <v>93</v>
      </c>
    </row>
    <row r="55" spans="1:2" x14ac:dyDescent="0.25">
      <c r="A55" t="s">
        <v>115</v>
      </c>
    </row>
    <row r="57" spans="1:2" x14ac:dyDescent="0.25">
      <c r="A57" s="99" t="s">
        <v>77</v>
      </c>
      <c r="B57" s="96" t="s">
        <v>74</v>
      </c>
    </row>
    <row r="59" spans="1:2" x14ac:dyDescent="0.25">
      <c r="A59" t="s">
        <v>76</v>
      </c>
    </row>
    <row r="60" spans="1:2" x14ac:dyDescent="0.25">
      <c r="A60" t="s">
        <v>116</v>
      </c>
    </row>
    <row r="61" spans="1:2" x14ac:dyDescent="0.25">
      <c r="A61" t="s">
        <v>112</v>
      </c>
    </row>
    <row r="63" spans="1:2" x14ac:dyDescent="0.25">
      <c r="A63" s="99" t="s">
        <v>88</v>
      </c>
      <c r="B63" s="96" t="s">
        <v>78</v>
      </c>
    </row>
    <row r="65" spans="1:1" x14ac:dyDescent="0.25">
      <c r="A65" t="s">
        <v>79</v>
      </c>
    </row>
    <row r="66" spans="1:1" x14ac:dyDescent="0.25">
      <c r="A66" t="s">
        <v>81</v>
      </c>
    </row>
    <row r="67" spans="1:1" x14ac:dyDescent="0.25">
      <c r="A67" t="s">
        <v>80</v>
      </c>
    </row>
    <row r="68" spans="1:1" x14ac:dyDescent="0.25">
      <c r="A68" t="s">
        <v>82</v>
      </c>
    </row>
    <row r="69" spans="1:1" x14ac:dyDescent="0.25">
      <c r="A69" t="s">
        <v>83</v>
      </c>
    </row>
    <row r="70" spans="1:1" x14ac:dyDescent="0.25">
      <c r="A70" t="s">
        <v>84</v>
      </c>
    </row>
    <row r="71" spans="1:1" x14ac:dyDescent="0.25">
      <c r="A71" t="s">
        <v>117</v>
      </c>
    </row>
    <row r="72" spans="1:1" x14ac:dyDescent="0.25">
      <c r="A72" t="s">
        <v>118</v>
      </c>
    </row>
    <row r="74" spans="1:1" x14ac:dyDescent="0.25">
      <c r="A74" t="s">
        <v>125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117</v>
      </c>
    </row>
    <row r="78" spans="1:1" x14ac:dyDescent="0.25">
      <c r="A78" t="s">
        <v>118</v>
      </c>
    </row>
    <row r="80" spans="1:1" x14ac:dyDescent="0.25">
      <c r="A80" s="96" t="s">
        <v>94</v>
      </c>
    </row>
    <row r="82" spans="1:1" x14ac:dyDescent="0.25">
      <c r="A82" s="100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J9" sqref="J9"/>
    </sheetView>
  </sheetViews>
  <sheetFormatPr baseColWidth="10" defaultRowHeight="15" x14ac:dyDescent="0.25"/>
  <cols>
    <col min="1" max="1" width="14" customWidth="1"/>
  </cols>
  <sheetData>
    <row r="1" spans="1:2" x14ac:dyDescent="0.25">
      <c r="A1" t="s">
        <v>199</v>
      </c>
      <c r="B1" s="98">
        <f>BR_01001</f>
        <v>0</v>
      </c>
    </row>
  </sheetData>
  <hyperlinks>
    <hyperlink ref="B1" location="SU_01001!B5" display="SU_01001!B5"/>
  </hyperlinks>
  <pageMargins left="0.7" right="0.7" top="0.75" bottom="0.75" header="0.3" footer="0.3"/>
  <pageSetup paperSize="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18.85546875" customWidth="1"/>
  </cols>
  <sheetData>
    <row r="1" spans="1:2" x14ac:dyDescent="0.25">
      <c r="A1" t="s">
        <v>199</v>
      </c>
      <c r="B1" s="98" t="s">
        <v>200</v>
      </c>
    </row>
    <row r="6" spans="1:2" x14ac:dyDescent="0.25">
      <c r="B6" s="163"/>
    </row>
  </sheetData>
  <hyperlinks>
    <hyperlink ref="B1" location="SU_01002!B5" display="SU_01002!B5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workbookViewId="0">
      <selection activeCell="B6" sqref="B6"/>
    </sheetView>
  </sheetViews>
  <sheetFormatPr baseColWidth="10" defaultRowHeight="15" x14ac:dyDescent="0.25"/>
  <cols>
    <col min="1" max="1" width="22.5703125" customWidth="1"/>
  </cols>
  <sheetData>
    <row r="1" spans="1:2" x14ac:dyDescent="0.25">
      <c r="A1" t="s">
        <v>199</v>
      </c>
      <c r="B1" s="98" t="s">
        <v>201</v>
      </c>
    </row>
  </sheetData>
  <hyperlinks>
    <hyperlink ref="B1" location="SU_01005!B5" display="SU_01005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8"/>
  <sheetViews>
    <sheetView workbookViewId="0">
      <selection activeCell="F34" sqref="F34"/>
    </sheetView>
  </sheetViews>
  <sheetFormatPr baseColWidth="10" defaultRowHeight="15" x14ac:dyDescent="0.25"/>
  <cols>
    <col min="1" max="1" width="20" customWidth="1"/>
  </cols>
  <sheetData>
    <row r="1" spans="1:2" x14ac:dyDescent="0.25">
      <c r="A1" t="s">
        <v>199</v>
      </c>
      <c r="B1" s="98" t="s">
        <v>202</v>
      </c>
    </row>
    <row r="58" spans="12:12" x14ac:dyDescent="0.25">
      <c r="L58" s="95">
        <f>SU_01002!L52</f>
        <v>0</v>
      </c>
    </row>
  </sheetData>
  <hyperlinks>
    <hyperlink ref="B1" location="SU_01006!B5" display="SU_01006"/>
    <hyperlink ref="L58" location="BR_01001" display="BR_0100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7" sqref="C7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4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4" t="s">
        <v>0</v>
      </c>
      <c r="B1" s="103" t="s">
        <v>37</v>
      </c>
      <c r="D1" s="45"/>
      <c r="M1" s="57" t="s">
        <v>42</v>
      </c>
      <c r="N1" s="46"/>
      <c r="O1" s="56" t="e">
        <f>#REF!</f>
        <v>#REF!</v>
      </c>
    </row>
    <row r="2" spans="1:15" s="15" customFormat="1" ht="15.75" thickBot="1" x14ac:dyDescent="0.3">
      <c r="A2" s="52" t="s">
        <v>43</v>
      </c>
      <c r="B2" s="102" t="s">
        <v>126</v>
      </c>
      <c r="C2" s="14"/>
      <c r="F2" s="40"/>
    </row>
    <row r="3" spans="1:15" s="15" customFormat="1" ht="16.5" thickTop="1" thickBot="1" x14ac:dyDescent="0.3">
      <c r="A3" s="53" t="s">
        <v>44</v>
      </c>
      <c r="B3" s="55">
        <v>2018</v>
      </c>
      <c r="C3" s="14"/>
      <c r="F3" s="40"/>
    </row>
    <row r="4" spans="1:15" s="15" customFormat="1" ht="16.5" thickTop="1" thickBot="1" x14ac:dyDescent="0.3">
      <c r="A4" s="51" t="s">
        <v>1</v>
      </c>
      <c r="B4" s="101">
        <v>81</v>
      </c>
      <c r="C4" s="14"/>
      <c r="D4" s="45" t="s">
        <v>45</v>
      </c>
      <c r="F4" s="40"/>
    </row>
    <row r="5" spans="1:15" s="38" customFormat="1" ht="15.75" thickTop="1" x14ac:dyDescent="0.25">
      <c r="A5" s="37"/>
      <c r="B5" s="41"/>
      <c r="C5" s="39"/>
      <c r="F5" s="42"/>
    </row>
    <row r="6" spans="1:15" s="36" customFormat="1" ht="49.5" customHeight="1" x14ac:dyDescent="0.25">
      <c r="A6" s="35" t="s">
        <v>46</v>
      </c>
      <c r="B6" s="48" t="s">
        <v>47</v>
      </c>
      <c r="C6" s="48" t="s">
        <v>48</v>
      </c>
      <c r="D6" s="48" t="s">
        <v>49</v>
      </c>
      <c r="E6" s="48" t="s">
        <v>50</v>
      </c>
      <c r="F6" s="48" t="s">
        <v>51</v>
      </c>
      <c r="G6" s="48" t="s">
        <v>52</v>
      </c>
      <c r="H6" s="50" t="s">
        <v>53</v>
      </c>
      <c r="I6" s="48" t="s">
        <v>17</v>
      </c>
      <c r="J6" s="48" t="s">
        <v>54</v>
      </c>
      <c r="K6" s="48" t="s">
        <v>55</v>
      </c>
      <c r="L6" s="48" t="s">
        <v>56</v>
      </c>
      <c r="M6" s="48" t="s">
        <v>57</v>
      </c>
      <c r="N6" s="49" t="s">
        <v>58</v>
      </c>
      <c r="O6" s="48" t="s">
        <v>59</v>
      </c>
    </row>
    <row r="7" spans="1:15" ht="15" x14ac:dyDescent="0.25">
      <c r="A7" s="121"/>
      <c r="B7" s="122" t="str">
        <f>[1]SU_A0200!B3</f>
        <v>Suspension &amp; Shocks</v>
      </c>
      <c r="C7" s="123" t="str">
        <f>EL_A0001</f>
        <v>SU A0100</v>
      </c>
      <c r="D7" s="123" t="s">
        <v>11</v>
      </c>
      <c r="E7" s="123"/>
      <c r="F7" s="124" t="str">
        <f>[1]SU_A0200!B4</f>
        <v>Lower Front A-arm</v>
      </c>
      <c r="G7" s="123"/>
      <c r="H7" s="125" t="e">
        <f t="shared" ref="H7:H17" si="0">SUM(J7:M7)</f>
        <v>#REF!</v>
      </c>
      <c r="I7" s="126">
        <f>BR_A0001_q</f>
        <v>2</v>
      </c>
      <c r="J7" s="127">
        <f>BR_A0001_m</f>
        <v>20.759999999999998</v>
      </c>
      <c r="K7" s="127">
        <f>BR_A0001_p</f>
        <v>8.595516447372308</v>
      </c>
      <c r="L7" s="127">
        <f>BR_A0001_f</f>
        <v>0.78187609418733417</v>
      </c>
      <c r="M7" s="127" t="e">
        <f>BR_A0001_t</f>
        <v>#REF!</v>
      </c>
      <c r="N7" s="128" t="e">
        <f t="shared" ref="N7:N17" si="1">H7*I7</f>
        <v>#REF!</v>
      </c>
      <c r="O7" s="129"/>
    </row>
    <row r="8" spans="1:15" ht="15" x14ac:dyDescent="0.25">
      <c r="A8" s="130"/>
      <c r="B8" s="131" t="str">
        <f>[1]SU_A0200!B3</f>
        <v>Suspension &amp; Shocks</v>
      </c>
      <c r="C8" s="132" t="str">
        <f>EL_01001</f>
        <v>SU_01001</v>
      </c>
      <c r="D8" s="133" t="s">
        <v>11</v>
      </c>
      <c r="E8" s="133" t="str">
        <f>F7</f>
        <v>Lower Front A-arm</v>
      </c>
      <c r="F8" s="134" t="str">
        <f>[1]SU_02001!B5</f>
        <v>Lower Front Bearing Support</v>
      </c>
      <c r="G8" s="133"/>
      <c r="H8" s="135" t="e">
        <f t="shared" si="0"/>
        <v>#REF!</v>
      </c>
      <c r="I8" s="136">
        <f>BR_A0001_q*BR_01001_q</f>
        <v>4</v>
      </c>
      <c r="J8" s="137">
        <f>BR_01001_m</f>
        <v>2.3578128</v>
      </c>
      <c r="K8" s="137">
        <f>BR_01001_p</f>
        <v>11.600000000000001</v>
      </c>
      <c r="L8" s="137" t="e">
        <f>BR_01001_f</f>
        <v>#REF!</v>
      </c>
      <c r="M8" s="137" t="e">
        <f>BR_01001_t</f>
        <v>#REF!</v>
      </c>
      <c r="N8" s="138" t="e">
        <f t="shared" si="1"/>
        <v>#REF!</v>
      </c>
      <c r="O8" s="139"/>
    </row>
    <row r="9" spans="1:15" ht="14.25" x14ac:dyDescent="0.2">
      <c r="A9" s="130"/>
      <c r="B9" s="131" t="str">
        <f>[1]SU_A0200!$B$3</f>
        <v>Suspension &amp; Shocks</v>
      </c>
      <c r="C9" s="133"/>
      <c r="D9" s="133" t="s">
        <v>11</v>
      </c>
      <c r="E9" s="133"/>
      <c r="F9" s="131"/>
      <c r="G9" s="133"/>
      <c r="H9" s="135">
        <f t="shared" si="0"/>
        <v>0</v>
      </c>
      <c r="I9" s="140"/>
      <c r="J9" s="137"/>
      <c r="K9" s="137"/>
      <c r="L9" s="137"/>
      <c r="M9" s="137"/>
      <c r="N9" s="138">
        <f t="shared" si="1"/>
        <v>0</v>
      </c>
      <c r="O9" s="139"/>
    </row>
    <row r="10" spans="1:15" ht="14.25" x14ac:dyDescent="0.2">
      <c r="A10" s="130"/>
      <c r="B10" s="131" t="str">
        <f>[1]SU_A0200!$B$3</f>
        <v>Suspension &amp; Shocks</v>
      </c>
      <c r="C10" s="133"/>
      <c r="D10" s="133" t="s">
        <v>11</v>
      </c>
      <c r="E10" s="133"/>
      <c r="F10" s="131"/>
      <c r="G10" s="133"/>
      <c r="H10" s="135">
        <f t="shared" si="0"/>
        <v>0</v>
      </c>
      <c r="I10" s="140"/>
      <c r="J10" s="137"/>
      <c r="K10" s="137"/>
      <c r="L10" s="137"/>
      <c r="M10" s="137"/>
      <c r="N10" s="138">
        <f t="shared" si="1"/>
        <v>0</v>
      </c>
      <c r="O10" s="139"/>
    </row>
    <row r="11" spans="1:15" ht="14.25" x14ac:dyDescent="0.2">
      <c r="A11" s="130"/>
      <c r="B11" s="131" t="str">
        <f>[1]SU_A0200!$B$3</f>
        <v>Suspension &amp; Shocks</v>
      </c>
      <c r="C11" s="133"/>
      <c r="D11" s="133" t="s">
        <v>11</v>
      </c>
      <c r="E11" s="133"/>
      <c r="F11" s="131"/>
      <c r="G11" s="133"/>
      <c r="H11" s="135">
        <f t="shared" si="0"/>
        <v>0</v>
      </c>
      <c r="I11" s="140"/>
      <c r="J11" s="137"/>
      <c r="K11" s="137"/>
      <c r="L11" s="137"/>
      <c r="M11" s="137"/>
      <c r="N11" s="138">
        <f t="shared" si="1"/>
        <v>0</v>
      </c>
      <c r="O11" s="139"/>
    </row>
    <row r="12" spans="1:15" ht="14.25" x14ac:dyDescent="0.2">
      <c r="A12" s="130"/>
      <c r="B12" s="131" t="str">
        <f>[1]SU_A0200!$B$3</f>
        <v>Suspension &amp; Shocks</v>
      </c>
      <c r="C12" s="133"/>
      <c r="D12" s="133" t="s">
        <v>11</v>
      </c>
      <c r="E12" s="133"/>
      <c r="F12" s="131"/>
      <c r="G12" s="133"/>
      <c r="H12" s="135">
        <f t="shared" si="0"/>
        <v>0</v>
      </c>
      <c r="I12" s="140"/>
      <c r="J12" s="137"/>
      <c r="K12" s="137"/>
      <c r="L12" s="137"/>
      <c r="M12" s="137"/>
      <c r="N12" s="138">
        <f t="shared" si="1"/>
        <v>0</v>
      </c>
      <c r="O12" s="139"/>
    </row>
    <row r="13" spans="1:15" ht="14.25" x14ac:dyDescent="0.2">
      <c r="A13" s="130"/>
      <c r="B13" s="131" t="str">
        <f>[1]SU_A0200!$B$3</f>
        <v>Suspension &amp; Shocks</v>
      </c>
      <c r="C13" s="133"/>
      <c r="D13" s="133" t="s">
        <v>11</v>
      </c>
      <c r="E13" s="133"/>
      <c r="F13" s="131"/>
      <c r="G13" s="133"/>
      <c r="H13" s="135">
        <f t="shared" si="0"/>
        <v>0</v>
      </c>
      <c r="I13" s="140"/>
      <c r="J13" s="137"/>
      <c r="K13" s="137"/>
      <c r="L13" s="137"/>
      <c r="M13" s="137"/>
      <c r="N13" s="138">
        <f t="shared" si="1"/>
        <v>0</v>
      </c>
      <c r="O13" s="139"/>
    </row>
    <row r="14" spans="1:15" ht="14.25" x14ac:dyDescent="0.2">
      <c r="A14" s="130"/>
      <c r="B14" s="131" t="str">
        <f>[1]SU_A0200!$B$3</f>
        <v>Suspension &amp; Shocks</v>
      </c>
      <c r="C14" s="133"/>
      <c r="D14" s="133" t="s">
        <v>11</v>
      </c>
      <c r="E14" s="133"/>
      <c r="F14" s="131"/>
      <c r="G14" s="133"/>
      <c r="H14" s="135">
        <f t="shared" si="0"/>
        <v>0</v>
      </c>
      <c r="I14" s="140"/>
      <c r="J14" s="137"/>
      <c r="K14" s="137"/>
      <c r="L14" s="137"/>
      <c r="M14" s="137"/>
      <c r="N14" s="138">
        <f t="shared" si="1"/>
        <v>0</v>
      </c>
      <c r="O14" s="139"/>
    </row>
    <row r="15" spans="1:15" ht="14.25" x14ac:dyDescent="0.2">
      <c r="A15" s="130"/>
      <c r="B15" s="131" t="str">
        <f>[1]SU_A0200!$B$3</f>
        <v>Suspension &amp; Shocks</v>
      </c>
      <c r="C15" s="133"/>
      <c r="D15" s="133" t="s">
        <v>11</v>
      </c>
      <c r="E15" s="133"/>
      <c r="F15" s="131"/>
      <c r="G15" s="141"/>
      <c r="H15" s="135">
        <f t="shared" si="0"/>
        <v>0</v>
      </c>
      <c r="I15" s="140"/>
      <c r="J15" s="137"/>
      <c r="K15" s="137"/>
      <c r="L15" s="137"/>
      <c r="M15" s="137"/>
      <c r="N15" s="138">
        <f t="shared" si="1"/>
        <v>0</v>
      </c>
      <c r="O15" s="139"/>
    </row>
    <row r="16" spans="1:15" ht="14.25" x14ac:dyDescent="0.2">
      <c r="A16" s="130"/>
      <c r="B16" s="131" t="str">
        <f>[1]SU_A0200!$B$3</f>
        <v>Suspension &amp; Shocks</v>
      </c>
      <c r="C16" s="133"/>
      <c r="D16" s="133" t="s">
        <v>11</v>
      </c>
      <c r="E16" s="133"/>
      <c r="F16" s="131"/>
      <c r="G16" s="133"/>
      <c r="H16" s="135">
        <f t="shared" si="0"/>
        <v>0</v>
      </c>
      <c r="I16" s="140"/>
      <c r="J16" s="137"/>
      <c r="K16" s="137"/>
      <c r="L16" s="137"/>
      <c r="M16" s="137"/>
      <c r="N16" s="138">
        <f t="shared" si="1"/>
        <v>0</v>
      </c>
      <c r="O16" s="139"/>
    </row>
    <row r="17" spans="1:15" ht="15" thickBot="1" x14ac:dyDescent="0.25">
      <c r="A17" s="130"/>
      <c r="B17" s="131" t="str">
        <f>[1]SU_A0200!$B$3</f>
        <v>Suspension &amp; Shocks</v>
      </c>
      <c r="C17" s="133"/>
      <c r="D17" s="133" t="s">
        <v>11</v>
      </c>
      <c r="E17" s="133"/>
      <c r="F17" s="131"/>
      <c r="G17" s="133"/>
      <c r="H17" s="135">
        <f t="shared" si="0"/>
        <v>0</v>
      </c>
      <c r="I17" s="140"/>
      <c r="J17" s="137"/>
      <c r="K17" s="137"/>
      <c r="L17" s="137"/>
      <c r="M17" s="137"/>
      <c r="N17" s="138">
        <f t="shared" si="1"/>
        <v>0</v>
      </c>
      <c r="O17" s="139"/>
    </row>
    <row r="18" spans="1:15" s="12" customFormat="1" ht="15.75" thickTop="1" thickBot="1" x14ac:dyDescent="0.25">
      <c r="A18" s="5"/>
      <c r="B18" s="43" t="str">
        <f>[1]SU_A0200!B3</f>
        <v>Suspension &amp; Shocks</v>
      </c>
      <c r="C18" s="1"/>
      <c r="D18" s="1"/>
      <c r="E18" s="1"/>
      <c r="F18" s="43" t="s">
        <v>60</v>
      </c>
      <c r="G18" s="1"/>
      <c r="H18" s="3"/>
      <c r="I18" s="4"/>
      <c r="J18" s="105">
        <f>SUMPRODUCT($I7:$I17,J7:J17)</f>
        <v>50.951251199999994</v>
      </c>
      <c r="K18" s="105">
        <f>SUMPRODUCT($I7:$I17,K7:K17)</f>
        <v>63.591032894744622</v>
      </c>
      <c r="L18" s="105" t="e">
        <f>SUMPRODUCT($I7:$I17,L7:L17)</f>
        <v>#REF!</v>
      </c>
      <c r="M18" s="105" t="e">
        <f>SUMPRODUCT($I7:$I17,M7:M17)</f>
        <v>#REF!</v>
      </c>
      <c r="N18" s="105" t="e">
        <f>SUM(N7:N17)</f>
        <v>#REF!</v>
      </c>
      <c r="O18" s="2"/>
    </row>
    <row r="19" spans="1:15" ht="13.5" thickTop="1" x14ac:dyDescent="0.2">
      <c r="A19" s="11"/>
      <c r="B19" s="44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4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7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7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4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4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4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4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4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4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4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4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4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4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4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4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4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4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4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4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4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4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4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4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4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4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4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4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4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4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4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4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4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4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4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4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4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4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4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zoomScale="68" zoomScaleNormal="68" zoomScaleSheetLayoutView="80" workbookViewId="0">
      <selection activeCell="B7" sqref="B7"/>
    </sheetView>
  </sheetViews>
  <sheetFormatPr baseColWidth="10" defaultColWidth="9.140625" defaultRowHeight="15" x14ac:dyDescent="0.25"/>
  <cols>
    <col min="2" max="2" width="57.140625" customWidth="1"/>
    <col min="3" max="3" width="55.7109375" customWidth="1"/>
    <col min="5" max="5" width="14.140625" customWidth="1"/>
    <col min="14" max="14" width="11.85546875" customWidth="1"/>
    <col min="15" max="15" width="5.28515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07" t="s">
        <v>0</v>
      </c>
      <c r="B2" s="16" t="s">
        <v>37</v>
      </c>
      <c r="C2" s="58"/>
      <c r="D2" s="58"/>
      <c r="E2" s="58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BR_A0001_pa+BR_A0001_m+BR_A0001_p+BR_A0001_f</f>
        <v>489.87263658789561</v>
      </c>
      <c r="O2" s="64"/>
    </row>
    <row r="3" spans="1:15" x14ac:dyDescent="0.25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25">
      <c r="A4" s="107" t="s">
        <v>5</v>
      </c>
      <c r="B4" s="59" t="s">
        <v>180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25">
      <c r="A5" s="107" t="s">
        <v>7</v>
      </c>
      <c r="B5" s="18" t="s">
        <v>131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979.74527317579123</v>
      </c>
      <c r="O5" s="64"/>
    </row>
    <row r="6" spans="1:15" x14ac:dyDescent="0.25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25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75">
        <v>10</v>
      </c>
      <c r="B10" s="95" t="str">
        <f>SU_01001!B5</f>
        <v>Upper Front Bearing Support</v>
      </c>
      <c r="C10" s="77">
        <f>SU_01001!N2</f>
        <v>13.957812800000001</v>
      </c>
      <c r="D10" s="144">
        <v>1</v>
      </c>
      <c r="E10" s="77">
        <f t="shared" ref="E10:E15" si="0">C10*D10</f>
        <v>13.957812800000001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25">
      <c r="A11" s="75">
        <v>20</v>
      </c>
      <c r="B11" s="95" t="str">
        <f>SU_01002!B5</f>
        <v>Inner Bearing Support</v>
      </c>
      <c r="C11" s="77">
        <f>SU_01002!N2</f>
        <v>4.6183805439999999</v>
      </c>
      <c r="D11" s="75">
        <v>2</v>
      </c>
      <c r="E11" s="77">
        <f t="shared" si="0"/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25">
      <c r="A12" s="75">
        <v>30</v>
      </c>
      <c r="B12" s="95" t="str">
        <f>SU_01003!B5</f>
        <v>Upper Front A-arm tube (Front)  Carbon Fiber Tube</v>
      </c>
      <c r="C12" s="77">
        <f>SU_01003!N2</f>
        <v>230.06737599999997</v>
      </c>
      <c r="D12" s="75">
        <v>1</v>
      </c>
      <c r="E12" s="77">
        <f t="shared" si="0"/>
        <v>230.06737599999997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25">
      <c r="A13" s="75">
        <v>40</v>
      </c>
      <c r="B13" s="95" t="str">
        <f>SU_01004!B5</f>
        <v>Upper Front A-arm tube (Back)  Carbon Fiber Tube</v>
      </c>
      <c r="C13" s="77">
        <f>SU_01004!N2</f>
        <v>186.38872000000001</v>
      </c>
      <c r="D13" s="75">
        <v>1</v>
      </c>
      <c r="E13" s="77">
        <f t="shared" si="0"/>
        <v>186.38872000000001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25">
      <c r="A14" s="75">
        <v>50</v>
      </c>
      <c r="B14" s="95" t="str">
        <f>SU_01005!B5</f>
        <v>Spacer</v>
      </c>
      <c r="C14" s="77">
        <f>SU_01005!N2</f>
        <v>2.6754945600000002</v>
      </c>
      <c r="D14">
        <v>6</v>
      </c>
      <c r="E14" s="77">
        <f t="shared" si="0"/>
        <v>16.05296736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25">
      <c r="A15" s="75">
        <v>60</v>
      </c>
      <c r="B15" s="95" t="str">
        <f>SU_01006!B5</f>
        <v>Outboard A-arm Insert</v>
      </c>
      <c r="C15" s="77">
        <f>SU_01006!N2</f>
        <v>2.015803399168</v>
      </c>
      <c r="D15" s="143">
        <v>2</v>
      </c>
      <c r="E15" s="77">
        <f t="shared" si="0"/>
        <v>4.031606798336</v>
      </c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x14ac:dyDescent="0.25">
      <c r="A16" s="65"/>
      <c r="B16" s="58"/>
      <c r="C16" s="58"/>
      <c r="D16" s="110" t="s">
        <v>18</v>
      </c>
      <c r="E16" s="109">
        <f>SUM(E10:E15)</f>
        <v>459.73524404633599</v>
      </c>
      <c r="F16" s="59"/>
      <c r="G16" s="59"/>
      <c r="H16" s="59"/>
      <c r="I16" s="59"/>
      <c r="J16" s="59"/>
      <c r="K16" s="59"/>
      <c r="L16" s="59"/>
      <c r="M16" s="59"/>
      <c r="N16" s="59"/>
      <c r="O16" s="64"/>
    </row>
    <row r="17" spans="1:15" x14ac:dyDescent="0.25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4"/>
    </row>
    <row r="18" spans="1:15" x14ac:dyDescent="0.25">
      <c r="A18" s="107" t="s">
        <v>14</v>
      </c>
      <c r="B18" s="107" t="s">
        <v>19</v>
      </c>
      <c r="C18" s="107" t="s">
        <v>20</v>
      </c>
      <c r="D18" s="107" t="s">
        <v>21</v>
      </c>
      <c r="E18" s="107" t="s">
        <v>22</v>
      </c>
      <c r="F18" s="107" t="s">
        <v>23</v>
      </c>
      <c r="G18" s="107" t="s">
        <v>24</v>
      </c>
      <c r="H18" s="107" t="s">
        <v>25</v>
      </c>
      <c r="I18" s="107" t="s">
        <v>26</v>
      </c>
      <c r="J18" s="107" t="s">
        <v>27</v>
      </c>
      <c r="K18" s="107" t="s">
        <v>28</v>
      </c>
      <c r="L18" s="107" t="s">
        <v>29</v>
      </c>
      <c r="M18" s="107" t="s">
        <v>17</v>
      </c>
      <c r="N18" s="107" t="s">
        <v>18</v>
      </c>
      <c r="O18" s="64"/>
    </row>
    <row r="19" spans="1:15" ht="14.45" customHeight="1" x14ac:dyDescent="0.25">
      <c r="A19" s="75">
        <v>10</v>
      </c>
      <c r="B19" s="75" t="s">
        <v>132</v>
      </c>
      <c r="C19" s="75"/>
      <c r="D19" s="142">
        <f>0.03*E19^2+5</f>
        <v>6.92</v>
      </c>
      <c r="E19" s="75">
        <v>8</v>
      </c>
      <c r="F19" s="75" t="s">
        <v>30</v>
      </c>
      <c r="G19" s="75"/>
      <c r="H19" s="78"/>
      <c r="I19" s="79"/>
      <c r="J19" s="80"/>
      <c r="K19" s="78"/>
      <c r="L19" s="78"/>
      <c r="M19" s="78">
        <v>3</v>
      </c>
      <c r="N19" s="77">
        <f>M19*D19</f>
        <v>20.759999999999998</v>
      </c>
      <c r="O19" s="64"/>
    </row>
    <row r="20" spans="1:15" s="23" customFormat="1" ht="14.45" customHeight="1" x14ac:dyDescent="0.25">
      <c r="A20" s="75">
        <v>20</v>
      </c>
      <c r="B20" s="164" t="s">
        <v>137</v>
      </c>
      <c r="C20" s="165" t="s">
        <v>138</v>
      </c>
      <c r="D20" s="77"/>
      <c r="E20" s="81"/>
      <c r="F20" s="81">
        <v>95</v>
      </c>
      <c r="G20" s="81"/>
      <c r="H20" s="78"/>
      <c r="I20" s="82"/>
      <c r="J20" s="106"/>
      <c r="K20" s="83"/>
      <c r="L20" s="84"/>
      <c r="M20" s="85"/>
      <c r="N20" s="77">
        <f>M20*D20</f>
        <v>0</v>
      </c>
      <c r="O20" s="69"/>
    </row>
    <row r="21" spans="1:15" ht="14.45" customHeight="1" x14ac:dyDescent="0.25">
      <c r="A21" s="75">
        <v>30</v>
      </c>
      <c r="B21" s="164" t="s">
        <v>137</v>
      </c>
      <c r="C21" s="165" t="s">
        <v>139</v>
      </c>
      <c r="D21" s="77"/>
      <c r="E21" s="75"/>
      <c r="F21" s="75"/>
      <c r="G21" s="75"/>
      <c r="H21" s="78"/>
      <c r="I21" s="85"/>
      <c r="J21" s="86"/>
      <c r="K21" s="78"/>
      <c r="L21" s="84"/>
      <c r="M21" s="78"/>
      <c r="N21" s="77">
        <f>M21*D21</f>
        <v>0</v>
      </c>
      <c r="O21" s="64"/>
    </row>
    <row r="22" spans="1:15" x14ac:dyDescent="0.25">
      <c r="A22" s="7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07" t="s">
        <v>18</v>
      </c>
      <c r="N22" s="109">
        <f>SUM(N19:N21)</f>
        <v>20.759999999999998</v>
      </c>
      <c r="O22" s="64"/>
    </row>
    <row r="23" spans="1:15" x14ac:dyDescent="0.25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4"/>
    </row>
    <row r="24" spans="1:15" s="26" customFormat="1" x14ac:dyDescent="0.25">
      <c r="A24" s="107" t="s">
        <v>14</v>
      </c>
      <c r="B24" s="107" t="s">
        <v>31</v>
      </c>
      <c r="C24" s="107" t="s">
        <v>20</v>
      </c>
      <c r="D24" s="107" t="s">
        <v>21</v>
      </c>
      <c r="E24" s="107" t="s">
        <v>32</v>
      </c>
      <c r="F24" s="107" t="s">
        <v>17</v>
      </c>
      <c r="G24" s="107" t="s">
        <v>33</v>
      </c>
      <c r="H24" s="107" t="s">
        <v>34</v>
      </c>
      <c r="I24" s="107" t="s">
        <v>18</v>
      </c>
      <c r="J24" s="25"/>
      <c r="K24" s="25"/>
      <c r="L24" s="25"/>
      <c r="M24" s="25"/>
      <c r="N24" s="25"/>
      <c r="O24" s="71"/>
    </row>
    <row r="25" spans="1:15" x14ac:dyDescent="0.25">
      <c r="A25" s="164">
        <v>10</v>
      </c>
      <c r="B25" s="166" t="s">
        <v>140</v>
      </c>
      <c r="C25" s="166" t="s">
        <v>141</v>
      </c>
      <c r="D25" s="145">
        <v>0.02</v>
      </c>
      <c r="E25" s="164" t="s">
        <v>142</v>
      </c>
      <c r="F25" s="167">
        <f>3*2*PI()*0.8*0.5</f>
        <v>7.5398223686155035</v>
      </c>
      <c r="G25" s="164"/>
      <c r="H25" s="164"/>
      <c r="I25" s="145">
        <f>D25*F25</f>
        <v>0.15079644737231007</v>
      </c>
      <c r="J25" s="58"/>
      <c r="K25" s="58"/>
      <c r="L25" s="58"/>
      <c r="M25" s="58"/>
      <c r="N25" s="58"/>
      <c r="O25" s="64"/>
    </row>
    <row r="26" spans="1:15" x14ac:dyDescent="0.25">
      <c r="A26" s="75">
        <v>20</v>
      </c>
      <c r="B26" s="88" t="s">
        <v>143</v>
      </c>
      <c r="C26" s="166" t="s">
        <v>144</v>
      </c>
      <c r="D26" s="77">
        <v>0.13</v>
      </c>
      <c r="E26" s="88" t="s">
        <v>35</v>
      </c>
      <c r="F26" s="87">
        <v>3</v>
      </c>
      <c r="G26" s="75"/>
      <c r="H26" s="75"/>
      <c r="I26" s="77">
        <f t="shared" ref="I26:I42" si="1">IF(H26="",D26*F26,D26*F26*H26)</f>
        <v>0.39</v>
      </c>
      <c r="J26" s="58"/>
      <c r="K26" s="58"/>
      <c r="L26" s="58"/>
      <c r="M26" s="58"/>
      <c r="N26" s="58"/>
      <c r="O26" s="64"/>
    </row>
    <row r="27" spans="1:15" ht="15" customHeight="1" x14ac:dyDescent="0.25">
      <c r="A27" s="75">
        <v>30</v>
      </c>
      <c r="B27" s="146" t="s">
        <v>145</v>
      </c>
      <c r="C27" s="75" t="s">
        <v>146</v>
      </c>
      <c r="D27" s="77">
        <v>0.02</v>
      </c>
      <c r="E27" s="75" t="s">
        <v>35</v>
      </c>
      <c r="F27" s="87">
        <v>4</v>
      </c>
      <c r="G27" s="75"/>
      <c r="H27" s="75"/>
      <c r="I27" s="77">
        <f t="shared" si="1"/>
        <v>0.08</v>
      </c>
      <c r="J27" s="58"/>
      <c r="K27" s="58"/>
      <c r="L27" s="58"/>
      <c r="M27" s="58"/>
      <c r="N27" s="58"/>
      <c r="O27" s="64"/>
    </row>
    <row r="28" spans="1:15" s="17" customFormat="1" x14ac:dyDescent="0.25">
      <c r="A28" s="75">
        <v>40</v>
      </c>
      <c r="B28" s="146" t="s">
        <v>145</v>
      </c>
      <c r="C28" s="75" t="s">
        <v>147</v>
      </c>
      <c r="D28" s="77">
        <v>0.02</v>
      </c>
      <c r="E28" s="75" t="s">
        <v>35</v>
      </c>
      <c r="F28" s="87">
        <v>6</v>
      </c>
      <c r="G28" s="75"/>
      <c r="H28" s="75"/>
      <c r="I28" s="77">
        <f t="shared" si="1"/>
        <v>0.12</v>
      </c>
      <c r="J28" s="59"/>
      <c r="K28" s="59"/>
      <c r="L28" s="59"/>
      <c r="M28" s="59"/>
      <c r="N28" s="59"/>
      <c r="O28" s="68"/>
    </row>
    <row r="29" spans="1:15" s="17" customFormat="1" x14ac:dyDescent="0.25">
      <c r="A29" s="75">
        <v>50</v>
      </c>
      <c r="B29" s="146" t="s">
        <v>148</v>
      </c>
      <c r="C29" s="75" t="s">
        <v>149</v>
      </c>
      <c r="D29" s="77">
        <v>0.02</v>
      </c>
      <c r="E29" s="75" t="s">
        <v>41</v>
      </c>
      <c r="F29" s="87">
        <v>18</v>
      </c>
      <c r="G29" s="75"/>
      <c r="H29" s="75"/>
      <c r="I29" s="77">
        <f t="shared" si="1"/>
        <v>0.36</v>
      </c>
      <c r="J29" s="59"/>
      <c r="K29" s="59"/>
      <c r="L29" s="59"/>
      <c r="M29" s="59"/>
      <c r="N29" s="59"/>
      <c r="O29" s="68"/>
    </row>
    <row r="30" spans="1:15" s="17" customFormat="1" x14ac:dyDescent="0.25">
      <c r="A30" s="75">
        <v>60</v>
      </c>
      <c r="B30" s="88" t="s">
        <v>177</v>
      </c>
      <c r="C30" s="75" t="s">
        <v>151</v>
      </c>
      <c r="D30" s="77">
        <v>0.13</v>
      </c>
      <c r="E30" s="88" t="s">
        <v>35</v>
      </c>
      <c r="F30" s="87">
        <v>2</v>
      </c>
      <c r="G30" s="75"/>
      <c r="H30" s="75"/>
      <c r="I30" s="77">
        <f t="shared" si="1"/>
        <v>0.26</v>
      </c>
      <c r="J30" s="59"/>
      <c r="K30" s="59"/>
      <c r="L30" s="59"/>
      <c r="M30" s="59"/>
      <c r="N30" s="59"/>
      <c r="O30" s="68"/>
    </row>
    <row r="31" spans="1:15" s="17" customFormat="1" x14ac:dyDescent="0.25">
      <c r="A31" s="164">
        <v>70</v>
      </c>
      <c r="B31" s="88" t="s">
        <v>177</v>
      </c>
      <c r="C31" s="75" t="s">
        <v>150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25">
      <c r="A32" s="75">
        <v>80</v>
      </c>
      <c r="B32" s="88" t="s">
        <v>177</v>
      </c>
      <c r="C32" s="75" t="s">
        <v>152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25">
      <c r="A33" s="75">
        <v>90</v>
      </c>
      <c r="B33" s="147" t="s">
        <v>153</v>
      </c>
      <c r="C33" s="75" t="s">
        <v>155</v>
      </c>
      <c r="D33" s="77">
        <v>10</v>
      </c>
      <c r="E33" s="75" t="s">
        <v>154</v>
      </c>
      <c r="F33" s="87">
        <f>6*0.03*2*3.14*0.06</f>
        <v>6.7823999999999995E-2</v>
      </c>
      <c r="G33" s="75"/>
      <c r="H33" s="75"/>
      <c r="I33" s="77">
        <f t="shared" si="1"/>
        <v>0.67823999999999995</v>
      </c>
      <c r="J33" s="59"/>
      <c r="K33" s="59"/>
      <c r="L33" s="59"/>
      <c r="M33" s="59"/>
      <c r="N33" s="59"/>
      <c r="O33" s="68"/>
    </row>
    <row r="34" spans="1:15" s="17" customFormat="1" x14ac:dyDescent="0.25">
      <c r="A34" s="75">
        <v>100</v>
      </c>
      <c r="B34" s="147" t="s">
        <v>157</v>
      </c>
      <c r="C34" s="75" t="s">
        <v>156</v>
      </c>
      <c r="D34" s="77">
        <v>20</v>
      </c>
      <c r="E34" s="75" t="s">
        <v>154</v>
      </c>
      <c r="F34" s="87">
        <f>6*0.03*2*3.14*0.06</f>
        <v>6.7823999999999995E-2</v>
      </c>
      <c r="G34" s="75"/>
      <c r="H34" s="75"/>
      <c r="I34" s="77">
        <f t="shared" si="1"/>
        <v>1.3564799999999999</v>
      </c>
      <c r="J34" s="59"/>
      <c r="K34" s="59"/>
      <c r="L34" s="59"/>
      <c r="M34" s="59"/>
      <c r="N34" s="59"/>
      <c r="O34" s="68"/>
    </row>
    <row r="35" spans="1:15" s="17" customFormat="1" x14ac:dyDescent="0.25">
      <c r="A35" s="75">
        <v>110</v>
      </c>
      <c r="B35" s="166" t="s">
        <v>158</v>
      </c>
      <c r="C35" s="166" t="s">
        <v>159</v>
      </c>
      <c r="D35" s="145">
        <v>0.06</v>
      </c>
      <c r="E35" s="164" t="s">
        <v>32</v>
      </c>
      <c r="F35" s="164">
        <v>1</v>
      </c>
      <c r="G35" s="75"/>
      <c r="H35" s="75"/>
      <c r="I35" s="77">
        <f t="shared" si="1"/>
        <v>0.06</v>
      </c>
      <c r="J35" s="59"/>
      <c r="K35" s="59"/>
      <c r="L35" s="59"/>
      <c r="M35" s="59"/>
      <c r="N35" s="59"/>
      <c r="O35" s="68"/>
    </row>
    <row r="36" spans="1:15" s="17" customFormat="1" x14ac:dyDescent="0.25">
      <c r="A36" s="75">
        <v>120</v>
      </c>
      <c r="B36" s="168" t="s">
        <v>160</v>
      </c>
      <c r="C36" s="168" t="s">
        <v>161</v>
      </c>
      <c r="D36" s="148">
        <v>0.13</v>
      </c>
      <c r="E36" s="169" t="s">
        <v>32</v>
      </c>
      <c r="F36" s="169">
        <v>4</v>
      </c>
      <c r="G36" s="75"/>
      <c r="H36" s="75"/>
      <c r="I36" s="77">
        <f t="shared" si="1"/>
        <v>0.52</v>
      </c>
      <c r="J36" s="59"/>
      <c r="K36" s="59"/>
      <c r="L36" s="59"/>
      <c r="M36" s="59"/>
      <c r="N36" s="59"/>
      <c r="O36" s="68"/>
    </row>
    <row r="37" spans="1:15" s="17" customFormat="1" x14ac:dyDescent="0.25">
      <c r="A37" s="75">
        <v>130</v>
      </c>
      <c r="B37" s="170" t="s">
        <v>160</v>
      </c>
      <c r="C37" s="170" t="s">
        <v>162</v>
      </c>
      <c r="D37" s="149">
        <v>0.13</v>
      </c>
      <c r="E37" s="171" t="s">
        <v>32</v>
      </c>
      <c r="F37" s="171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25">
      <c r="A38" s="75">
        <v>140</v>
      </c>
      <c r="B38" s="170" t="s">
        <v>158</v>
      </c>
      <c r="C38" s="170" t="s">
        <v>163</v>
      </c>
      <c r="D38" s="149">
        <v>0.06</v>
      </c>
      <c r="E38" s="171" t="s">
        <v>32</v>
      </c>
      <c r="F38" s="171">
        <v>1</v>
      </c>
      <c r="G38" s="75"/>
      <c r="H38" s="75"/>
      <c r="I38" s="77">
        <f t="shared" si="1"/>
        <v>0.06</v>
      </c>
      <c r="J38" s="59"/>
      <c r="K38" s="59"/>
      <c r="L38" s="59"/>
      <c r="M38" s="59"/>
      <c r="N38" s="59"/>
      <c r="O38" s="68"/>
    </row>
    <row r="39" spans="1:15" s="17" customFormat="1" x14ac:dyDescent="0.25">
      <c r="A39" s="75">
        <v>150</v>
      </c>
      <c r="B39" s="170" t="s">
        <v>160</v>
      </c>
      <c r="C39" s="170" t="s">
        <v>164</v>
      </c>
      <c r="D39" s="149">
        <v>0.13</v>
      </c>
      <c r="E39" s="171" t="s">
        <v>32</v>
      </c>
      <c r="F39" s="171">
        <v>2</v>
      </c>
      <c r="G39" s="75"/>
      <c r="H39" s="75"/>
      <c r="I39" s="77">
        <f t="shared" si="1"/>
        <v>0.26</v>
      </c>
      <c r="J39" s="59"/>
      <c r="K39" s="59"/>
      <c r="L39" s="59"/>
      <c r="M39" s="59"/>
      <c r="N39" s="59"/>
      <c r="O39" s="68"/>
    </row>
    <row r="40" spans="1:15" s="17" customFormat="1" x14ac:dyDescent="0.25">
      <c r="A40" s="75">
        <v>160</v>
      </c>
      <c r="B40" s="170" t="s">
        <v>160</v>
      </c>
      <c r="C40" s="170" t="s">
        <v>165</v>
      </c>
      <c r="D40" s="149">
        <v>0.13</v>
      </c>
      <c r="E40" s="171" t="s">
        <v>32</v>
      </c>
      <c r="F40" s="171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26" customFormat="1" x14ac:dyDescent="0.25">
      <c r="A41" s="75">
        <v>170</v>
      </c>
      <c r="B41" s="172" t="s">
        <v>166</v>
      </c>
      <c r="C41" s="173" t="s">
        <v>167</v>
      </c>
      <c r="D41" s="149">
        <v>0.75</v>
      </c>
      <c r="E41" s="171" t="s">
        <v>32</v>
      </c>
      <c r="F41" s="171">
        <v>3</v>
      </c>
      <c r="G41" s="87"/>
      <c r="H41" s="87"/>
      <c r="I41" s="77">
        <f t="shared" si="1"/>
        <v>2.25</v>
      </c>
      <c r="J41" s="59"/>
      <c r="K41" s="59"/>
      <c r="L41" s="59"/>
      <c r="M41" s="59"/>
      <c r="N41" s="59"/>
      <c r="O41" s="71"/>
    </row>
    <row r="42" spans="1:15" s="17" customFormat="1" x14ac:dyDescent="0.25">
      <c r="A42" s="75">
        <v>180</v>
      </c>
      <c r="B42" s="172" t="s">
        <v>168</v>
      </c>
      <c r="C42" s="173" t="s">
        <v>169</v>
      </c>
      <c r="D42" s="149">
        <v>0.25</v>
      </c>
      <c r="E42" s="173" t="s">
        <v>32</v>
      </c>
      <c r="F42" s="171">
        <v>3</v>
      </c>
      <c r="G42" s="75"/>
      <c r="H42" s="75"/>
      <c r="I42" s="77">
        <f t="shared" si="1"/>
        <v>0.75</v>
      </c>
      <c r="J42" s="59"/>
      <c r="K42" s="59"/>
      <c r="L42" s="59"/>
      <c r="M42" s="59"/>
      <c r="N42" s="59"/>
      <c r="O42" s="68"/>
    </row>
    <row r="43" spans="1:15" x14ac:dyDescent="0.25">
      <c r="A43" s="70"/>
      <c r="B43" s="25"/>
      <c r="C43" s="25"/>
      <c r="D43" s="25"/>
      <c r="E43" s="25"/>
      <c r="F43" s="25"/>
      <c r="G43" s="25"/>
      <c r="H43" s="110" t="s">
        <v>18</v>
      </c>
      <c r="I43" s="109">
        <f>SUM(I25:I42)</f>
        <v>8.595516447372308</v>
      </c>
      <c r="J43" s="58"/>
      <c r="K43" s="58"/>
      <c r="L43" s="58"/>
      <c r="M43" s="58"/>
      <c r="N43" s="58"/>
      <c r="O43" s="64"/>
    </row>
    <row r="44" spans="1:15" x14ac:dyDescent="0.25">
      <c r="A44" s="65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64"/>
    </row>
    <row r="45" spans="1:15" x14ac:dyDescent="0.25">
      <c r="A45" s="107" t="s">
        <v>14</v>
      </c>
      <c r="B45" s="107" t="s">
        <v>36</v>
      </c>
      <c r="C45" s="107" t="s">
        <v>20</v>
      </c>
      <c r="D45" s="107" t="s">
        <v>21</v>
      </c>
      <c r="E45" s="107" t="s">
        <v>22</v>
      </c>
      <c r="F45" s="107" t="s">
        <v>23</v>
      </c>
      <c r="G45" s="107" t="s">
        <v>24</v>
      </c>
      <c r="H45" s="107" t="s">
        <v>25</v>
      </c>
      <c r="I45" s="107" t="s">
        <v>17</v>
      </c>
      <c r="J45" s="107" t="s">
        <v>18</v>
      </c>
      <c r="K45" s="58"/>
      <c r="L45" s="58"/>
      <c r="M45" s="58"/>
      <c r="N45" s="58"/>
      <c r="O45" s="64"/>
    </row>
    <row r="46" spans="1:15" x14ac:dyDescent="0.25">
      <c r="A46" s="164">
        <v>10</v>
      </c>
      <c r="B46" s="164" t="s">
        <v>170</v>
      </c>
      <c r="C46" s="164" t="s">
        <v>171</v>
      </c>
      <c r="D46" s="174">
        <f>0.8/105154*E46^2*G46*SQRT(G46)+(0.003*EXP(0.319*E46))</f>
        <v>0.16167651505774214</v>
      </c>
      <c r="E46" s="164">
        <v>8</v>
      </c>
      <c r="F46" s="150" t="s">
        <v>30</v>
      </c>
      <c r="G46" s="175">
        <v>40</v>
      </c>
      <c r="H46" s="166" t="s">
        <v>30</v>
      </c>
      <c r="I46" s="151">
        <v>2</v>
      </c>
      <c r="J46" s="152">
        <f>D46*I46</f>
        <v>0.32335303011548427</v>
      </c>
      <c r="K46" s="58"/>
      <c r="L46" s="58"/>
      <c r="M46" s="58"/>
      <c r="N46" s="58"/>
      <c r="O46" s="64"/>
    </row>
    <row r="47" spans="1:15" x14ac:dyDescent="0.25">
      <c r="A47" s="164">
        <v>20</v>
      </c>
      <c r="B47" s="164" t="s">
        <v>170</v>
      </c>
      <c r="C47" s="164" t="s">
        <v>172</v>
      </c>
      <c r="D47" s="174">
        <f>0.8/105154*E47^2*G47*SQRT(G47)+(0.003*EXP(0.319*E47))</f>
        <v>0.26479118861318168</v>
      </c>
      <c r="E47" s="164">
        <v>8</v>
      </c>
      <c r="F47" s="150" t="s">
        <v>30</v>
      </c>
      <c r="G47" s="175">
        <v>60</v>
      </c>
      <c r="H47" s="166" t="s">
        <v>30</v>
      </c>
      <c r="I47" s="153">
        <v>1</v>
      </c>
      <c r="J47" s="145">
        <f>D47*I47</f>
        <v>0.26479118861318168</v>
      </c>
      <c r="K47" s="58"/>
      <c r="L47" s="58"/>
      <c r="M47" s="58"/>
      <c r="N47" s="58"/>
      <c r="O47" s="64"/>
    </row>
    <row r="48" spans="1:15" x14ac:dyDescent="0.25">
      <c r="A48" s="164">
        <v>30</v>
      </c>
      <c r="B48" s="164" t="s">
        <v>173</v>
      </c>
      <c r="C48" s="164" t="s">
        <v>174</v>
      </c>
      <c r="D48" s="176">
        <f>(0.009*EXP(0.2*E48))</f>
        <v>4.4577291819556032E-2</v>
      </c>
      <c r="E48" s="164">
        <v>8</v>
      </c>
      <c r="F48" s="150" t="s">
        <v>30</v>
      </c>
      <c r="G48" s="164"/>
      <c r="H48" s="166"/>
      <c r="I48" s="153">
        <v>3</v>
      </c>
      <c r="J48" s="145">
        <f>D48*I48</f>
        <v>0.1337318754586681</v>
      </c>
      <c r="K48" s="58"/>
      <c r="L48" s="58"/>
      <c r="M48" s="58"/>
      <c r="N48" s="58"/>
      <c r="O48" s="64"/>
    </row>
    <row r="49" spans="1:15" x14ac:dyDescent="0.25">
      <c r="A49" s="164">
        <v>40</v>
      </c>
      <c r="B49" s="164" t="s">
        <v>175</v>
      </c>
      <c r="C49" s="164" t="s">
        <v>176</v>
      </c>
      <c r="D49" s="164">
        <v>0.01</v>
      </c>
      <c r="E49" s="164">
        <v>8</v>
      </c>
      <c r="F49" s="150" t="s">
        <v>30</v>
      </c>
      <c r="G49" s="164"/>
      <c r="H49" s="166"/>
      <c r="I49" s="153">
        <v>6</v>
      </c>
      <c r="J49" s="145">
        <f>D49*I49</f>
        <v>0.06</v>
      </c>
      <c r="K49" s="60"/>
      <c r="L49" s="60"/>
      <c r="M49" s="60"/>
      <c r="N49" s="60"/>
      <c r="O49" s="64"/>
    </row>
    <row r="50" spans="1:15" x14ac:dyDescent="0.25">
      <c r="A50" s="70"/>
      <c r="B50" s="25"/>
      <c r="C50" s="25"/>
      <c r="D50" s="25"/>
      <c r="E50" s="25"/>
      <c r="F50" s="25"/>
      <c r="G50" s="25"/>
      <c r="H50" s="25"/>
      <c r="I50" s="110" t="s">
        <v>18</v>
      </c>
      <c r="J50" s="109">
        <f>SUM(J46:J49)</f>
        <v>0.78187609418733417</v>
      </c>
      <c r="K50" s="58"/>
      <c r="L50" s="58"/>
      <c r="M50" s="58"/>
      <c r="N50" s="58"/>
      <c r="O50" s="64"/>
    </row>
    <row r="51" spans="1:15" x14ac:dyDescent="0.25">
      <c r="A51" s="65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64"/>
    </row>
    <row r="52" spans="1:15" ht="15.75" thickBot="1" x14ac:dyDescent="0.3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4"/>
    </row>
    <row r="53" spans="1:15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</sheetData>
  <hyperlinks>
    <hyperlink ref="B10" location="BR_01001" display="BR_01001"/>
    <hyperlink ref="B11:B13" location="BR_01001" display="BR_01001"/>
    <hyperlink ref="B14" location="SU_01005!B5" display="SU_01005!B5"/>
    <hyperlink ref="B15" location="SU_01006!B5" display="SU_01006!B5"/>
    <hyperlink ref="B11" location="SU_01002!B5" display="SU_01002!B5"/>
    <hyperlink ref="B12" location="SU_01003!B5" display="SU_01003!B5"/>
    <hyperlink ref="B13" location="SU_01004!B5" display="SU_01004!B5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96" zoomScaleNormal="96" workbookViewId="0">
      <selection activeCell="B6" sqref="B6"/>
    </sheetView>
  </sheetViews>
  <sheetFormatPr baseColWidth="10" defaultColWidth="9.140625" defaultRowHeight="15" x14ac:dyDescent="0.25"/>
  <cols>
    <col min="3" max="3" width="24.5703125" customWidth="1"/>
    <col min="10" max="10" width="10" bestFit="1" customWidth="1"/>
    <col min="15" max="15" width="3.140625" customWidth="1"/>
    <col min="18" max="19" width="16.28515625" bestFit="1" customWidth="1"/>
  </cols>
  <sheetData>
    <row r="1" spans="1:19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BR_01001_m+BR_01001_p</f>
        <v>13.957812800000001</v>
      </c>
      <c r="O2" s="64"/>
    </row>
    <row r="3" spans="1:19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9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25">
      <c r="A5" s="111" t="s">
        <v>15</v>
      </c>
      <c r="B5" s="18" t="s">
        <v>181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27.915625600000002</v>
      </c>
      <c r="O5" s="64"/>
    </row>
    <row r="6" spans="1:19" x14ac:dyDescent="0.25">
      <c r="A6" s="111" t="s">
        <v>7</v>
      </c>
      <c r="B6" s="29" t="s">
        <v>203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25">
      <c r="A11" s="92">
        <v>10</v>
      </c>
      <c r="B11" s="27" t="s">
        <v>133</v>
      </c>
      <c r="C11" s="21" t="s">
        <v>38</v>
      </c>
      <c r="D11" s="31">
        <f>J11*K11*L11*4.2/1000000000</f>
        <v>4.2440630400000003</v>
      </c>
      <c r="E11" s="21"/>
      <c r="F11" s="21"/>
      <c r="G11" s="21"/>
      <c r="H11" s="20"/>
      <c r="I11" s="22" t="s">
        <v>134</v>
      </c>
      <c r="J11" s="106">
        <f>90*90</f>
        <v>8100</v>
      </c>
      <c r="K11" s="83">
        <v>46</v>
      </c>
      <c r="L11" s="84">
        <v>2712</v>
      </c>
      <c r="M11" s="24">
        <v>1</v>
      </c>
      <c r="N11" s="31">
        <f>D11*M11</f>
        <v>4.2440630400000003</v>
      </c>
      <c r="O11" s="69"/>
    </row>
    <row r="12" spans="1:19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4.2440630400000003</v>
      </c>
      <c r="O12" s="64"/>
    </row>
    <row r="13" spans="1:19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55"/>
    </row>
    <row r="14" spans="1:19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5"/>
    </row>
    <row r="15" spans="1:19" s="26" customFormat="1" ht="75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30" x14ac:dyDescent="0.25">
      <c r="A16" s="66">
        <v>20</v>
      </c>
      <c r="B16" s="154" t="s">
        <v>184</v>
      </c>
      <c r="C16" s="19" t="s">
        <v>40</v>
      </c>
      <c r="D16" s="31">
        <v>0.04</v>
      </c>
      <c r="E16" s="28" t="s">
        <v>186</v>
      </c>
      <c r="F16" s="34">
        <v>153</v>
      </c>
      <c r="G16" s="28"/>
      <c r="H16" s="27"/>
      <c r="I16" s="31">
        <f t="shared" si="0"/>
        <v>6.12</v>
      </c>
      <c r="J16" s="58"/>
      <c r="K16" s="58"/>
      <c r="L16" s="58"/>
      <c r="M16" s="58"/>
      <c r="N16" s="58"/>
      <c r="O16" s="64"/>
      <c r="R16" s="155"/>
    </row>
    <row r="17" spans="1:18" s="17" customFormat="1" ht="45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56"/>
    </row>
    <row r="18" spans="1:18" ht="30" x14ac:dyDescent="0.25">
      <c r="A18" s="66">
        <v>40</v>
      </c>
      <c r="B18" s="154" t="s">
        <v>184</v>
      </c>
      <c r="C18" s="19" t="s">
        <v>40</v>
      </c>
      <c r="D18" s="31">
        <v>0.04</v>
      </c>
      <c r="E18" s="28" t="s">
        <v>186</v>
      </c>
      <c r="F18" s="34">
        <v>51</v>
      </c>
      <c r="G18" s="28"/>
      <c r="H18" s="27"/>
      <c r="I18" s="31">
        <f t="shared" si="0"/>
        <v>2.04</v>
      </c>
      <c r="J18" s="58"/>
      <c r="K18" s="58"/>
      <c r="L18" s="58"/>
      <c r="M18" s="58"/>
      <c r="N18" s="58"/>
      <c r="O18" s="64"/>
      <c r="R18" s="155"/>
    </row>
    <row r="19" spans="1:18" ht="45" x14ac:dyDescent="0.25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5"/>
    </row>
    <row r="20" spans="1:18" ht="30" x14ac:dyDescent="0.25">
      <c r="A20" s="94">
        <v>60</v>
      </c>
      <c r="B20" s="154" t="s">
        <v>184</v>
      </c>
      <c r="C20" s="19" t="s">
        <v>40</v>
      </c>
      <c r="D20" s="31">
        <v>0.04</v>
      </c>
      <c r="E20" s="28" t="s">
        <v>186</v>
      </c>
      <c r="F20" s="27">
        <v>102</v>
      </c>
      <c r="G20" s="27"/>
      <c r="H20" s="27"/>
      <c r="I20" s="31">
        <f t="shared" si="0"/>
        <v>4.08</v>
      </c>
      <c r="J20" s="58"/>
      <c r="K20" s="58"/>
      <c r="L20" s="58"/>
      <c r="M20" s="58"/>
      <c r="N20" s="58"/>
      <c r="O20" s="64"/>
    </row>
    <row r="21" spans="1:18" x14ac:dyDescent="0.25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14.84</v>
      </c>
      <c r="J21" s="25"/>
      <c r="K21" s="25"/>
      <c r="L21" s="25"/>
      <c r="M21" s="25"/>
      <c r="N21" s="25"/>
      <c r="O21" s="64"/>
    </row>
    <row r="22" spans="1:18" ht="15.75" thickBot="1" x14ac:dyDescent="0.3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BR_A0001" display="BR_A000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workbookViewId="0">
      <selection activeCell="R16" sqref="R16"/>
    </sheetView>
  </sheetViews>
  <sheetFormatPr baseColWidth="10" defaultRowHeight="15" x14ac:dyDescent="0.25"/>
  <cols>
    <col min="2" max="2" width="23.140625" customWidth="1"/>
    <col min="9" max="9" width="21.42578125" customWidth="1"/>
    <col min="18" max="18" width="13.85546875" bestFit="1" customWidth="1"/>
  </cols>
  <sheetData>
    <row r="1" spans="1:19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9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25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18.473522175999999</v>
      </c>
      <c r="O5" s="64"/>
    </row>
    <row r="6" spans="1:19" x14ac:dyDescent="0.25">
      <c r="A6" s="111" t="s">
        <v>7</v>
      </c>
      <c r="B6" s="29" t="s">
        <v>200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25">
      <c r="A11" s="92">
        <v>10</v>
      </c>
      <c r="B11" s="27" t="s">
        <v>133</v>
      </c>
      <c r="C11" s="21" t="s">
        <v>38</v>
      </c>
      <c r="D11" s="31">
        <f>4.2</f>
        <v>4.2</v>
      </c>
      <c r="E11" s="157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55"/>
      <c r="S13" s="155"/>
    </row>
    <row r="14" spans="1:19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5"/>
    </row>
    <row r="15" spans="1:19" ht="30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8"/>
      <c r="S15" s="26"/>
    </row>
    <row r="16" spans="1:19" x14ac:dyDescent="0.25">
      <c r="A16" s="66">
        <v>20</v>
      </c>
      <c r="B16" s="154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55"/>
    </row>
    <row r="17" spans="1:19" ht="30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56"/>
      <c r="S17" s="17"/>
    </row>
    <row r="18" spans="1:19" x14ac:dyDescent="0.25">
      <c r="A18" s="66">
        <v>40</v>
      </c>
      <c r="B18" s="154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55"/>
    </row>
    <row r="19" spans="1:19" ht="30" x14ac:dyDescent="0.25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5"/>
    </row>
    <row r="20" spans="1:19" x14ac:dyDescent="0.25">
      <c r="A20" s="94">
        <v>60</v>
      </c>
      <c r="B20" s="154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25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.75" thickBot="1" x14ac:dyDescent="0.3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BR_A0001" display="BR_A0001"/>
    <hyperlink ref="E3" location="dBR_01001" display="Drawing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workbookViewId="0">
      <selection activeCell="E3" sqref="E3"/>
    </sheetView>
  </sheetViews>
  <sheetFormatPr baseColWidth="10" defaultRowHeight="15" x14ac:dyDescent="0.25"/>
  <cols>
    <col min="2" max="2" width="19.42578125" customWidth="1"/>
    <col min="3" max="3" width="33" customWidth="1"/>
    <col min="5" max="5" width="13.85546875" bestFit="1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230.06737599999997</v>
      </c>
      <c r="O2" s="64"/>
    </row>
    <row r="3" spans="1:15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25">
      <c r="A5" s="111" t="s">
        <v>15</v>
      </c>
      <c r="B5" s="76" t="s">
        <v>179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460.13475199999993</v>
      </c>
      <c r="O5" s="64"/>
    </row>
    <row r="6" spans="1:15" x14ac:dyDescent="0.25">
      <c r="A6" s="111" t="s">
        <v>7</v>
      </c>
      <c r="B6" s="29" t="s">
        <v>205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25">
      <c r="A11" s="92">
        <v>10</v>
      </c>
      <c r="B11" s="27" t="s">
        <v>133</v>
      </c>
      <c r="C11" s="21" t="s">
        <v>38</v>
      </c>
      <c r="D11" s="159">
        <v>9.1999999999999998E-3</v>
      </c>
      <c r="E11" s="157">
        <f>J11*K11</f>
        <v>24969.279999999999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284</v>
      </c>
      <c r="L11" s="84"/>
      <c r="M11" s="24">
        <v>1</v>
      </c>
      <c r="N11" s="31">
        <f>D11*E11</f>
        <v>229.71737599999997</v>
      </c>
      <c r="O11" s="69"/>
    </row>
    <row r="12" spans="1:15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229.71737599999997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30" x14ac:dyDescent="0.25">
      <c r="A15" s="93">
        <v>10</v>
      </c>
      <c r="B15" s="154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25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.75" thickBot="1" x14ac:dyDescent="0.3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BR_A0001" display="BR_A000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workbookViewId="0">
      <selection activeCell="B6" sqref="B6"/>
    </sheetView>
  </sheetViews>
  <sheetFormatPr baseColWidth="10" defaultRowHeight="15" x14ac:dyDescent="0.25"/>
  <cols>
    <col min="2" max="2" width="33.85546875" customWidth="1"/>
    <col min="3" max="3" width="46.7109375" customWidth="1"/>
    <col min="5" max="5" width="13.85546875" bestFit="1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186.38872000000001</v>
      </c>
      <c r="O2" s="64"/>
    </row>
    <row r="3" spans="1:15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25">
      <c r="A5" s="111" t="s">
        <v>15</v>
      </c>
      <c r="B5" s="76" t="s">
        <v>178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372.77744000000001</v>
      </c>
      <c r="O5" s="64"/>
    </row>
    <row r="6" spans="1:15" x14ac:dyDescent="0.25">
      <c r="A6" s="111" t="s">
        <v>7</v>
      </c>
      <c r="B6" s="29" t="s">
        <v>204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25">
      <c r="A11" s="92">
        <v>10</v>
      </c>
      <c r="B11" s="27" t="s">
        <v>133</v>
      </c>
      <c r="C11" s="21" t="s">
        <v>38</v>
      </c>
      <c r="D11" s="159">
        <v>9.1999999999999998E-3</v>
      </c>
      <c r="E11" s="157">
        <f>J11*K11</f>
        <v>20221.600000000002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230</v>
      </c>
      <c r="L11" s="84"/>
      <c r="M11" s="24">
        <v>1</v>
      </c>
      <c r="N11" s="31">
        <f>D11*E11</f>
        <v>186.03872000000001</v>
      </c>
      <c r="O11" s="69"/>
    </row>
    <row r="12" spans="1:15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186.03872000000001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30" x14ac:dyDescent="0.25">
      <c r="A15" s="93">
        <v>10</v>
      </c>
      <c r="B15" s="154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25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.75" thickBot="1" x14ac:dyDescent="0.3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BR_A0001" display="BR_A0001"/>
    <hyperlink ref="E3" location="dBR_01001" display="Drawing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workbookViewId="0">
      <selection activeCell="Q14" sqref="Q14"/>
    </sheetView>
  </sheetViews>
  <sheetFormatPr baseColWidth="10" defaultRowHeight="15" x14ac:dyDescent="0.25"/>
  <cols>
    <col min="2" max="2" width="25.140625" customWidth="1"/>
    <col min="3" max="3" width="30.5703125" customWidth="1"/>
    <col min="9" max="9" width="14" customWidth="1"/>
    <col min="17" max="17" width="12.85546875" bestFit="1" customWidth="1"/>
  </cols>
  <sheetData>
    <row r="1" spans="1:17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2.6754945600000002</v>
      </c>
      <c r="O2" s="64"/>
    </row>
    <row r="3" spans="1:17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12</v>
      </c>
      <c r="O3" s="64"/>
    </row>
    <row r="4" spans="1:17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25">
      <c r="A5" s="111" t="s">
        <v>15</v>
      </c>
      <c r="B5" s="18" t="s">
        <v>193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32.10593472</v>
      </c>
      <c r="O5" s="64"/>
    </row>
    <row r="6" spans="1:17" x14ac:dyDescent="0.25">
      <c r="A6" s="111" t="s">
        <v>7</v>
      </c>
      <c r="B6" s="29" t="s">
        <v>201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25">
      <c r="A11" s="92">
        <v>10</v>
      </c>
      <c r="B11" s="27" t="s">
        <v>195</v>
      </c>
      <c r="C11" s="21" t="s">
        <v>38</v>
      </c>
      <c r="D11" s="31">
        <v>2.25</v>
      </c>
      <c r="E11" s="157">
        <f>J11*K11*L11/1000000000</f>
        <v>1.5775360000000002E-2</v>
      </c>
      <c r="F11" s="21" t="s">
        <v>187</v>
      </c>
      <c r="G11" s="21"/>
      <c r="H11" s="20"/>
      <c r="I11" s="22" t="s">
        <v>194</v>
      </c>
      <c r="J11" s="106">
        <f>3.14*8*8</f>
        <v>200.96</v>
      </c>
      <c r="K11" s="83">
        <v>10</v>
      </c>
      <c r="L11" s="84">
        <v>7850</v>
      </c>
      <c r="M11" s="24">
        <v>1</v>
      </c>
      <c r="N11" s="31">
        <f>D11*E11</f>
        <v>3.5494560000000008E-2</v>
      </c>
      <c r="O11" s="69"/>
      <c r="Q11" s="155"/>
    </row>
    <row r="12" spans="1:17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3.5494560000000008E-2</v>
      </c>
      <c r="O12" s="64"/>
    </row>
    <row r="13" spans="1:17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30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25">
      <c r="A16" s="66">
        <v>20</v>
      </c>
      <c r="B16" s="154" t="s">
        <v>184</v>
      </c>
      <c r="C16" s="19" t="s">
        <v>196</v>
      </c>
      <c r="D16" s="31">
        <v>0.04</v>
      </c>
      <c r="E16" s="28" t="s">
        <v>186</v>
      </c>
      <c r="F16" s="160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25">
      <c r="A18" s="66">
        <v>40</v>
      </c>
      <c r="B18" s="154" t="s">
        <v>184</v>
      </c>
      <c r="C18" s="19" t="s">
        <v>198</v>
      </c>
      <c r="D18" s="31">
        <v>0.04</v>
      </c>
      <c r="E18" s="28" t="s">
        <v>186</v>
      </c>
      <c r="F18" s="160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25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25">
      <c r="A20" s="94">
        <v>60</v>
      </c>
      <c r="B20" s="154" t="s">
        <v>184</v>
      </c>
      <c r="C20" s="19" t="s">
        <v>197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25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.75" thickBot="1" x14ac:dyDescent="0.3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BR_A0001" display="BR_A0001"/>
    <hyperlink ref="E3" location="'SU Drawing Part 5'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tabSelected="1" workbookViewId="0">
      <selection activeCell="E3" sqref="E3"/>
    </sheetView>
  </sheetViews>
  <sheetFormatPr baseColWidth="10" defaultRowHeight="15" x14ac:dyDescent="0.25"/>
  <cols>
    <col min="2" max="2" width="28.7109375" customWidth="1"/>
    <col min="3" max="3" width="24.28515625" customWidth="1"/>
    <col min="9" max="9" width="15.28515625" customWidth="1"/>
    <col min="17" max="17" width="12.85546875" bestFit="1" customWidth="1"/>
  </cols>
  <sheetData>
    <row r="1" spans="1:17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25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25">
      <c r="A3" s="111" t="s">
        <v>3</v>
      </c>
      <c r="B3" s="16" t="str">
        <f>SU_A0100!B3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7" x14ac:dyDescent="0.25">
      <c r="A4" s="111" t="s">
        <v>5</v>
      </c>
      <c r="B4" s="97" t="str">
        <f>SU_A0100!B4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25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8.063213596672</v>
      </c>
      <c r="O5" s="64"/>
    </row>
    <row r="6" spans="1:17" x14ac:dyDescent="0.25">
      <c r="A6" s="111" t="s">
        <v>7</v>
      </c>
      <c r="B6" s="29" t="s">
        <v>202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25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25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25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25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25">
      <c r="A11" s="92">
        <v>10</v>
      </c>
      <c r="B11" s="27" t="s">
        <v>133</v>
      </c>
      <c r="C11" s="21" t="s">
        <v>38</v>
      </c>
      <c r="D11" s="161">
        <f>4.2</f>
        <v>4.2</v>
      </c>
      <c r="E11" s="157">
        <f>J11*K11*L11/1000000000</f>
        <v>1.4715095040000001E-2</v>
      </c>
      <c r="F11" s="21" t="s">
        <v>187</v>
      </c>
      <c r="G11" s="21"/>
      <c r="H11" s="20"/>
      <c r="I11" s="22" t="s">
        <v>194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62">
        <f>D11*E11</f>
        <v>6.1803399168000005E-2</v>
      </c>
      <c r="O11" s="69"/>
    </row>
    <row r="12" spans="1:17" x14ac:dyDescent="0.25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55"/>
    </row>
    <row r="14" spans="1:17" x14ac:dyDescent="0.25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30" x14ac:dyDescent="0.25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25">
      <c r="A16" s="66">
        <v>20</v>
      </c>
      <c r="B16" s="154" t="s">
        <v>184</v>
      </c>
      <c r="C16" s="19" t="s">
        <v>196</v>
      </c>
      <c r="D16" s="31">
        <v>0.04</v>
      </c>
      <c r="E16" s="28" t="s">
        <v>186</v>
      </c>
      <c r="F16" s="160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25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25">
      <c r="A18" s="66">
        <v>40</v>
      </c>
      <c r="B18" s="154" t="s">
        <v>184</v>
      </c>
      <c r="C18" s="19" t="s">
        <v>197</v>
      </c>
      <c r="D18" s="31">
        <v>0.04</v>
      </c>
      <c r="E18" s="28" t="s">
        <v>186</v>
      </c>
      <c r="F18" s="160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25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.75" thickBot="1" x14ac:dyDescent="0.3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BR_A0001" display="BR_A0001"/>
    <hyperlink ref="E3" location="'SU Drawing Part 6'!A1" display="Draw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18</vt:i4>
      </vt:variant>
    </vt:vector>
  </HeadingPairs>
  <TitlesOfParts>
    <vt:vector size="31" baseType="lpstr">
      <vt:lpstr>Instructions</vt:lpstr>
      <vt:lpstr>BOM</vt:lpstr>
      <vt:lpstr>SU_A0100</vt:lpstr>
      <vt:lpstr>SU_01001</vt:lpstr>
      <vt:lpstr>SU_01002</vt:lpstr>
      <vt:lpstr>SU_01003</vt:lpstr>
      <vt:lpstr>SU_01004</vt:lpstr>
      <vt:lpstr>SU_01005</vt:lpstr>
      <vt:lpstr>SU_01006</vt:lpstr>
      <vt:lpstr>SU Drawing Part 1</vt:lpstr>
      <vt:lpstr>SU Drawing Part 2</vt:lpstr>
      <vt:lpstr>SU Drawing Part 5</vt:lpstr>
      <vt:lpstr>SU Drawing Part 6</vt:lpstr>
      <vt:lpstr>BR_01001_q</vt:lpstr>
      <vt:lpstr>BR_A0001</vt:lpstr>
      <vt:lpstr>BR_A0001_q</vt:lpstr>
      <vt:lpstr>BOM!Car</vt:lpstr>
      <vt:lpstr>BOM!CompCode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Julien Lazure</cp:lastModifiedBy>
  <cp:revision>0</cp:revision>
  <dcterms:created xsi:type="dcterms:W3CDTF">2015-05-29T18:57:13Z</dcterms:created>
  <dcterms:modified xsi:type="dcterms:W3CDTF">2018-04-30T21:58:39Z</dcterms:modified>
  <dc:language>fr-FR</dc:language>
</cp:coreProperties>
</file>