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haël\Desktop\ECL\2A\EPSA\Cost_Report_Vulcanix\Cost_BR\"/>
    </mc:Choice>
  </mc:AlternateContent>
  <xr:revisionPtr revIDLastSave="0" documentId="13_ncr:1_{168CAFB3-FD47-4ABE-9422-F53217EB3837}" xr6:coauthVersionLast="32" xr6:coauthVersionMax="32" xr10:uidLastSave="{00000000-0000-0000-0000-000000000000}"/>
  <bookViews>
    <workbookView xWindow="0" yWindow="0" windowWidth="20490" windowHeight="7545" firstSheet="4" activeTab="9" xr2:uid="{00000000-000D-0000-FFFF-FFFF00000000}"/>
  </bookViews>
  <sheets>
    <sheet name="Instructions" sheetId="7" r:id="rId1"/>
    <sheet name="BOM" sheetId="8" r:id="rId2"/>
    <sheet name="BR A0003" sheetId="1" r:id="rId3"/>
    <sheet name="BR 03001" sheetId="2" r:id="rId4"/>
    <sheet name="dBR 03001" sheetId="9" r:id="rId5"/>
    <sheet name="BR 03002" sheetId="11" r:id="rId6"/>
    <sheet name="dBR 03002" sheetId="14" r:id="rId7"/>
    <sheet name="BR 03003" sheetId="13" r:id="rId8"/>
    <sheet name="dBR 03003" sheetId="15" r:id="rId9"/>
    <sheet name="BR 03004" sheetId="10" r:id="rId10"/>
    <sheet name="dBR 03004" sheetId="16" r:id="rId11"/>
  </sheets>
  <definedNames>
    <definedName name="BR_03001">'BR 03001'!$B$6</definedName>
    <definedName name="BR_03001_m">'BR 03001'!$N$12</definedName>
    <definedName name="BR_03001_p">'BR 03001'!$I$17</definedName>
    <definedName name="BR_03001_q">'BR 03001'!$N$3</definedName>
    <definedName name="BR_03002">'BR 03002'!$B$6</definedName>
    <definedName name="BR_03002_m">'BR 03002'!$N$12</definedName>
    <definedName name="BR_03002_p">'BR 03002'!$I$17</definedName>
    <definedName name="BR_03002_q">'BR 03002'!$N$3</definedName>
    <definedName name="BR_03003">'BR 03003'!$B$6</definedName>
    <definedName name="BR_03003_m">'BR 03003'!$N$12</definedName>
    <definedName name="BR_03003_p">'BR 03003'!$I$17</definedName>
    <definedName name="BR_03003_q">'BR 03003'!$N$3</definedName>
    <definedName name="BR_03004">'BR 03004'!$B$6</definedName>
    <definedName name="BR_03004_m">'BR 03004'!$N$12</definedName>
    <definedName name="BR_03004_p">'BR 03004'!$I$17</definedName>
    <definedName name="BR_03004_q">'BR 03004'!$N$3</definedName>
    <definedName name="BR_A0003">'BR A0003'!$B$5</definedName>
    <definedName name="BR_A0003_f">'BR A0003'!$J$77</definedName>
    <definedName name="BR_A0003_m">'BR A0003'!$N$34</definedName>
    <definedName name="BR_A0003_p">'BR A0003'!$I$64</definedName>
    <definedName name="BR_A0003_pa">'BR A0003'!$E$14</definedName>
    <definedName name="BR_A0003_q">'BR A0003'!$N$3</definedName>
    <definedName name="BR_A0003_t">'BR A0003'!$I$81</definedName>
    <definedName name="Car" localSheetId="1">BOM!$B$4</definedName>
    <definedName name="CompCode" localSheetId="1">BOM!$B$2</definedName>
    <definedName name="_xlnm.Print_Titles" localSheetId="1">BOM!$6:$6</definedName>
    <definedName name="_xlnm.Print_Area" localSheetId="1">BOM!$A$1:$N$18</definedName>
  </definedNames>
  <calcPr calcId="179017" iterateDelta="1E-4"/>
</workbook>
</file>

<file path=xl/calcChain.xml><?xml version="1.0" encoding="utf-8"?>
<calcChain xmlns="http://schemas.openxmlformats.org/spreadsheetml/2006/main">
  <c r="B1" i="16" l="1"/>
  <c r="B1" i="15"/>
  <c r="I16" i="13"/>
  <c r="D13" i="1" l="1"/>
  <c r="D12" i="1"/>
  <c r="D11" i="1"/>
  <c r="D10" i="1"/>
  <c r="C7" i="8"/>
  <c r="C11" i="8"/>
  <c r="C10" i="8"/>
  <c r="C9" i="8"/>
  <c r="C8" i="8"/>
  <c r="I11" i="8"/>
  <c r="I10" i="8"/>
  <c r="I9" i="8"/>
  <c r="I8" i="8"/>
  <c r="I7" i="8"/>
  <c r="D69" i="1"/>
  <c r="J69" i="1" s="1"/>
  <c r="D67" i="1"/>
  <c r="J67" i="1" s="1"/>
  <c r="J11" i="11"/>
  <c r="N11" i="11" s="1"/>
  <c r="I16" i="11"/>
  <c r="H15" i="11"/>
  <c r="I15" i="11" s="1"/>
  <c r="H15" i="2"/>
  <c r="J11" i="2"/>
  <c r="E11" i="2" s="1"/>
  <c r="F9" i="8"/>
  <c r="F10" i="8"/>
  <c r="F11" i="8"/>
  <c r="J73" i="1"/>
  <c r="J68" i="1"/>
  <c r="D71" i="1"/>
  <c r="J71" i="1" s="1"/>
  <c r="D70" i="1"/>
  <c r="J70" i="1" s="1"/>
  <c r="D74" i="1"/>
  <c r="J74" i="1" s="1"/>
  <c r="D72" i="1"/>
  <c r="J72" i="1" s="1"/>
  <c r="D75" i="1"/>
  <c r="I80" i="1"/>
  <c r="I81" i="1" s="1"/>
  <c r="M7" i="8" s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E11" i="11" l="1"/>
  <c r="I38" i="1"/>
  <c r="I39" i="1"/>
  <c r="I40" i="1"/>
  <c r="I43" i="1"/>
  <c r="I44" i="1"/>
  <c r="I45" i="1"/>
  <c r="I46" i="1"/>
  <c r="I47" i="1"/>
  <c r="I48" i="1"/>
  <c r="I49" i="1"/>
  <c r="B13" i="1"/>
  <c r="B12" i="1"/>
  <c r="B11" i="1"/>
  <c r="D33" i="1" l="1"/>
  <c r="N33" i="1" s="1"/>
  <c r="D31" i="1"/>
  <c r="N31" i="1" s="1"/>
  <c r="D32" i="1"/>
  <c r="N32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N25" i="1" s="1"/>
  <c r="D24" i="1"/>
  <c r="N24" i="1" s="1"/>
  <c r="D23" i="1"/>
  <c r="N23" i="1" s="1"/>
  <c r="D22" i="1"/>
  <c r="N22" i="1" s="1"/>
  <c r="D21" i="1"/>
  <c r="N21" i="1" s="1"/>
  <c r="N19" i="1" l="1"/>
  <c r="N20" i="1"/>
  <c r="N18" i="1"/>
  <c r="F8" i="8" l="1"/>
  <c r="B4" i="2"/>
  <c r="F7" i="8"/>
  <c r="E10" i="8" s="1"/>
  <c r="E11" i="8" l="1"/>
  <c r="E9" i="8"/>
  <c r="I15" i="13" l="1"/>
  <c r="I17" i="13" s="1"/>
  <c r="B4" i="13"/>
  <c r="B3" i="13"/>
  <c r="I50" i="1"/>
  <c r="N12" i="11"/>
  <c r="J9" i="8" s="1"/>
  <c r="B4" i="11"/>
  <c r="B3" i="11"/>
  <c r="I15" i="10"/>
  <c r="N11" i="10"/>
  <c r="N12" i="10" s="1"/>
  <c r="B4" i="10"/>
  <c r="B3" i="10"/>
  <c r="J11" i="8" l="1"/>
  <c r="I17" i="11"/>
  <c r="K10" i="8"/>
  <c r="I17" i="10"/>
  <c r="K11" i="8" s="1"/>
  <c r="B8" i="8"/>
  <c r="N2" i="10" l="1"/>
  <c r="C13" i="1" s="1"/>
  <c r="E13" i="1" s="1"/>
  <c r="N2" i="11"/>
  <c r="C11" i="1" s="1"/>
  <c r="K9" i="8"/>
  <c r="N5" i="11"/>
  <c r="B3" i="2"/>
  <c r="B18" i="8"/>
  <c r="B9" i="8"/>
  <c r="B10" i="8"/>
  <c r="B11" i="8"/>
  <c r="B12" i="8"/>
  <c r="B13" i="8"/>
  <c r="B14" i="8"/>
  <c r="B15" i="8"/>
  <c r="B16" i="8"/>
  <c r="B17" i="8"/>
  <c r="B7" i="8"/>
  <c r="N5" i="10" l="1"/>
  <c r="E8" i="8"/>
  <c r="H11" i="8" l="1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I16" i="2"/>
  <c r="I15" i="2"/>
  <c r="N11" i="2"/>
  <c r="N12" i="2" s="1"/>
  <c r="J76" i="1"/>
  <c r="J75" i="1"/>
  <c r="I42" i="1"/>
  <c r="I41" i="1"/>
  <c r="I37" i="1"/>
  <c r="N17" i="1"/>
  <c r="N34" i="1" s="1"/>
  <c r="J7" i="8" s="1"/>
  <c r="B10" i="1"/>
  <c r="J8" i="8" l="1"/>
  <c r="I64" i="1"/>
  <c r="K7" i="8" s="1"/>
  <c r="J77" i="1"/>
  <c r="L7" i="8" s="1"/>
  <c r="M18" i="8"/>
  <c r="I17" i="2"/>
  <c r="K8" i="8" s="1"/>
  <c r="N2" i="2" l="1"/>
  <c r="C10" i="1" s="1"/>
  <c r="L18" i="8"/>
  <c r="K18" i="8"/>
  <c r="E10" i="1"/>
  <c r="H7" i="8"/>
  <c r="N7" i="8" s="1"/>
  <c r="O1" i="8"/>
  <c r="H8" i="8" l="1"/>
  <c r="N8" i="8" s="1"/>
  <c r="N5" i="2"/>
  <c r="N11" i="13" l="1"/>
  <c r="N12" i="13" s="1"/>
  <c r="J10" i="8" l="1"/>
  <c r="H10" i="8" s="1"/>
  <c r="N10" i="8" s="1"/>
  <c r="N2" i="13"/>
  <c r="C12" i="1" s="1"/>
  <c r="E12" i="1" s="1"/>
  <c r="E11" i="1"/>
  <c r="E14" i="1" l="1"/>
  <c r="N2" i="1" s="1"/>
  <c r="N5" i="1" s="1"/>
  <c r="H9" i="8"/>
  <c r="N9" i="8" s="1"/>
  <c r="N18" i="8" s="1"/>
  <c r="J18" i="8"/>
  <c r="N5" i="13"/>
</calcChain>
</file>

<file path=xl/sharedStrings.xml><?xml version="1.0" encoding="utf-8"?>
<sst xmlns="http://schemas.openxmlformats.org/spreadsheetml/2006/main" count="580" uniqueCount="248">
  <si>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</si>
  <si>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</si>
  <si>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</si>
  <si>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</si>
  <si>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</si>
  <si>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</si>
  <si>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</si>
  <si>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</si>
  <si>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</si>
  <si>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</si>
  <si>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</si>
  <si>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</si>
  <si>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</si>
  <si>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</si>
  <si>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</si>
  <si>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</si>
  <si>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</si>
  <si>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</si>
  <si>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</si>
  <si>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</si>
  <si>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</si>
  <si>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</si>
  <si>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</si>
  <si>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</si>
  <si>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</si>
  <si>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</si>
  <si>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</si>
  <si>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</si>
  <si>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</si>
  <si>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</si>
  <si>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</si>
  <si>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</si>
  <si>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</si>
  <si>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</si>
  <si>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</si>
  <si>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</si>
  <si>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</si>
  <si>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</si>
  <si>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</si>
  <si>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</si>
  <si>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</si>
  <si>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</si>
  <si>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</si>
  <si>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</si>
  <si>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</si>
  <si>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</si>
  <si>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</si>
  <si>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</si>
  <si>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</si>
  <si>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</si>
  <si>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</si>
  <si>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</si>
  <si>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</si>
  <si>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</si>
  <si>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</si>
  <si>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</si>
  <si>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</si>
  <si>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</si>
  <si>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</si>
  <si>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</si>
  <si>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</si>
  <si>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</si>
  <si>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</si>
  <si>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</si>
  <si>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</si>
  <si>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</si>
  <si>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</si>
  <si>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</si>
  <si>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</si>
  <si>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</si>
  <si>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</si>
  <si>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</si>
  <si>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</si>
  <si>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</si>
  <si>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</si>
  <si>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</si>
  <si>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</si>
  <si>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</si>
  <si>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</si>
  <si>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</si>
  <si>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</si>
  <si>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</si>
  <si>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</si>
  <si>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</si>
  <si>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</si>
  <si>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</si>
  <si>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</si>
  <si>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</si>
  <si>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</si>
  <si>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</si>
  <si>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</si>
  <si>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</si>
  <si>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</si>
  <si>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</si>
  <si>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</si>
  <si>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</si>
  <si>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Brake System</t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</si>
  <si>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</si>
  <si>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</si>
  <si>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</si>
  <si>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</si>
  <si>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</si>
  <si>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</si>
  <si>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</si>
  <si>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</si>
  <si>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</si>
  <si>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</si>
  <si>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</si>
  <si>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</si>
  <si>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</si>
  <si>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</si>
  <si>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</si>
  <si>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</si>
  <si>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</si>
  <si>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</si>
  <si>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</si>
  <si>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</si>
  <si>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</si>
  <si>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</si>
  <si>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</si>
  <si>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</si>
  <si>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</si>
  <si>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</si>
  <si>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</si>
  <si>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</si>
  <si>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</si>
  <si>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</si>
  <si>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</si>
  <si>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</si>
  <si>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</si>
  <si>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</si>
  <si>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d'informations.</t>
  </si>
  <si>
    <t>Setup for laser cut</t>
  </si>
  <si>
    <t>kg</t>
  </si>
  <si>
    <t>Assemble, 1kg, Loose</t>
  </si>
  <si>
    <t>Material - Steel</t>
  </si>
  <si>
    <t>Brake Circuit Assembly</t>
  </si>
  <si>
    <t>BR A0003</t>
  </si>
  <si>
    <t>Brake line assembly</t>
  </si>
  <si>
    <t>Master Cylinder, AP, CP7855</t>
  </si>
  <si>
    <t>Master cylinder</t>
  </si>
  <si>
    <t>Balance Bar, Tilton 72-250</t>
  </si>
  <si>
    <t>Balance bar</t>
  </si>
  <si>
    <t>Banjo Bolt, Steel</t>
  </si>
  <si>
    <t>Hose, Rubber (per m)</t>
  </si>
  <si>
    <t>Hydraulic Fluid Reservoir, Remote (Plastic)</t>
  </si>
  <si>
    <t>Fluid reservoir</t>
  </si>
  <si>
    <t>Crush Washer</t>
  </si>
  <si>
    <t>Fluid, Oil</t>
  </si>
  <si>
    <t>Brake Light Pressure Switch Banjo Bolt</t>
  </si>
  <si>
    <t>Brake light switch</t>
  </si>
  <si>
    <t>Adapter/L.P./Female Flare Tee//Brass</t>
  </si>
  <si>
    <t>Hose, Low Pressure, Stainless Steel Baided Outer (per m)</t>
  </si>
  <si>
    <t>Adapter/L.P./Union//Aluminum/Anodized</t>
  </si>
  <si>
    <t>Fitting/L.P./Straight/Aluminum/Anodized</t>
  </si>
  <si>
    <t>Fitting/L.P./Elbow/45 deg./Aluminum/Anodized</t>
  </si>
  <si>
    <t>Brake line</t>
  </si>
  <si>
    <t>Brake line - AN7 to AN6</t>
  </si>
  <si>
    <t>Brake line - AN6 right to AN6 left</t>
  </si>
  <si>
    <t>Brake line - GOODRIDGE's braking hose AN6 end</t>
  </si>
  <si>
    <t>Brake line - AN6 to 10mm</t>
  </si>
  <si>
    <t>Brake line - Splitter Tee in 10mm</t>
  </si>
  <si>
    <t>Brake line - GOODRIDGE's braking hose 6003 serie</t>
  </si>
  <si>
    <t>Brake line - Hose between Master Cylinder and Fluid Reservoir</t>
  </si>
  <si>
    <t>L</t>
  </si>
  <si>
    <t>Paint</t>
  </si>
  <si>
    <t>Protect steel tab from rust</t>
  </si>
  <si>
    <t>m^2</t>
  </si>
  <si>
    <t>Braking fluid</t>
  </si>
  <si>
    <t>Hydraulic Fluid Reservoir Mount</t>
  </si>
  <si>
    <t>Internal Spacer</t>
  </si>
  <si>
    <t>External Spacer</t>
  </si>
  <si>
    <t>Distribution Tee Mount</t>
  </si>
  <si>
    <t>BR 03001</t>
  </si>
  <si>
    <t>BR 03002</t>
  </si>
  <si>
    <t>BR 03003</t>
  </si>
  <si>
    <t>BR 03004</t>
  </si>
  <si>
    <t>Positioning the Balance Bar on the Brake Pedal Supports</t>
  </si>
  <si>
    <t>Fixing the Master Cylinder on the Balance Bar</t>
  </si>
  <si>
    <t>Positioning the M6 Bolt through the Master Cylinder bearings, the Internal Spacers, the External Spacers and the Brake Pedal</t>
  </si>
  <si>
    <t>Fixing the Bolt to the Master Cylinder Bearings (through the Brake Pedal)</t>
  </si>
  <si>
    <t>Positioning the Hydraulic Fluid Reservoirs on the Hydraulic Fluid Reservoir Mount</t>
  </si>
  <si>
    <t>Fixing the Hydraulic Fluid Reservoir on the Hydraulic Fluid Reservoir Mount</t>
  </si>
  <si>
    <t>Weld</t>
  </si>
  <si>
    <t>Welding the Hydraulic Fluid Reservoir Mount</t>
  </si>
  <si>
    <t>Aerosol Apply</t>
  </si>
  <si>
    <t>Welding the Distribution Tee Mount</t>
  </si>
  <si>
    <t>Painting for the Mounts</t>
  </si>
  <si>
    <t>Positioning Distribution Tee and Washer  on Distribution Tee Mount</t>
  </si>
  <si>
    <t>Fixing Distribution Tee and Washer  on Distribution Tee Mount</t>
  </si>
  <si>
    <t>Assemble, 1kg, Line-on-Line</t>
  </si>
  <si>
    <t>Fixing Adapter (AN7 to AN6)  on Master Cylinder</t>
  </si>
  <si>
    <t>Fixing Adapter (AN6 right to AN6 left) on Master Cylinder</t>
  </si>
  <si>
    <t>Positioning Adapter (AN7 to AN6) on Master Cylinders</t>
  </si>
  <si>
    <t>Positioning Adapter (AN6 right to AN6 left) on Master Cylinder</t>
  </si>
  <si>
    <t>Ratchet &lt;= 6,35mm</t>
  </si>
  <si>
    <t>Put the hose in the Banjos and in the Adapters</t>
  </si>
  <si>
    <t>Tighten the Banjos and the Adapters</t>
  </si>
  <si>
    <t>Put Hose between Hydraulic Fluid Reservoir and Master Cylinder</t>
  </si>
  <si>
    <t>Install Tie Wrap (Zip Tie, Cable Clamp)</t>
  </si>
  <si>
    <t>Install clamps on the frame and the A-Arms</t>
  </si>
  <si>
    <t>Cut (scissors, knife)</t>
  </si>
  <si>
    <t>Cut Rubber Hose between Hydraulic Fluid Reservoir and Master Cylinder</t>
  </si>
  <si>
    <t>Cut Steel Hose between Master Cylinder and Distribution Tee</t>
  </si>
  <si>
    <t>Cut Steel Hose between Distribution Tee and Caliper</t>
  </si>
  <si>
    <t>Cut Steel Hose between Distribution Tees</t>
  </si>
  <si>
    <t>Saw or tubing cuts</t>
  </si>
  <si>
    <t>Repeat - 2</t>
  </si>
  <si>
    <t>Repeat - 4</t>
  </si>
  <si>
    <t>Tooling</t>
  </si>
  <si>
    <t>PVF</t>
  </si>
  <si>
    <t>FractionIncluded</t>
  </si>
  <si>
    <t>Welds - Welding Fixture</t>
  </si>
  <si>
    <t>Weld the Hydraulic Fluid Reservoir Mount and the Distribution Tee Mount to the frame</t>
  </si>
  <si>
    <t>Tie Wrap</t>
  </si>
  <si>
    <t>Fix the brake line and the Distribution Tee on the frame</t>
  </si>
  <si>
    <t>Hose Clamp, Worm Drive</t>
  </si>
  <si>
    <t>Between Hydraulic Fluid Reservoir and Rubber Hose</t>
  </si>
  <si>
    <t>Fixing Distribution Tee to Distribution Tee Mount</t>
  </si>
  <si>
    <t>Bolt, Grade 8,8 (SAE 5)</t>
  </si>
  <si>
    <t>Fixing Hydraulic Fluid Reservoir to Hydraulic Fluid Reservoir Mount</t>
  </si>
  <si>
    <t>Fixing the M6 Bolt to the Master Cylinder Bearings (through the Brake Pedal)</t>
  </si>
  <si>
    <t>point</t>
  </si>
  <si>
    <t>Banjo Fitting, 45 Deg., Steel</t>
  </si>
  <si>
    <t>Steel, Mild</t>
  </si>
  <si>
    <t>Rectangular area, 40x30mm</t>
  </si>
  <si>
    <t>2 parts made from a single machine setup</t>
  </si>
  <si>
    <t>Rectangular area, 40x25mm</t>
  </si>
  <si>
    <t>Washer, Grade 12.9</t>
  </si>
  <si>
    <t>Bolt, Grade 12.9</t>
  </si>
  <si>
    <t>Nut, Grade 12.9</t>
  </si>
  <si>
    <t>Nut, Grade 8.8 (SAE 5)</t>
  </si>
  <si>
    <t>Bolt, Grade 8.8 (SAE 5)</t>
  </si>
  <si>
    <t>Hand, Loose &lt;= 25.4mm</t>
  </si>
  <si>
    <t>Reaction Tool &lt;= 25.4mm</t>
  </si>
  <si>
    <t>Wrench &lt;= 25.4mm</t>
  </si>
  <si>
    <t>Hand, Tight &lt;= 6.35mm</t>
  </si>
  <si>
    <t>Ratchet &lt;= 25.4mm</t>
  </si>
  <si>
    <t>Reaction Tool &lt;= 6.35mm</t>
  </si>
  <si>
    <t>Ratchet &lt;= 6.35mm</t>
  </si>
  <si>
    <t>Hand, Loose &lt;= 6.35mm</t>
  </si>
  <si>
    <t>Steel, Alloy</t>
  </si>
  <si>
    <t>External Spacer next to the Master Cylinders</t>
  </si>
  <si>
    <t>Internal Spacer next to the Master Cylinders</t>
  </si>
  <si>
    <t>Machining</t>
  </si>
  <si>
    <t>cm^3</t>
  </si>
  <si>
    <t>2 parts cut from a single machine setup</t>
  </si>
  <si>
    <t>Drawing Part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</si>
</sst>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#,##0.0000"/>
    <numFmt numFmtId="168" formatCode="_(* #,##0.000_);_(* \(#,##0.000\);_(* \-??_);_(@_)"/>
    <numFmt numFmtId="169" formatCode="_-[$$-409]* #,##0.00_ ;_-[$$-409]* \-#,##0.00,;_-[$$-409]* \-??_ ;_-@_ 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_-[$$-409]* #,##0.00_ ;_-[$$-409]* \-#,##0.00\ ;_-[$$-409]* &quot;-&quot;??_ ;_-@_ "/>
    <numFmt numFmtId="173" formatCode="0.000"/>
    <numFmt numFmtId="174" formatCode="_-* #,##0.000\ _€_-;\-* #,##0.000\ _€_-;_-* &quot;-&quot;???\ _€_-;_-@_-"/>
    <numFmt numFmtId="178" formatCode="_-* #,##0.00\ &quot;€&quot;_-;\-* #,##0.00\ &quot;€&quot;_-;_-* &quot;-&quot;??\ &quot;€&quot;_-;_-@_-"/>
    <numFmt numFmtId="181" formatCode="&quot;$&quot;#,##0.00"/>
    <numFmt numFmtId="184" formatCode="0.0"/>
  </numFmts>
  <fonts count="2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rgb="FFFCD5B5"/>
      </patternFill>
    </fill>
    <fill>
      <patternFill patternType="solid">
        <fgColor theme="3" tint="0.59999389629810485"/>
        <bgColor rgb="FFFAC090"/>
      </patternFill>
    </fill>
  </fills>
  <borders count="3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6">
    <xf numFmtId="0" fontId="0" fillId="0" borderId="0"/>
    <xf numFmtId="0" fontId="8" fillId="0" borderId="0"/>
    <xf numFmtId="170" fontId="8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7" fillId="2" borderId="6">
      <alignment vertical="center" wrapText="1"/>
    </xf>
    <xf numFmtId="171" fontId="8" fillId="0" borderId="0" applyFont="0" applyFill="0" applyBorder="0" applyAlignment="0" applyProtection="0"/>
    <xf numFmtId="0" fontId="3" fillId="0" borderId="0"/>
    <xf numFmtId="166" fontId="6" fillId="0" borderId="1">
      <alignment vertical="center" wrapText="1"/>
    </xf>
    <xf numFmtId="0" fontId="19" fillId="0" borderId="0" applyNumberFormat="0" applyFill="0" applyBorder="0" applyAlignment="0" applyProtection="0"/>
    <xf numFmtId="0" fontId="26" fillId="0" borderId="0"/>
    <xf numFmtId="0" fontId="1" fillId="0" borderId="0"/>
    <xf numFmtId="0" fontId="27" fillId="0" borderId="0" applyNumberFormat="0" applyFill="0" applyBorder="0" applyAlignment="0" applyProtection="0"/>
    <xf numFmtId="17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28" fillId="0" borderId="0"/>
    <xf numFmtId="181" fontId="6" fillId="0" borderId="1">
      <alignment vertical="center" wrapText="1"/>
    </xf>
    <xf numFmtId="170" fontId="28" fillId="0" borderId="0" applyFont="0" applyFill="0" applyBorder="0" applyAlignment="0" applyProtection="0"/>
    <xf numFmtId="0" fontId="1" fillId="0" borderId="0"/>
    <xf numFmtId="43" fontId="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178" fontId="6" fillId="0" borderId="0" applyFont="0" applyFill="0" applyBorder="0" applyAlignment="0" applyProtection="0"/>
    <xf numFmtId="178" fontId="1" fillId="0" borderId="0" applyFont="0" applyFill="0" applyBorder="0" applyAlignment="0" applyProtection="0"/>
    <xf numFmtId="184" fontId="6" fillId="0" borderId="1">
      <alignment vertical="center" wrapText="1"/>
    </xf>
  </cellStyleXfs>
  <cellXfs count="189">
    <xf numFmtId="0" fontId="0" fillId="0" borderId="0" xfId="0"/>
    <xf numFmtId="18" fontId="12" fillId="0" borderId="7" xfId="1" applyNumberFormat="1" applyFont="1" applyFill="1" applyBorder="1" applyAlignment="1" applyProtection="1">
      <protection locked="0"/>
    </xf>
    <xf numFmtId="0" fontId="12" fillId="0" borderId="7" xfId="1" applyFont="1" applyFill="1" applyBorder="1" applyAlignment="1">
      <alignment horizontal="center"/>
    </xf>
    <xf numFmtId="171" fontId="12" fillId="0" borderId="7" xfId="5" applyFont="1" applyFill="1" applyBorder="1" applyProtection="1">
      <protection locked="0"/>
    </xf>
    <xf numFmtId="0" fontId="12" fillId="0" borderId="7" xfId="1" applyFont="1" applyFill="1" applyBorder="1" applyAlignment="1" applyProtection="1">
      <alignment horizontal="center"/>
      <protection locked="0"/>
    </xf>
    <xf numFmtId="0" fontId="12" fillId="0" borderId="7" xfId="1" applyFont="1" applyFill="1" applyBorder="1" applyProtection="1">
      <protection locked="0"/>
    </xf>
    <xf numFmtId="171" fontId="9" fillId="0" borderId="0" xfId="5" applyFont="1"/>
    <xf numFmtId="0" fontId="9" fillId="0" borderId="0" xfId="1" applyFont="1" applyProtection="1">
      <protection locked="0"/>
    </xf>
    <xf numFmtId="171" fontId="8" fillId="0" borderId="0" xfId="5" applyFont="1"/>
    <xf numFmtId="0" fontId="9" fillId="0" borderId="0" xfId="1" applyFont="1"/>
    <xf numFmtId="0" fontId="11" fillId="0" borderId="0" xfId="1" applyFont="1"/>
    <xf numFmtId="0" fontId="8" fillId="0" borderId="0" xfId="1" applyFont="1" applyProtection="1">
      <protection locked="0"/>
    </xf>
    <xf numFmtId="0" fontId="8" fillId="0" borderId="0" xfId="1" applyFont="1" applyFill="1"/>
    <xf numFmtId="0" fontId="8" fillId="0" borderId="0" xfId="1" applyFont="1"/>
    <xf numFmtId="0" fontId="3" fillId="0" borderId="0" xfId="6" applyBorder="1"/>
    <xf numFmtId="0" fontId="3" fillId="0" borderId="0" xfId="6"/>
    <xf numFmtId="0" fontId="5" fillId="0" borderId="0" xfId="0" applyFont="1" applyBorder="1"/>
    <xf numFmtId="0" fontId="5" fillId="0" borderId="0" xfId="0" applyFont="1" applyBorder="1" applyAlignment="1">
      <alignment horizontal="left"/>
    </xf>
    <xf numFmtId="0" fontId="5" fillId="0" borderId="3" xfId="0" applyFont="1" applyBorder="1"/>
    <xf numFmtId="164" fontId="5" fillId="0" borderId="3" xfId="7" applyNumberFormat="1" applyFont="1" applyBorder="1" applyAlignment="1" applyProtection="1"/>
    <xf numFmtId="0" fontId="5" fillId="0" borderId="3" xfId="0" applyFont="1" applyBorder="1" applyAlignment="1"/>
    <xf numFmtId="11" fontId="5" fillId="0" borderId="3" xfId="0" applyNumberFormat="1" applyFont="1" applyBorder="1" applyAlignment="1"/>
    <xf numFmtId="0" fontId="0" fillId="0" borderId="0" xfId="0" applyAlignment="1"/>
    <xf numFmtId="2" fontId="5" fillId="0" borderId="3" xfId="7" applyNumberFormat="1" applyFont="1" applyBorder="1" applyAlignment="1" applyProtection="1"/>
    <xf numFmtId="0" fontId="4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5" fillId="0" borderId="0" xfId="0" applyNumberFormat="1" applyFont="1" applyBorder="1" applyAlignment="1">
      <alignment horizontal="left"/>
    </xf>
    <xf numFmtId="0" fontId="4" fillId="0" borderId="4" xfId="0" applyFont="1" applyBorder="1"/>
    <xf numFmtId="0" fontId="5" fillId="0" borderId="3" xfId="0" applyFont="1" applyBorder="1" applyAlignment="1" applyProtection="1"/>
    <xf numFmtId="3" fontId="0" fillId="0" borderId="3" xfId="0" applyNumberFormat="1" applyBorder="1" applyAlignment="1"/>
    <xf numFmtId="165" fontId="5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5" fillId="0" borderId="3" xfId="7" applyNumberFormat="1" applyFont="1" applyBorder="1" applyAlignment="1" applyProtection="1">
      <alignment wrapText="1"/>
    </xf>
    <xf numFmtId="0" fontId="13" fillId="0" borderId="0" xfId="1" applyFont="1" applyAlignment="1">
      <alignment horizontal="center"/>
    </xf>
    <xf numFmtId="0" fontId="14" fillId="0" borderId="0" xfId="1" applyFont="1"/>
    <xf numFmtId="0" fontId="17" fillId="0" borderId="0" xfId="6" applyFont="1" applyFill="1" applyBorder="1"/>
    <xf numFmtId="0" fontId="3" fillId="0" borderId="0" xfId="6" applyFill="1"/>
    <xf numFmtId="0" fontId="3" fillId="0" borderId="0" xfId="6" applyFill="1" applyBorder="1"/>
    <xf numFmtId="0" fontId="3" fillId="0" borderId="0" xfId="6" applyFont="1"/>
    <xf numFmtId="0" fontId="3" fillId="0" borderId="0" xfId="6" applyFont="1" applyFill="1" applyBorder="1"/>
    <xf numFmtId="0" fontId="3" fillId="0" borderId="0" xfId="6" applyFont="1" applyFill="1"/>
    <xf numFmtId="0" fontId="12" fillId="0" borderId="7" xfId="1" applyFont="1" applyFill="1" applyBorder="1" applyAlignment="1">
      <alignment horizontal="left"/>
    </xf>
    <xf numFmtId="0" fontId="10" fillId="0" borderId="0" xfId="1" applyFont="1"/>
    <xf numFmtId="0" fontId="15" fillId="0" borderId="0" xfId="1" applyFont="1"/>
    <xf numFmtId="0" fontId="17" fillId="3" borderId="0" xfId="6" applyFont="1" applyFill="1" applyBorder="1" applyAlignment="1"/>
    <xf numFmtId="171" fontId="8" fillId="0" borderId="0" xfId="1" applyNumberFormat="1" applyFont="1"/>
    <xf numFmtId="0" fontId="13" fillId="0" borderId="8" xfId="1" applyFont="1" applyBorder="1" applyAlignment="1">
      <alignment horizontal="center" wrapText="1"/>
    </xf>
    <xf numFmtId="2" fontId="13" fillId="0" borderId="8" xfId="1" applyNumberFormat="1" applyFont="1" applyBorder="1" applyAlignment="1">
      <alignment horizontal="center" wrapText="1"/>
    </xf>
    <xf numFmtId="171" fontId="13" fillId="0" borderId="8" xfId="5" applyFont="1" applyBorder="1" applyAlignment="1">
      <alignment horizontal="center" wrapText="1"/>
    </xf>
    <xf numFmtId="0" fontId="18" fillId="4" borderId="9" xfId="6" applyFont="1" applyFill="1" applyBorder="1"/>
    <xf numFmtId="0" fontId="18" fillId="4" borderId="11" xfId="6" applyFont="1" applyFill="1" applyBorder="1"/>
    <xf numFmtId="0" fontId="18" fillId="4" borderId="10" xfId="6" applyFont="1" applyFill="1" applyBorder="1"/>
    <xf numFmtId="0" fontId="18" fillId="4" borderId="12" xfId="6" applyFont="1" applyFill="1" applyBorder="1"/>
    <xf numFmtId="0" fontId="3" fillId="5" borderId="14" xfId="6" quotePrefix="1" applyFill="1" applyBorder="1" applyAlignment="1">
      <alignment horizontal="left"/>
    </xf>
    <xf numFmtId="2" fontId="3" fillId="6" borderId="15" xfId="6" quotePrefix="1" applyNumberFormat="1" applyFill="1" applyBorder="1" applyAlignment="1">
      <alignment horizontal="right"/>
    </xf>
    <xf numFmtId="0" fontId="18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/>
    <xf numFmtId="0" fontId="0" fillId="0" borderId="20" xfId="0" applyBorder="1" applyAlignment="1"/>
    <xf numFmtId="0" fontId="4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16" xfId="0" applyFont="1" applyBorder="1"/>
    <xf numFmtId="165" fontId="5" fillId="0" borderId="16" xfId="7" applyNumberFormat="1" applyFont="1" applyBorder="1" applyAlignment="1" applyProtection="1"/>
    <xf numFmtId="164" fontId="5" fillId="0" borderId="16" xfId="7" applyNumberFormat="1" applyFont="1" applyBorder="1" applyAlignment="1" applyProtection="1"/>
    <xf numFmtId="11" fontId="5" fillId="0" borderId="16" xfId="0" applyNumberFormat="1" applyFont="1" applyBorder="1"/>
    <xf numFmtId="167" fontId="5" fillId="0" borderId="16" xfId="7" applyNumberFormat="1" applyFont="1" applyBorder="1" applyAlignment="1" applyProtection="1"/>
    <xf numFmtId="0" fontId="5" fillId="0" borderId="16" xfId="0" applyFont="1" applyBorder="1" applyAlignment="1">
      <alignment wrapText="1"/>
    </xf>
    <xf numFmtId="0" fontId="0" fillId="0" borderId="16" xfId="0" applyBorder="1"/>
    <xf numFmtId="0" fontId="0" fillId="0" borderId="16" xfId="7" applyNumberFormat="1" applyFont="1" applyBorder="1" applyAlignment="1">
      <alignment wrapText="1"/>
    </xf>
    <xf numFmtId="169" fontId="5" fillId="0" borderId="16" xfId="0" applyNumberFormat="1" applyFont="1" applyBorder="1"/>
    <xf numFmtId="0" fontId="5" fillId="0" borderId="16" xfId="7" applyNumberFormat="1" applyFont="1" applyBorder="1" applyAlignment="1" applyProtection="1">
      <alignment vertical="center" wrapText="1"/>
    </xf>
    <xf numFmtId="37" fontId="5" fillId="0" borderId="16" xfId="7" applyNumberFormat="1" applyFont="1" applyBorder="1" applyAlignment="1" applyProtection="1"/>
    <xf numFmtId="39" fontId="5" fillId="0" borderId="16" xfId="7" applyNumberFormat="1" applyFont="1" applyBorder="1" applyAlignment="1" applyProtection="1"/>
    <xf numFmtId="0" fontId="5" fillId="0" borderId="16" xfId="0" applyFont="1" applyBorder="1" applyAlignment="1">
      <alignment horizontal="right"/>
    </xf>
    <xf numFmtId="0" fontId="4" fillId="0" borderId="26" xfId="0" applyFont="1" applyBorder="1"/>
    <xf numFmtId="0" fontId="5" fillId="0" borderId="22" xfId="0" applyFont="1" applyBorder="1" applyAlignment="1"/>
    <xf numFmtId="0" fontId="0" fillId="0" borderId="22" xfId="0" applyBorder="1" applyAlignment="1">
      <alignment wrapText="1"/>
    </xf>
    <xf numFmtId="37" fontId="5" fillId="0" borderId="16" xfId="0" applyNumberFormat="1" applyFont="1" applyBorder="1"/>
    <xf numFmtId="0" fontId="20" fillId="0" borderId="0" xfId="0" applyFont="1"/>
    <xf numFmtId="0" fontId="19" fillId="0" borderId="0" xfId="8"/>
    <xf numFmtId="0" fontId="12" fillId="7" borderId="3" xfId="1" applyFont="1" applyFill="1" applyBorder="1" applyProtection="1">
      <protection locked="0"/>
    </xf>
    <xf numFmtId="0" fontId="12" fillId="7" borderId="3" xfId="1" applyFont="1" applyFill="1" applyBorder="1" applyAlignment="1">
      <alignment horizontal="left"/>
    </xf>
    <xf numFmtId="18" fontId="12" fillId="7" borderId="3" xfId="1" applyNumberFormat="1" applyFont="1" applyFill="1" applyBorder="1" applyAlignment="1" applyProtection="1">
      <protection locked="0"/>
    </xf>
    <xf numFmtId="37" fontId="12" fillId="7" borderId="3" xfId="1" applyNumberFormat="1" applyFont="1" applyFill="1" applyBorder="1" applyAlignment="1" applyProtection="1">
      <alignment horizontal="center"/>
      <protection locked="0"/>
    </xf>
    <xf numFmtId="0" fontId="12" fillId="7" borderId="3" xfId="1" applyFont="1" applyFill="1" applyBorder="1" applyAlignment="1">
      <alignment horizontal="center"/>
    </xf>
    <xf numFmtId="11" fontId="12" fillId="7" borderId="3" xfId="1" applyNumberFormat="1" applyFont="1" applyFill="1" applyBorder="1" applyAlignment="1" applyProtection="1">
      <protection locked="0"/>
    </xf>
    <xf numFmtId="0" fontId="12" fillId="7" borderId="3" xfId="1" applyFont="1" applyFill="1" applyBorder="1" applyAlignment="1" applyProtection="1">
      <alignment horizontal="center"/>
      <protection locked="0"/>
    </xf>
    <xf numFmtId="0" fontId="12" fillId="8" borderId="3" xfId="1" applyFont="1" applyFill="1" applyBorder="1" applyProtection="1">
      <protection locked="0"/>
    </xf>
    <xf numFmtId="0" fontId="12" fillId="8" borderId="3" xfId="1" applyFont="1" applyFill="1" applyBorder="1" applyAlignment="1">
      <alignment horizontal="left"/>
    </xf>
    <xf numFmtId="18" fontId="12" fillId="8" borderId="3" xfId="1" applyNumberFormat="1" applyFont="1" applyFill="1" applyBorder="1" applyAlignment="1" applyProtection="1">
      <protection locked="0"/>
    </xf>
    <xf numFmtId="37" fontId="12" fillId="8" borderId="3" xfId="1" applyNumberFormat="1" applyFont="1" applyFill="1" applyBorder="1" applyAlignment="1" applyProtection="1">
      <alignment horizontal="center"/>
      <protection locked="0"/>
    </xf>
    <xf numFmtId="0" fontId="12" fillId="8" borderId="3" xfId="1" applyFont="1" applyFill="1" applyBorder="1" applyAlignment="1">
      <alignment horizontal="center"/>
    </xf>
    <xf numFmtId="0" fontId="4" fillId="9" borderId="16" xfId="0" applyFont="1" applyFill="1" applyBorder="1"/>
    <xf numFmtId="0" fontId="4" fillId="9" borderId="0" xfId="0" applyFont="1" applyFill="1" applyBorder="1"/>
    <xf numFmtId="0" fontId="4" fillId="9" borderId="16" xfId="0" applyFont="1" applyFill="1" applyBorder="1" applyAlignment="1">
      <alignment horizontal="right"/>
    </xf>
    <xf numFmtId="165" fontId="4" fillId="9" borderId="16" xfId="0" applyNumberFormat="1" applyFont="1" applyFill="1" applyBorder="1"/>
    <xf numFmtId="0" fontId="4" fillId="10" borderId="16" xfId="0" applyFont="1" applyFill="1" applyBorder="1"/>
    <xf numFmtId="0" fontId="4" fillId="10" borderId="16" xfId="0" applyFont="1" applyFill="1" applyBorder="1" applyAlignment="1">
      <alignment horizontal="left"/>
    </xf>
    <xf numFmtId="0" fontId="4" fillId="10" borderId="2" xfId="0" applyFont="1" applyFill="1" applyBorder="1"/>
    <xf numFmtId="0" fontId="4" fillId="10" borderId="27" xfId="0" applyFont="1" applyFill="1" applyBorder="1"/>
    <xf numFmtId="0" fontId="4" fillId="10" borderId="5" xfId="0" applyFont="1" applyFill="1" applyBorder="1"/>
    <xf numFmtId="0" fontId="4" fillId="10" borderId="3" xfId="0" applyFont="1" applyFill="1" applyBorder="1"/>
    <xf numFmtId="0" fontId="4" fillId="10" borderId="3" xfId="0" applyFont="1" applyFill="1" applyBorder="1" applyAlignment="1">
      <alignment horizontal="right"/>
    </xf>
    <xf numFmtId="165" fontId="4" fillId="10" borderId="5" xfId="0" applyNumberFormat="1" applyFont="1" applyFill="1" applyBorder="1"/>
    <xf numFmtId="0" fontId="4" fillId="10" borderId="22" xfId="0" applyFont="1" applyFill="1" applyBorder="1"/>
    <xf numFmtId="0" fontId="4" fillId="10" borderId="5" xfId="0" applyFont="1" applyFill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3" fillId="5" borderId="14" xfId="6" quotePrefix="1" applyFont="1" applyFill="1" applyBorder="1" applyAlignment="1">
      <alignment horizontal="left"/>
    </xf>
    <xf numFmtId="0" fontId="2" fillId="5" borderId="14" xfId="6" applyFont="1" applyFill="1" applyBorder="1"/>
    <xf numFmtId="0" fontId="2" fillId="5" borderId="13" xfId="6" applyFont="1" applyFill="1" applyBorder="1"/>
    <xf numFmtId="172" fontId="5" fillId="0" borderId="16" xfId="7" applyNumberFormat="1" applyFont="1" applyBorder="1" applyAlignment="1" applyProtection="1"/>
    <xf numFmtId="172" fontId="12" fillId="8" borderId="3" xfId="5" applyNumberFormat="1" applyFont="1" applyFill="1" applyBorder="1" applyProtection="1">
      <protection locked="0"/>
    </xf>
    <xf numFmtId="172" fontId="12" fillId="7" borderId="3" xfId="5" applyNumberFormat="1" applyFont="1" applyFill="1" applyBorder="1" applyProtection="1">
      <protection locked="0"/>
    </xf>
    <xf numFmtId="172" fontId="12" fillId="8" borderId="3" xfId="1" applyNumberFormat="1" applyFont="1" applyFill="1" applyBorder="1" applyAlignment="1" applyProtection="1">
      <alignment horizontal="center"/>
      <protection locked="0"/>
    </xf>
    <xf numFmtId="172" fontId="12" fillId="8" borderId="3" xfId="1" applyNumberFormat="1" applyFont="1" applyFill="1" applyBorder="1" applyAlignment="1">
      <alignment horizontal="right"/>
    </xf>
    <xf numFmtId="172" fontId="12" fillId="7" borderId="3" xfId="1" applyNumberFormat="1" applyFont="1" applyFill="1" applyBorder="1" applyAlignment="1" applyProtection="1">
      <alignment horizontal="center"/>
      <protection locked="0"/>
    </xf>
    <xf numFmtId="172" fontId="12" fillId="7" borderId="3" xfId="1" applyNumberFormat="1" applyFont="1" applyFill="1" applyBorder="1" applyAlignment="1">
      <alignment horizontal="right"/>
    </xf>
    <xf numFmtId="172" fontId="12" fillId="0" borderId="7" xfId="1" applyNumberFormat="1" applyFont="1" applyFill="1" applyBorder="1" applyAlignment="1">
      <alignment horizontal="right"/>
    </xf>
    <xf numFmtId="173" fontId="5" fillId="0" borderId="3" xfId="7" applyNumberFormat="1" applyFont="1" applyBorder="1" applyAlignment="1" applyProtection="1"/>
    <xf numFmtId="174" fontId="5" fillId="0" borderId="3" xfId="0" applyNumberFormat="1" applyFont="1" applyBorder="1" applyAlignment="1"/>
    <xf numFmtId="173" fontId="5" fillId="0" borderId="3" xfId="0" applyNumberFormat="1" applyFont="1" applyBorder="1"/>
    <xf numFmtId="0" fontId="5" fillId="0" borderId="0" xfId="8" applyFont="1"/>
    <xf numFmtId="0" fontId="5" fillId="0" borderId="28" xfId="0" applyFont="1" applyBorder="1"/>
    <xf numFmtId="165" fontId="5" fillId="0" borderId="29" xfId="7" applyNumberFormat="1" applyFont="1" applyBorder="1" applyAlignment="1" applyProtection="1"/>
    <xf numFmtId="0" fontId="4" fillId="9" borderId="30" xfId="0" applyFont="1" applyFill="1" applyBorder="1"/>
    <xf numFmtId="0" fontId="19" fillId="0" borderId="3" xfId="8" applyBorder="1"/>
    <xf numFmtId="0" fontId="19" fillId="0" borderId="3" xfId="8" quotePrefix="1" applyBorder="1"/>
    <xf numFmtId="18" fontId="12" fillId="7" borderId="3" xfId="1" applyNumberFormat="1" applyFont="1" applyFill="1" applyBorder="1" applyAlignment="1" applyProtection="1">
      <alignment horizontal="left"/>
      <protection locked="0"/>
    </xf>
    <xf numFmtId="0" fontId="19" fillId="7" borderId="3" xfId="8" applyFill="1" applyBorder="1"/>
    <xf numFmtId="0" fontId="19" fillId="8" borderId="0" xfId="8" applyFill="1"/>
    <xf numFmtId="0" fontId="0" fillId="0" borderId="0" xfId="0" applyFont="1" applyFill="1" applyBorder="1"/>
    <xf numFmtId="0" fontId="4" fillId="0" borderId="0" xfId="0" applyFont="1" applyFill="1" applyBorder="1" applyAlignment="1">
      <alignment horizontal="right"/>
    </xf>
    <xf numFmtId="165" fontId="4" fillId="0" borderId="0" xfId="0" applyNumberFormat="1" applyFont="1" applyFill="1" applyBorder="1"/>
    <xf numFmtId="0" fontId="4" fillId="7" borderId="3" xfId="0" applyFont="1" applyFill="1" applyBorder="1"/>
    <xf numFmtId="0" fontId="4" fillId="7" borderId="3" xfId="0" applyFont="1" applyFill="1" applyBorder="1" applyAlignment="1">
      <alignment horizontal="left"/>
    </xf>
    <xf numFmtId="0" fontId="25" fillId="0" borderId="3" xfId="0" applyFont="1" applyBorder="1"/>
    <xf numFmtId="11" fontId="5" fillId="0" borderId="3" xfId="7" applyNumberFormat="1" applyFont="1" applyBorder="1" applyAlignment="1" applyProtection="1"/>
    <xf numFmtId="0" fontId="5" fillId="0" borderId="31" xfId="0" applyFont="1" applyBorder="1" applyAlignment="1"/>
    <xf numFmtId="0" fontId="5" fillId="0" borderId="32" xfId="0" applyFont="1" applyBorder="1" applyAlignment="1" applyProtection="1"/>
    <xf numFmtId="0" fontId="5" fillId="0" borderId="32" xfId="0" applyFont="1" applyBorder="1" applyAlignment="1"/>
    <xf numFmtId="165" fontId="5" fillId="0" borderId="32" xfId="7" applyNumberFormat="1" applyFont="1" applyBorder="1" applyAlignment="1" applyProtection="1"/>
    <xf numFmtId="164" fontId="5" fillId="0" borderId="32" xfId="7" applyNumberFormat="1" applyFont="1" applyBorder="1" applyAlignment="1" applyProtection="1"/>
    <xf numFmtId="11" fontId="5" fillId="0" borderId="32" xfId="0" applyNumberFormat="1" applyFont="1" applyBorder="1" applyAlignment="1"/>
    <xf numFmtId="168" fontId="5" fillId="0" borderId="32" xfId="7" applyNumberFormat="1" applyFont="1" applyBorder="1" applyAlignment="1" applyProtection="1"/>
    <xf numFmtId="3" fontId="0" fillId="0" borderId="32" xfId="0" applyNumberFormat="1" applyBorder="1" applyAlignment="1"/>
    <xf numFmtId="2" fontId="5" fillId="0" borderId="32" xfId="7" applyNumberFormat="1" applyFont="1" applyBorder="1" applyAlignment="1" applyProtection="1"/>
    <xf numFmtId="0" fontId="5" fillId="0" borderId="31" xfId="0" applyFont="1" applyBorder="1"/>
    <xf numFmtId="0" fontId="4" fillId="0" borderId="0" xfId="0" applyFont="1" applyFill="1" applyBorder="1"/>
    <xf numFmtId="0" fontId="0" fillId="0" borderId="24" xfId="0" applyFill="1" applyBorder="1"/>
    <xf numFmtId="173" fontId="5" fillId="0" borderId="34" xfId="22" applyNumberFormat="1" applyFont="1" applyBorder="1" applyAlignment="1">
      <alignment wrapText="1"/>
    </xf>
    <xf numFmtId="0" fontId="5" fillId="0" borderId="31" xfId="0" applyFont="1" applyBorder="1" applyAlignment="1">
      <alignment wrapText="1"/>
    </xf>
    <xf numFmtId="0" fontId="1" fillId="0" borderId="34" xfId="7" applyNumberFormat="1" applyFont="1" applyBorder="1" applyAlignment="1">
      <alignment wrapText="1"/>
    </xf>
    <xf numFmtId="165" fontId="5" fillId="0" borderId="34" xfId="7" applyNumberFormat="1" applyFont="1" applyBorder="1" applyAlignment="1" applyProtection="1">
      <alignment wrapText="1"/>
    </xf>
    <xf numFmtId="0" fontId="6" fillId="0" borderId="34" xfId="22" applyBorder="1" applyAlignment="1">
      <alignment wrapText="1"/>
    </xf>
    <xf numFmtId="0" fontId="5" fillId="0" borderId="34" xfId="22" applyFont="1" applyBorder="1" applyAlignment="1">
      <alignment wrapText="1"/>
    </xf>
    <xf numFmtId="0" fontId="25" fillId="0" borderId="34" xfId="9" applyFont="1" applyFill="1" applyBorder="1" applyAlignment="1">
      <alignment wrapText="1"/>
    </xf>
    <xf numFmtId="0" fontId="0" fillId="0" borderId="32" xfId="7" applyNumberFormat="1" applyFont="1" applyBorder="1" applyAlignment="1"/>
    <xf numFmtId="0" fontId="0" fillId="0" borderId="31" xfId="0" applyBorder="1" applyAlignment="1"/>
    <xf numFmtId="1" fontId="0" fillId="0" borderId="32" xfId="0" applyNumberFormat="1" applyBorder="1" applyAlignment="1"/>
    <xf numFmtId="0" fontId="0" fillId="0" borderId="32" xfId="0" applyBorder="1" applyAlignment="1"/>
    <xf numFmtId="0" fontId="0" fillId="0" borderId="0" xfId="0" applyBorder="1" applyAlignment="1"/>
    <xf numFmtId="0" fontId="25" fillId="0" borderId="33" xfId="9" applyFont="1" applyFill="1" applyBorder="1" applyAlignment="1"/>
    <xf numFmtId="165" fontId="5" fillId="0" borderId="32" xfId="7" applyNumberFormat="1" applyFont="1" applyBorder="1" applyAlignment="1" applyProtection="1"/>
    <xf numFmtId="0" fontId="6" fillId="0" borderId="35" xfId="22" applyBorder="1" applyAlignment="1"/>
    <xf numFmtId="11" fontId="5" fillId="0" borderId="32" xfId="7" applyNumberFormat="1" applyFont="1" applyBorder="1" applyAlignment="1" applyProtection="1"/>
    <xf numFmtId="11" fontId="5" fillId="0" borderId="35" xfId="22" applyNumberFormat="1" applyFont="1" applyBorder="1" applyAlignment="1"/>
    <xf numFmtId="0" fontId="5" fillId="0" borderId="35" xfId="22" applyFont="1" applyBorder="1" applyAlignment="1"/>
    <xf numFmtId="0" fontId="5" fillId="0" borderId="36" xfId="22" applyFont="1" applyBorder="1" applyAlignment="1"/>
    <xf numFmtId="173" fontId="5" fillId="0" borderId="36" xfId="22" applyNumberFormat="1" applyFont="1" applyBorder="1" applyAlignment="1"/>
    <xf numFmtId="0" fontId="6" fillId="0" borderId="37" xfId="22" applyBorder="1" applyAlignment="1"/>
    <xf numFmtId="0" fontId="5" fillId="0" borderId="38" xfId="22" applyFont="1" applyBorder="1"/>
    <xf numFmtId="0" fontId="6" fillId="0" borderId="38" xfId="22" applyBorder="1"/>
    <xf numFmtId="165" fontId="5" fillId="0" borderId="38" xfId="7" applyNumberFormat="1" applyFont="1" applyBorder="1" applyAlignment="1" applyProtection="1"/>
    <xf numFmtId="0" fontId="1" fillId="0" borderId="38" xfId="7" applyNumberFormat="1" applyFont="1" applyBorder="1" applyAlignment="1">
      <alignment wrapText="1"/>
    </xf>
    <xf numFmtId="0" fontId="25" fillId="0" borderId="38" xfId="9" applyFont="1" applyFill="1" applyBorder="1" applyAlignment="1">
      <alignment wrapText="1"/>
    </xf>
    <xf numFmtId="173" fontId="5" fillId="0" borderId="38" xfId="22" applyNumberFormat="1" applyFont="1" applyBorder="1"/>
  </cellXfs>
  <cellStyles count="26">
    <cellStyle name="Comma 2" xfId="5" xr:uid="{00000000-0005-0000-0000-000000000000}"/>
    <cellStyle name="Comma 2 2" xfId="20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Lien hypertexte 2" xfId="21" xr:uid="{00000000-0005-0000-0000-000002000000}"/>
    <cellStyle name="Lien hypertexte 3" xfId="11" xr:uid="{00000000-0005-0000-0000-00003A000000}"/>
    <cellStyle name="Milliers 2 3" xfId="13" xr:uid="{00000000-0005-0000-0000-000003000000}"/>
    <cellStyle name="Monétaire 10" xfId="12" xr:uid="{00000000-0005-0000-0000-000005000000}"/>
    <cellStyle name="Monétaire 2" xfId="3" xr:uid="{00000000-0005-0000-0000-000004000000}"/>
    <cellStyle name="Monétaire 2 3" xfId="15" xr:uid="{00000000-0005-0000-0000-000007000000}"/>
    <cellStyle name="Monétaire 3" xfId="23" xr:uid="{00000000-0005-0000-0000-000008000000}"/>
    <cellStyle name="Monétaire 35" xfId="18" xr:uid="{00000000-0005-0000-0000-000009000000}"/>
    <cellStyle name="Monétaire 4" xfId="24" xr:uid="{00000000-0005-0000-0000-00003D000000}"/>
    <cellStyle name="Normal" xfId="0" builtinId="0"/>
    <cellStyle name="Normal 2" xfId="1" xr:uid="{00000000-0005-0000-0000-000006000000}"/>
    <cellStyle name="Normal 2 2 4 4" xfId="14" xr:uid="{00000000-0005-0000-0000-00000C000000}"/>
    <cellStyle name="Normal 3" xfId="6" xr:uid="{00000000-0005-0000-0000-000007000000}"/>
    <cellStyle name="Normal 3 2" xfId="19" xr:uid="{00000000-0005-0000-0000-00000D000000}"/>
    <cellStyle name="Normal 4" xfId="22" xr:uid="{00000000-0005-0000-0000-00000E000000}"/>
    <cellStyle name="Normal 5" xfId="10" xr:uid="{00000000-0005-0000-0000-000042000000}"/>
    <cellStyle name="Normal 6" xfId="16" xr:uid="{00000000-0005-0000-0000-00000F000000}"/>
    <cellStyle name="Normal_Sheet1" xfId="9" xr:uid="{00000000-0005-0000-0000-000008000000}"/>
    <cellStyle name="Style 1" xfId="17" xr:uid="{00000000-0005-0000-0000-000011000000}"/>
    <cellStyle name="Style 1 2" xfId="25" xr:uid="{00000000-0005-0000-0000-000012000000}"/>
    <cellStyle name="TableStyleLight1" xfId="7" xr:uid="{00000000-0005-0000-0000-000009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5B3D7"/>
      <color rgb="FF33CCFF"/>
      <color rgb="FF66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BR_03003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BR_03004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258536</xdr:colOff>
      <xdr:row>11</xdr:row>
      <xdr:rowOff>163286</xdr:rowOff>
    </xdr:from>
    <xdr:to>
      <xdr:col>11</xdr:col>
      <xdr:colOff>427292</xdr:colOff>
      <xdr:row>21</xdr:row>
      <xdr:rowOff>154535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552465" y="2258786"/>
          <a:ext cx="1379791" cy="1896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12</xdr:row>
      <xdr:rowOff>12700</xdr:rowOff>
    </xdr:from>
    <xdr:to>
      <xdr:col>11</xdr:col>
      <xdr:colOff>266700</xdr:colOff>
      <xdr:row>21</xdr:row>
      <xdr:rowOff>121838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06300" y="2298700"/>
          <a:ext cx="1181100" cy="18236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444500</xdr:colOff>
      <xdr:row>13</xdr:row>
      <xdr:rowOff>31306</xdr:rowOff>
    </xdr:from>
    <xdr:to>
      <xdr:col>12</xdr:col>
      <xdr:colOff>889000</xdr:colOff>
      <xdr:row>20</xdr:row>
      <xdr:rowOff>161505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963400" y="2507806"/>
          <a:ext cx="2222500" cy="14636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7332805" cy="562823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AF74C1-0F95-4F8D-9274-63A78D46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7332805" cy="5628238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292100</xdr:colOff>
      <xdr:row>11</xdr:row>
      <xdr:rowOff>177800</xdr:rowOff>
    </xdr:from>
    <xdr:to>
      <xdr:col>11</xdr:col>
      <xdr:colOff>266699</xdr:colOff>
      <xdr:row>20</xdr:row>
      <xdr:rowOff>126937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7900" y="2273300"/>
          <a:ext cx="1219199" cy="166363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1</xdr:row>
      <xdr:rowOff>114300</xdr:rowOff>
    </xdr:from>
    <xdr:ext cx="7604554" cy="584350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F9EE26-F509-4665-84F9-55F6DEB9D8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8125" y="304800"/>
          <a:ext cx="7604554" cy="584350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46" workbookViewId="0">
      <selection activeCell="C79" sqref="C79"/>
    </sheetView>
  </sheetViews>
  <sheetFormatPr baseColWidth="10" defaultRowHeight="15" x14ac:dyDescent="0.25"/>
  <sheetData>
    <row r="1" spans="1:2" x14ac:dyDescent="0.25">
      <c r="A1" s="119" t="s">
        <v>130</v>
      </c>
    </row>
    <row r="3" spans="1:2" x14ac:dyDescent="0.25">
      <c r="A3" s="118" t="s">
        <v>61</v>
      </c>
      <c r="B3" s="90" t="s">
        <v>62</v>
      </c>
    </row>
    <row r="5" spans="1:2" x14ac:dyDescent="0.25">
      <c r="A5" t="s">
        <v>98</v>
      </c>
    </row>
    <row r="6" spans="1:2" x14ac:dyDescent="0.25">
      <c r="A6" t="s">
        <v>99</v>
      </c>
    </row>
    <row r="7" spans="1:2" x14ac:dyDescent="0.25">
      <c r="A7" t="s">
        <v>106</v>
      </c>
    </row>
    <row r="8" spans="1:2" x14ac:dyDescent="0.25">
      <c r="A8" t="s">
        <v>103</v>
      </c>
    </row>
    <row r="9" spans="1:2" x14ac:dyDescent="0.25">
      <c r="A9" t="s">
        <v>63</v>
      </c>
    </row>
    <row r="10" spans="1:2" x14ac:dyDescent="0.25">
      <c r="A10" s="90" t="s">
        <v>93</v>
      </c>
    </row>
    <row r="11" spans="1:2" x14ac:dyDescent="0.25">
      <c r="A11" t="s">
        <v>64</v>
      </c>
    </row>
    <row r="12" spans="1:2" x14ac:dyDescent="0.25">
      <c r="A12" t="s">
        <v>65</v>
      </c>
    </row>
    <row r="14" spans="1:2" x14ac:dyDescent="0.25">
      <c r="A14" t="s">
        <v>97</v>
      </c>
    </row>
    <row r="15" spans="1:2" x14ac:dyDescent="0.25">
      <c r="A15" t="s">
        <v>111</v>
      </c>
    </row>
    <row r="16" spans="1:2" x14ac:dyDescent="0.25">
      <c r="A16" t="s">
        <v>115</v>
      </c>
    </row>
    <row r="18" spans="1:3" x14ac:dyDescent="0.25">
      <c r="A18" s="118" t="s">
        <v>66</v>
      </c>
      <c r="B18" s="90" t="s">
        <v>101</v>
      </c>
      <c r="C18" s="90"/>
    </row>
    <row r="20" spans="1:3" x14ac:dyDescent="0.25">
      <c r="A20" t="s">
        <v>112</v>
      </c>
    </row>
    <row r="21" spans="1:3" x14ac:dyDescent="0.25">
      <c r="A21" t="s">
        <v>131</v>
      </c>
    </row>
    <row r="23" spans="1:3" x14ac:dyDescent="0.25">
      <c r="A23" s="118" t="s">
        <v>68</v>
      </c>
      <c r="B23" s="90" t="s">
        <v>69</v>
      </c>
    </row>
    <row r="25" spans="1:3" x14ac:dyDescent="0.25">
      <c r="A25" t="s">
        <v>123</v>
      </c>
    </row>
    <row r="26" spans="1:3" x14ac:dyDescent="0.25">
      <c r="A26" t="s">
        <v>75</v>
      </c>
    </row>
    <row r="27" spans="1:3" x14ac:dyDescent="0.25">
      <c r="A27" t="s">
        <v>70</v>
      </c>
    </row>
    <row r="28" spans="1:3" x14ac:dyDescent="0.25">
      <c r="A28" t="s">
        <v>107</v>
      </c>
    </row>
    <row r="29" spans="1:3" x14ac:dyDescent="0.25">
      <c r="A29" t="s">
        <v>104</v>
      </c>
    </row>
    <row r="30" spans="1:3" x14ac:dyDescent="0.25">
      <c r="A30" t="s">
        <v>71</v>
      </c>
    </row>
    <row r="31" spans="1:3" x14ac:dyDescent="0.25">
      <c r="A31" s="90" t="s">
        <v>93</v>
      </c>
    </row>
    <row r="32" spans="1:3" x14ac:dyDescent="0.25">
      <c r="A32" t="s">
        <v>105</v>
      </c>
    </row>
    <row r="33" spans="1:2" x14ac:dyDescent="0.25">
      <c r="A33" t="s">
        <v>108</v>
      </c>
    </row>
    <row r="35" spans="1:2" x14ac:dyDescent="0.25">
      <c r="A35" t="s">
        <v>109</v>
      </c>
    </row>
    <row r="36" spans="1:2" x14ac:dyDescent="0.25">
      <c r="A36" t="s">
        <v>110</v>
      </c>
    </row>
    <row r="37" spans="1:2" x14ac:dyDescent="0.25">
      <c r="A37" t="s">
        <v>116</v>
      </c>
    </row>
    <row r="39" spans="1:2" x14ac:dyDescent="0.25">
      <c r="A39" s="118" t="s">
        <v>72</v>
      </c>
      <c r="B39" s="90" t="s">
        <v>67</v>
      </c>
    </row>
    <row r="41" spans="1:2" x14ac:dyDescent="0.25">
      <c r="A41" t="s">
        <v>121</v>
      </c>
    </row>
    <row r="42" spans="1:2" x14ac:dyDescent="0.25">
      <c r="A42" t="s">
        <v>122</v>
      </c>
    </row>
    <row r="43" spans="1:2" x14ac:dyDescent="0.25">
      <c r="A43" t="s">
        <v>100</v>
      </c>
    </row>
    <row r="45" spans="1:2" x14ac:dyDescent="0.25">
      <c r="A45" s="118" t="s">
        <v>73</v>
      </c>
      <c r="B45" s="90" t="s">
        <v>90</v>
      </c>
    </row>
    <row r="47" spans="1:2" x14ac:dyDescent="0.25">
      <c r="A47" t="s">
        <v>124</v>
      </c>
    </row>
    <row r="48" spans="1:2" x14ac:dyDescent="0.25">
      <c r="A48" t="s">
        <v>91</v>
      </c>
    </row>
    <row r="49" spans="1:2" x14ac:dyDescent="0.25">
      <c r="A49" t="s">
        <v>92</v>
      </c>
    </row>
    <row r="50" spans="1:2" x14ac:dyDescent="0.25">
      <c r="A50" t="s">
        <v>113</v>
      </c>
    </row>
    <row r="51" spans="1:2" x14ac:dyDescent="0.25">
      <c r="A51" t="s">
        <v>125</v>
      </c>
    </row>
    <row r="52" spans="1:2" x14ac:dyDescent="0.25">
      <c r="A52" t="s">
        <v>126</v>
      </c>
    </row>
    <row r="53" spans="1:2" x14ac:dyDescent="0.25">
      <c r="A53" t="s">
        <v>94</v>
      </c>
    </row>
    <row r="55" spans="1:2" x14ac:dyDescent="0.25">
      <c r="A55" t="s">
        <v>117</v>
      </c>
    </row>
    <row r="57" spans="1:2" x14ac:dyDescent="0.25">
      <c r="A57" s="118" t="s">
        <v>77</v>
      </c>
      <c r="B57" s="90" t="s">
        <v>74</v>
      </c>
    </row>
    <row r="59" spans="1:2" x14ac:dyDescent="0.25">
      <c r="A59" t="s">
        <v>76</v>
      </c>
    </row>
    <row r="60" spans="1:2" x14ac:dyDescent="0.25">
      <c r="A60" t="s">
        <v>118</v>
      </c>
    </row>
    <row r="61" spans="1:2" x14ac:dyDescent="0.25">
      <c r="A61" t="s">
        <v>114</v>
      </c>
    </row>
    <row r="63" spans="1:2" x14ac:dyDescent="0.25">
      <c r="A63" s="118" t="s">
        <v>89</v>
      </c>
      <c r="B63" s="90" t="s">
        <v>78</v>
      </c>
    </row>
    <row r="65" spans="1:1" x14ac:dyDescent="0.25">
      <c r="A65" t="s">
        <v>79</v>
      </c>
    </row>
    <row r="66" spans="1:1" x14ac:dyDescent="0.25">
      <c r="A66" t="s">
        <v>81</v>
      </c>
    </row>
    <row r="67" spans="1:1" x14ac:dyDescent="0.25">
      <c r="A67" t="s">
        <v>80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119</v>
      </c>
    </row>
    <row r="72" spans="1:1" x14ac:dyDescent="0.25">
      <c r="A72" t="s">
        <v>120</v>
      </c>
    </row>
    <row r="74" spans="1:1" x14ac:dyDescent="0.25">
      <c r="A74" t="s">
        <v>127</v>
      </c>
    </row>
    <row r="75" spans="1:1" x14ac:dyDescent="0.25">
      <c r="A75" t="s">
        <v>85</v>
      </c>
    </row>
    <row r="76" spans="1:1" x14ac:dyDescent="0.25">
      <c r="A76" t="s">
        <v>86</v>
      </c>
    </row>
    <row r="77" spans="1:1" x14ac:dyDescent="0.25">
      <c r="A77" t="s">
        <v>119</v>
      </c>
    </row>
    <row r="78" spans="1:1" x14ac:dyDescent="0.25">
      <c r="A78" t="s">
        <v>120</v>
      </c>
    </row>
    <row r="80" spans="1:1" x14ac:dyDescent="0.25">
      <c r="A80" s="90" t="s">
        <v>95</v>
      </c>
    </row>
    <row r="82" spans="1:1" x14ac:dyDescent="0.25">
      <c r="A82" s="119" t="s">
        <v>102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59999389629810485"/>
    <pageSetUpPr fitToPage="1"/>
  </sheetPr>
  <dimension ref="A1:O21"/>
  <sheetViews>
    <sheetView tabSelected="1" zoomScale="75" zoomScaleNormal="75" workbookViewId="0">
      <selection activeCell="G7" sqref="G7"/>
    </sheetView>
  </sheetViews>
  <sheetFormatPr baseColWidth="10" defaultColWidth="9.140625" defaultRowHeight="15" x14ac:dyDescent="0.25"/>
  <cols>
    <col min="1" max="1" width="10.5703125" customWidth="1"/>
    <col min="2" max="2" width="34.140625" customWidth="1"/>
    <col min="3" max="3" width="19.140625" bestFit="1" customWidth="1"/>
    <col min="4" max="4" width="9.28515625" bestFit="1" customWidth="1"/>
    <col min="6" max="6" width="8.42578125" customWidth="1"/>
    <col min="7" max="7" width="36.28515625" customWidth="1"/>
    <col min="8" max="8" width="9.42578125" customWidth="1"/>
    <col min="9" max="10" width="11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8" t="s">
        <v>0</v>
      </c>
      <c r="B2" s="16" t="s">
        <v>38</v>
      </c>
      <c r="C2" s="58"/>
      <c r="D2" s="58"/>
      <c r="E2" s="58"/>
      <c r="F2" s="58"/>
      <c r="G2" s="58" t="s">
        <v>129</v>
      </c>
      <c r="H2" s="58"/>
      <c r="I2" s="58"/>
      <c r="J2" s="109" t="s">
        <v>1</v>
      </c>
      <c r="K2" s="85">
        <v>81</v>
      </c>
      <c r="L2" s="58"/>
      <c r="M2" s="108" t="s">
        <v>16</v>
      </c>
      <c r="N2" s="74">
        <f>BR_03004_m+BR_03004_p</f>
        <v>0.66667381250000002</v>
      </c>
      <c r="O2" s="64"/>
    </row>
    <row r="3" spans="1:15" x14ac:dyDescent="0.25">
      <c r="A3" s="108" t="s">
        <v>3</v>
      </c>
      <c r="B3" s="16" t="str">
        <f>'BR A0003'!B3</f>
        <v>Brake System</v>
      </c>
      <c r="C3" s="58"/>
      <c r="D3" s="108" t="s">
        <v>6</v>
      </c>
      <c r="E3" s="91" t="s">
        <v>88</v>
      </c>
      <c r="F3" s="58"/>
      <c r="G3" s="58"/>
      <c r="H3" s="58"/>
      <c r="I3" s="58"/>
      <c r="J3" s="58"/>
      <c r="K3" s="58"/>
      <c r="L3" s="58"/>
      <c r="M3" s="108" t="s">
        <v>4</v>
      </c>
      <c r="N3" s="83">
        <v>2</v>
      </c>
      <c r="O3" s="64"/>
    </row>
    <row r="4" spans="1:15" x14ac:dyDescent="0.25">
      <c r="A4" s="108" t="s">
        <v>5</v>
      </c>
      <c r="B4" s="91" t="str">
        <f>'BR A0003'!B4</f>
        <v>Brake Circuit Assembly</v>
      </c>
      <c r="C4" s="58"/>
      <c r="D4" s="108" t="s">
        <v>8</v>
      </c>
      <c r="E4" s="58"/>
      <c r="F4" s="58"/>
      <c r="G4" s="58"/>
      <c r="H4" s="58"/>
      <c r="I4" s="58"/>
      <c r="J4" s="110" t="s">
        <v>6</v>
      </c>
      <c r="K4" s="58"/>
      <c r="L4" s="58"/>
      <c r="M4" s="58"/>
      <c r="N4" s="58"/>
      <c r="O4" s="64"/>
    </row>
    <row r="5" spans="1:15" x14ac:dyDescent="0.25">
      <c r="A5" s="108" t="s">
        <v>15</v>
      </c>
      <c r="B5" s="59" t="s">
        <v>171</v>
      </c>
      <c r="C5" s="58"/>
      <c r="D5" s="108" t="s">
        <v>12</v>
      </c>
      <c r="E5" s="58"/>
      <c r="F5" s="58"/>
      <c r="G5" s="58"/>
      <c r="H5" s="58"/>
      <c r="I5" s="58"/>
      <c r="J5" s="110" t="s">
        <v>8</v>
      </c>
      <c r="K5" s="58"/>
      <c r="L5" s="58"/>
      <c r="M5" s="108" t="s">
        <v>9</v>
      </c>
      <c r="N5" s="74">
        <f>N3*N2</f>
        <v>1.333347625</v>
      </c>
      <c r="O5" s="64"/>
    </row>
    <row r="6" spans="1:15" x14ac:dyDescent="0.25">
      <c r="A6" s="108" t="s">
        <v>7</v>
      </c>
      <c r="B6" s="28" t="s">
        <v>176</v>
      </c>
      <c r="C6" s="58"/>
      <c r="D6" s="58"/>
      <c r="E6" s="58"/>
      <c r="F6" s="58"/>
      <c r="G6" s="58"/>
      <c r="H6" s="58"/>
      <c r="I6" s="58"/>
      <c r="J6" s="110" t="s">
        <v>12</v>
      </c>
      <c r="K6" s="58"/>
      <c r="L6" s="58"/>
      <c r="M6" s="58"/>
      <c r="N6" s="58"/>
      <c r="O6" s="64"/>
    </row>
    <row r="7" spans="1:15" x14ac:dyDescent="0.25">
      <c r="A7" s="108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08" t="s">
        <v>13</v>
      </c>
      <c r="B8" s="16" t="s">
        <v>242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86"/>
      <c r="B9" s="29"/>
      <c r="C9" s="29"/>
      <c r="D9" s="29"/>
      <c r="E9" s="29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1" t="s">
        <v>14</v>
      </c>
      <c r="B10" s="112" t="s">
        <v>19</v>
      </c>
      <c r="C10" s="112" t="s">
        <v>20</v>
      </c>
      <c r="D10" s="112" t="s">
        <v>21</v>
      </c>
      <c r="E10" s="112" t="s">
        <v>22</v>
      </c>
      <c r="F10" s="113" t="s">
        <v>23</v>
      </c>
      <c r="G10" s="113" t="s">
        <v>24</v>
      </c>
      <c r="H10" s="113" t="s">
        <v>25</v>
      </c>
      <c r="I10" s="113" t="s">
        <v>26</v>
      </c>
      <c r="J10" s="113" t="s">
        <v>27</v>
      </c>
      <c r="K10" s="113" t="s">
        <v>28</v>
      </c>
      <c r="L10" s="113" t="s">
        <v>29</v>
      </c>
      <c r="M10" s="113" t="s">
        <v>17</v>
      </c>
      <c r="N10" s="113" t="s">
        <v>18</v>
      </c>
      <c r="O10" s="64"/>
    </row>
    <row r="11" spans="1:15" s="22" customFormat="1" x14ac:dyDescent="0.25">
      <c r="A11" s="150">
        <v>10</v>
      </c>
      <c r="B11" s="151" t="s">
        <v>241</v>
      </c>
      <c r="C11" s="152"/>
      <c r="D11" s="153">
        <v>2.25</v>
      </c>
      <c r="E11" s="178">
        <v>2.2372500000000001E-3</v>
      </c>
      <c r="F11" s="179" t="s">
        <v>133</v>
      </c>
      <c r="G11" s="152"/>
      <c r="H11" s="154"/>
      <c r="I11" s="155"/>
      <c r="J11" s="177">
        <v>9.5000000000000005E-5</v>
      </c>
      <c r="K11" s="156">
        <v>3.0000000000000001E-3</v>
      </c>
      <c r="L11" s="157">
        <v>7850</v>
      </c>
      <c r="M11" s="158">
        <v>1</v>
      </c>
      <c r="N11" s="32">
        <f>IF(J11="",D11*M11,D11*J11*K11*L11*M11)</f>
        <v>5.033812500000001E-3</v>
      </c>
      <c r="O11" s="67"/>
    </row>
    <row r="12" spans="1:15" x14ac:dyDescent="0.25">
      <c r="A12" s="68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4" t="s">
        <v>18</v>
      </c>
      <c r="N12" s="115">
        <f>SUM(N11:N11)</f>
        <v>5.033812500000001E-3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6" t="s">
        <v>14</v>
      </c>
      <c r="B14" s="113" t="s">
        <v>31</v>
      </c>
      <c r="C14" s="113" t="s">
        <v>20</v>
      </c>
      <c r="D14" s="113" t="s">
        <v>21</v>
      </c>
      <c r="E14" s="113" t="s">
        <v>32</v>
      </c>
      <c r="F14" s="113" t="s">
        <v>17</v>
      </c>
      <c r="G14" s="113" t="s">
        <v>33</v>
      </c>
      <c r="H14" s="113" t="s">
        <v>34</v>
      </c>
      <c r="I14" s="113" t="s">
        <v>18</v>
      </c>
      <c r="J14" s="24"/>
      <c r="K14" s="24"/>
      <c r="L14" s="24"/>
      <c r="M14" s="24"/>
      <c r="N14" s="24"/>
      <c r="O14" s="64"/>
    </row>
    <row r="15" spans="1:15" s="22" customFormat="1" x14ac:dyDescent="0.25">
      <c r="A15" s="170">
        <v>10</v>
      </c>
      <c r="B15" s="174" t="s">
        <v>39</v>
      </c>
      <c r="C15" s="172"/>
      <c r="D15" s="175">
        <v>1.3</v>
      </c>
      <c r="E15" s="169" t="s">
        <v>35</v>
      </c>
      <c r="F15" s="171">
        <v>1</v>
      </c>
      <c r="G15" s="182" t="s">
        <v>246</v>
      </c>
      <c r="H15" s="172">
        <v>0.5</v>
      </c>
      <c r="I15" s="32">
        <f t="shared" ref="I15:I16" si="0">IF(H15="",D15*F15,D15*F15*H15)</f>
        <v>0.65</v>
      </c>
      <c r="J15" s="173"/>
      <c r="K15" s="173"/>
      <c r="L15" s="173"/>
      <c r="M15" s="173"/>
      <c r="N15" s="173"/>
      <c r="O15" s="67"/>
    </row>
    <row r="16" spans="1:15" x14ac:dyDescent="0.25">
      <c r="A16" s="159">
        <v>20</v>
      </c>
      <c r="B16" s="187" t="s">
        <v>244</v>
      </c>
      <c r="C16" s="183"/>
      <c r="D16" s="185">
        <v>0.04</v>
      </c>
      <c r="E16" s="183" t="s">
        <v>245</v>
      </c>
      <c r="F16" s="188">
        <v>9.7000000000000003E-2</v>
      </c>
      <c r="G16" s="186" t="s">
        <v>135</v>
      </c>
      <c r="H16" s="184">
        <v>3</v>
      </c>
      <c r="I16" s="185">
        <v>1.1640000000000001E-2</v>
      </c>
      <c r="J16" s="58"/>
      <c r="K16" s="58"/>
      <c r="L16" s="58"/>
      <c r="M16" s="58"/>
      <c r="N16" s="58"/>
      <c r="O16" s="64"/>
    </row>
    <row r="17" spans="1:15" x14ac:dyDescent="0.25">
      <c r="A17" s="68"/>
      <c r="B17" s="24"/>
      <c r="C17" s="24"/>
      <c r="D17" s="24"/>
      <c r="E17" s="24"/>
      <c r="F17" s="24"/>
      <c r="G17" s="24"/>
      <c r="H17" s="117" t="s">
        <v>18</v>
      </c>
      <c r="I17" s="115">
        <f>SUM(I15:I16)</f>
        <v>0.66164000000000001</v>
      </c>
      <c r="J17" s="24"/>
      <c r="K17" s="24"/>
      <c r="L17" s="24"/>
      <c r="M17" s="24"/>
      <c r="N17" s="24"/>
      <c r="O17" s="64"/>
    </row>
    <row r="18" spans="1:15" x14ac:dyDescent="0.25">
      <c r="A18" s="65"/>
      <c r="B18" s="58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64"/>
    </row>
    <row r="19" spans="1:15" x14ac:dyDescent="0.25">
      <c r="A19" s="65"/>
      <c r="B19" s="58"/>
      <c r="C19" s="58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64"/>
    </row>
    <row r="20" spans="1:15" x14ac:dyDescent="0.25">
      <c r="A20" s="65"/>
      <c r="B20" s="58"/>
      <c r="C20" s="58"/>
      <c r="D20" s="58"/>
      <c r="E20" s="58"/>
      <c r="F20" s="58"/>
      <c r="G20" s="58"/>
      <c r="H20" s="58"/>
      <c r="I20" s="59"/>
      <c r="J20" s="58"/>
      <c r="K20" s="58"/>
      <c r="L20" s="58"/>
      <c r="M20" s="58"/>
      <c r="N20" s="58"/>
      <c r="O20" s="64"/>
    </row>
    <row r="21" spans="1:15" ht="15.75" thickBot="1" x14ac:dyDescent="0.3">
      <c r="A21" s="70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2"/>
    </row>
  </sheetData>
  <hyperlinks>
    <hyperlink ref="B4" location="'BR A0003'!A1" display="'BR A0003'!A1" xr:uid="{00000000-0004-0000-0600-000000000000}"/>
    <hyperlink ref="E3" location="'dBR 03004'!A1" display="Drawing" xr:uid="{42AF5DEC-17DD-4CEC-BAE0-71F1FEA8766D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00AF-C250-4CF9-A7E1-63ED19840CD4}">
  <sheetPr>
    <tabColor rgb="FF95B3D7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247</v>
      </c>
      <c r="B1" s="91" t="str">
        <f>BR_03004</f>
        <v>BR 03004</v>
      </c>
    </row>
  </sheetData>
  <hyperlinks>
    <hyperlink ref="B1" location="BR_03004" display="BR_03004" xr:uid="{ECE7C12C-97C4-446D-9328-344240F1D402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B27" sqref="B27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44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54" t="s">
        <v>0</v>
      </c>
      <c r="B1" s="122" t="s">
        <v>38</v>
      </c>
      <c r="D1" s="45"/>
      <c r="M1" s="57" t="s">
        <v>42</v>
      </c>
      <c r="N1" s="46"/>
      <c r="O1" s="56" t="e">
        <f>#REF!</f>
        <v>#REF!</v>
      </c>
    </row>
    <row r="2" spans="1:15" s="15" customFormat="1" ht="15.75" thickBot="1" x14ac:dyDescent="0.3">
      <c r="A2" s="52" t="s">
        <v>43</v>
      </c>
      <c r="B2" s="121" t="s">
        <v>128</v>
      </c>
      <c r="C2" s="14"/>
      <c r="F2" s="40"/>
    </row>
    <row r="3" spans="1:15" s="15" customFormat="1" ht="16.5" thickTop="1" thickBot="1" x14ac:dyDescent="0.3">
      <c r="A3" s="53" t="s">
        <v>44</v>
      </c>
      <c r="B3" s="55">
        <v>2018</v>
      </c>
      <c r="C3" s="14"/>
      <c r="F3" s="40"/>
    </row>
    <row r="4" spans="1:15" s="15" customFormat="1" ht="16.5" thickTop="1" thickBot="1" x14ac:dyDescent="0.3">
      <c r="A4" s="51" t="s">
        <v>1</v>
      </c>
      <c r="B4" s="120">
        <v>81</v>
      </c>
      <c r="C4" s="14"/>
      <c r="D4" s="45" t="s">
        <v>45</v>
      </c>
      <c r="F4" s="40"/>
    </row>
    <row r="5" spans="1:15" s="38" customFormat="1" ht="15.75" thickTop="1" x14ac:dyDescent="0.25">
      <c r="A5" s="37"/>
      <c r="B5" s="41"/>
      <c r="C5" s="39"/>
      <c r="F5" s="42"/>
    </row>
    <row r="6" spans="1:15" s="36" customFormat="1" ht="49.5" customHeight="1" x14ac:dyDescent="0.25">
      <c r="A6" s="35" t="s">
        <v>46</v>
      </c>
      <c r="B6" s="48" t="s">
        <v>47</v>
      </c>
      <c r="C6" s="48" t="s">
        <v>48</v>
      </c>
      <c r="D6" s="48" t="s">
        <v>49</v>
      </c>
      <c r="E6" s="48" t="s">
        <v>50</v>
      </c>
      <c r="F6" s="48" t="s">
        <v>51</v>
      </c>
      <c r="G6" s="48" t="s">
        <v>52</v>
      </c>
      <c r="H6" s="50" t="s">
        <v>53</v>
      </c>
      <c r="I6" s="48" t="s">
        <v>17</v>
      </c>
      <c r="J6" s="48" t="s">
        <v>54</v>
      </c>
      <c r="K6" s="48" t="s">
        <v>55</v>
      </c>
      <c r="L6" s="48" t="s">
        <v>56</v>
      </c>
      <c r="M6" s="48" t="s">
        <v>57</v>
      </c>
      <c r="N6" s="49" t="s">
        <v>58</v>
      </c>
      <c r="O6" s="48" t="s">
        <v>59</v>
      </c>
    </row>
    <row r="7" spans="1:15" ht="15" x14ac:dyDescent="0.25">
      <c r="A7" s="99"/>
      <c r="B7" s="100" t="str">
        <f>'BR A0003'!B3</f>
        <v>Brake System</v>
      </c>
      <c r="C7" s="101" t="str">
        <f>BR_A0003</f>
        <v>BR A0003</v>
      </c>
      <c r="D7" s="101" t="s">
        <v>11</v>
      </c>
      <c r="E7" s="101"/>
      <c r="F7" s="142" t="str">
        <f>'BR A0003'!B4</f>
        <v>Brake Circuit Assembly</v>
      </c>
      <c r="G7" s="101"/>
      <c r="H7" s="124">
        <f t="shared" ref="H7:H17" si="0">SUM(J7:M7)</f>
        <v>792.11054864054779</v>
      </c>
      <c r="I7" s="102">
        <f>BR_A0003_q</f>
        <v>1</v>
      </c>
      <c r="J7" s="126">
        <f>BR_A0003_m</f>
        <v>746.74475956250001</v>
      </c>
      <c r="K7" s="126">
        <f>BR_A0003_p</f>
        <v>41.732599999999998</v>
      </c>
      <c r="L7" s="126">
        <f>BR_A0003_f</f>
        <v>2.9665224113810575</v>
      </c>
      <c r="M7" s="126">
        <f>BR_A0003_t</f>
        <v>0.66666666666666663</v>
      </c>
      <c r="N7" s="127">
        <f t="shared" ref="N7:N17" si="1">H7*I7</f>
        <v>792.11054864054779</v>
      </c>
      <c r="O7" s="103"/>
    </row>
    <row r="8" spans="1:15" ht="15" x14ac:dyDescent="0.25">
      <c r="A8" s="92"/>
      <c r="B8" s="93" t="str">
        <f>'BR A0003'!B3</f>
        <v>Brake System</v>
      </c>
      <c r="C8" s="140" t="str">
        <f>BR_03001</f>
        <v>BR 03001</v>
      </c>
      <c r="D8" s="94" t="s">
        <v>11</v>
      </c>
      <c r="E8" s="94" t="str">
        <f>F7</f>
        <v>Brake Circuit Assembly</v>
      </c>
      <c r="F8" s="141" t="str">
        <f>'BR 03001'!B5</f>
        <v>Hydraulic Fluid Reservoir Mount</v>
      </c>
      <c r="G8" s="94"/>
      <c r="H8" s="125">
        <f t="shared" si="0"/>
        <v>1.0656425</v>
      </c>
      <c r="I8" s="95">
        <f>BR_A0003_q*BR_03001_q</f>
        <v>1</v>
      </c>
      <c r="J8" s="128">
        <f>BR_03001_m</f>
        <v>3.1792499999999994E-2</v>
      </c>
      <c r="K8" s="128">
        <f>BR_03001_p</f>
        <v>1.0338500000000002</v>
      </c>
      <c r="L8" s="128">
        <v>0</v>
      </c>
      <c r="M8" s="128">
        <v>0</v>
      </c>
      <c r="N8" s="129">
        <f t="shared" si="1"/>
        <v>1.0656425</v>
      </c>
      <c r="O8" s="96"/>
    </row>
    <row r="9" spans="1:15" ht="15" x14ac:dyDescent="0.25">
      <c r="A9" s="92"/>
      <c r="B9" s="93" t="str">
        <f>'BR A0003'!$B$3</f>
        <v>Brake System</v>
      </c>
      <c r="C9" s="94" t="str">
        <f>BR_03002</f>
        <v>BR 03002</v>
      </c>
      <c r="D9" s="94" t="s">
        <v>11</v>
      </c>
      <c r="E9" s="94" t="str">
        <f>F7</f>
        <v>Brake Circuit Assembly</v>
      </c>
      <c r="F9" s="141" t="str">
        <f>'BR 03002'!B5</f>
        <v>Distribution Tee Mount</v>
      </c>
      <c r="G9" s="94"/>
      <c r="H9" s="125">
        <f t="shared" si="0"/>
        <v>1.0079037500000001</v>
      </c>
      <c r="I9" s="95">
        <f>BR_A0003_q*BR_03002_q</f>
        <v>1</v>
      </c>
      <c r="J9" s="128">
        <f>BR_03002_m</f>
        <v>2.6493750000000003E-2</v>
      </c>
      <c r="K9" s="128">
        <f>BR_03002_p</f>
        <v>0.98141000000000012</v>
      </c>
      <c r="L9" s="128">
        <v>0</v>
      </c>
      <c r="M9" s="128">
        <v>0</v>
      </c>
      <c r="N9" s="129">
        <f t="shared" si="1"/>
        <v>1.0079037500000001</v>
      </c>
      <c r="O9" s="96"/>
    </row>
    <row r="10" spans="1:15" ht="15" x14ac:dyDescent="0.25">
      <c r="A10" s="92"/>
      <c r="B10" s="93" t="str">
        <f>'BR A0003'!$B$3</f>
        <v>Brake System</v>
      </c>
      <c r="C10" s="94" t="str">
        <f>BR_03003</f>
        <v>BR 03003</v>
      </c>
      <c r="D10" s="94" t="s">
        <v>11</v>
      </c>
      <c r="E10" s="94" t="str">
        <f>F7</f>
        <v>Brake Circuit Assembly</v>
      </c>
      <c r="F10" s="141" t="str">
        <f>'BR 03003'!B5</f>
        <v>Internal Spacer</v>
      </c>
      <c r="G10" s="94"/>
      <c r="H10" s="125">
        <f t="shared" si="0"/>
        <v>0.72533112500000008</v>
      </c>
      <c r="I10" s="95">
        <f>BR_A0003_q*BR_03003_q</f>
        <v>2</v>
      </c>
      <c r="J10" s="128">
        <f>BR_03003_m</f>
        <v>2.3491125000000002E-2</v>
      </c>
      <c r="K10" s="128">
        <f>BR_03003_p</f>
        <v>0.70184000000000002</v>
      </c>
      <c r="L10" s="128">
        <v>0</v>
      </c>
      <c r="M10" s="128">
        <v>0</v>
      </c>
      <c r="N10" s="129">
        <f t="shared" si="1"/>
        <v>1.4506622500000002</v>
      </c>
      <c r="O10" s="96"/>
    </row>
    <row r="11" spans="1:15" ht="15" x14ac:dyDescent="0.25">
      <c r="A11" s="92"/>
      <c r="B11" s="93" t="str">
        <f>'BR A0003'!$B$3</f>
        <v>Brake System</v>
      </c>
      <c r="C11" s="94" t="str">
        <f>BR_03004</f>
        <v>BR 03004</v>
      </c>
      <c r="D11" s="94" t="s">
        <v>11</v>
      </c>
      <c r="E11" s="94" t="str">
        <f>F7</f>
        <v>Brake Circuit Assembly</v>
      </c>
      <c r="F11" s="141" t="str">
        <f>'BR 03004'!B5</f>
        <v>External Spacer</v>
      </c>
      <c r="G11" s="94"/>
      <c r="H11" s="125">
        <f t="shared" si="0"/>
        <v>0.66667381250000002</v>
      </c>
      <c r="I11" s="95">
        <f>BR_A0003_q*BR_03004_q</f>
        <v>2</v>
      </c>
      <c r="J11" s="128">
        <f>BR_03004_m</f>
        <v>5.033812500000001E-3</v>
      </c>
      <c r="K11" s="128">
        <f>BR_03004_p</f>
        <v>0.66164000000000001</v>
      </c>
      <c r="L11" s="128">
        <v>0</v>
      </c>
      <c r="M11" s="128">
        <v>0</v>
      </c>
      <c r="N11" s="129">
        <f t="shared" si="1"/>
        <v>1.333347625</v>
      </c>
      <c r="O11" s="96"/>
    </row>
    <row r="12" spans="1:15" ht="14.25" x14ac:dyDescent="0.2">
      <c r="A12" s="92"/>
      <c r="B12" s="93" t="str">
        <f>'BR A0003'!$B$3</f>
        <v>Brake System</v>
      </c>
      <c r="C12" s="94"/>
      <c r="D12" s="94" t="s">
        <v>11</v>
      </c>
      <c r="E12" s="94"/>
      <c r="F12" s="93"/>
      <c r="G12" s="94"/>
      <c r="H12" s="125">
        <f t="shared" si="0"/>
        <v>0</v>
      </c>
      <c r="I12" s="98"/>
      <c r="J12" s="128"/>
      <c r="K12" s="128"/>
      <c r="L12" s="128"/>
      <c r="M12" s="128"/>
      <c r="N12" s="129">
        <f t="shared" si="1"/>
        <v>0</v>
      </c>
      <c r="O12" s="96"/>
    </row>
    <row r="13" spans="1:15" ht="14.25" x14ac:dyDescent="0.2">
      <c r="A13" s="92"/>
      <c r="B13" s="93" t="str">
        <f>'BR A0003'!$B$3</f>
        <v>Brake System</v>
      </c>
      <c r="C13" s="94"/>
      <c r="D13" s="94" t="s">
        <v>11</v>
      </c>
      <c r="E13" s="94"/>
      <c r="F13" s="93"/>
      <c r="G13" s="94"/>
      <c r="H13" s="125">
        <f t="shared" si="0"/>
        <v>0</v>
      </c>
      <c r="I13" s="98"/>
      <c r="J13" s="128"/>
      <c r="K13" s="128"/>
      <c r="L13" s="128"/>
      <c r="M13" s="128"/>
      <c r="N13" s="129">
        <f t="shared" si="1"/>
        <v>0</v>
      </c>
      <c r="O13" s="96"/>
    </row>
    <row r="14" spans="1:15" ht="14.25" x14ac:dyDescent="0.2">
      <c r="A14" s="92"/>
      <c r="B14" s="93" t="str">
        <f>'BR A0003'!$B$3</f>
        <v>Brake System</v>
      </c>
      <c r="C14" s="94"/>
      <c r="D14" s="94" t="s">
        <v>11</v>
      </c>
      <c r="E14" s="94"/>
      <c r="F14" s="93"/>
      <c r="G14" s="94"/>
      <c r="H14" s="125">
        <f t="shared" si="0"/>
        <v>0</v>
      </c>
      <c r="I14" s="98"/>
      <c r="J14" s="128"/>
      <c r="K14" s="128"/>
      <c r="L14" s="128"/>
      <c r="M14" s="128"/>
      <c r="N14" s="129">
        <f t="shared" si="1"/>
        <v>0</v>
      </c>
      <c r="O14" s="96"/>
    </row>
    <row r="15" spans="1:15" ht="14.25" x14ac:dyDescent="0.2">
      <c r="A15" s="92"/>
      <c r="B15" s="93" t="str">
        <f>'BR A0003'!$B$3</f>
        <v>Brake System</v>
      </c>
      <c r="C15" s="94"/>
      <c r="D15" s="94" t="s">
        <v>11</v>
      </c>
      <c r="E15" s="94"/>
      <c r="F15" s="93"/>
      <c r="G15" s="97"/>
      <c r="H15" s="125">
        <f t="shared" si="0"/>
        <v>0</v>
      </c>
      <c r="I15" s="98"/>
      <c r="J15" s="128"/>
      <c r="K15" s="128"/>
      <c r="L15" s="128"/>
      <c r="M15" s="128"/>
      <c r="N15" s="129">
        <f t="shared" si="1"/>
        <v>0</v>
      </c>
      <c r="O15" s="96"/>
    </row>
    <row r="16" spans="1:15" ht="14.25" x14ac:dyDescent="0.2">
      <c r="A16" s="92"/>
      <c r="B16" s="93" t="str">
        <f>'BR A0003'!$B$3</f>
        <v>Brake System</v>
      </c>
      <c r="C16" s="94"/>
      <c r="D16" s="94" t="s">
        <v>11</v>
      </c>
      <c r="E16" s="94"/>
      <c r="F16" s="93"/>
      <c r="G16" s="94"/>
      <c r="H16" s="125">
        <f t="shared" si="0"/>
        <v>0</v>
      </c>
      <c r="I16" s="98"/>
      <c r="J16" s="128"/>
      <c r="K16" s="128"/>
      <c r="L16" s="128"/>
      <c r="M16" s="128"/>
      <c r="N16" s="129">
        <f t="shared" si="1"/>
        <v>0</v>
      </c>
      <c r="O16" s="96"/>
    </row>
    <row r="17" spans="1:15" ht="15" thickBot="1" x14ac:dyDescent="0.25">
      <c r="A17" s="92"/>
      <c r="B17" s="93" t="str">
        <f>'BR A0003'!$B$3</f>
        <v>Brake System</v>
      </c>
      <c r="C17" s="94"/>
      <c r="D17" s="94" t="s">
        <v>11</v>
      </c>
      <c r="E17" s="94"/>
      <c r="F17" s="93"/>
      <c r="G17" s="94"/>
      <c r="H17" s="125">
        <f t="shared" si="0"/>
        <v>0</v>
      </c>
      <c r="I17" s="98"/>
      <c r="J17" s="128"/>
      <c r="K17" s="128"/>
      <c r="L17" s="128"/>
      <c r="M17" s="128"/>
      <c r="N17" s="129">
        <f t="shared" si="1"/>
        <v>0</v>
      </c>
      <c r="O17" s="96"/>
    </row>
    <row r="18" spans="1:15" s="12" customFormat="1" ht="15.75" thickTop="1" thickBot="1" x14ac:dyDescent="0.25">
      <c r="A18" s="5"/>
      <c r="B18" s="43" t="str">
        <f>'BR A0003'!B3</f>
        <v>Brake System</v>
      </c>
      <c r="C18" s="1"/>
      <c r="D18" s="1"/>
      <c r="E18" s="1"/>
      <c r="F18" s="43" t="s">
        <v>60</v>
      </c>
      <c r="G18" s="1"/>
      <c r="H18" s="3"/>
      <c r="I18" s="4"/>
      <c r="J18" s="130">
        <f>SUMPRODUCT($I7:$I17,J7:J17)</f>
        <v>746.86009568750012</v>
      </c>
      <c r="K18" s="130">
        <f>SUMPRODUCT($I7:$I17,K7:K17)</f>
        <v>46.474819999999994</v>
      </c>
      <c r="L18" s="130">
        <f>SUMPRODUCT($I7:$I17,L7:L17)</f>
        <v>2.9665224113810575</v>
      </c>
      <c r="M18" s="130">
        <f>SUMPRODUCT($I7:$I17,M7:M17)</f>
        <v>0.66666666666666663</v>
      </c>
      <c r="N18" s="130">
        <f>SUM(N7:N17)</f>
        <v>796.96810476554776</v>
      </c>
      <c r="O18" s="2"/>
    </row>
    <row r="19" spans="1:15" ht="13.5" thickTop="1" x14ac:dyDescent="0.2">
      <c r="A19" s="11"/>
      <c r="B19" s="44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44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47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47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44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44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44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44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44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44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44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44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44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44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44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44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44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44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44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44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44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44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44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44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44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44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44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44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44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44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44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44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44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44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44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44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44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44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44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44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44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44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44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44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44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44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44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44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44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44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44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44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44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44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44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44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44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44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44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44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44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44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44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44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44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44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44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44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44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44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44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44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44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44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44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44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44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44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44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44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44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44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44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44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44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44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44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44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44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44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44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44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44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44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44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44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44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44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44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44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44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44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44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44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44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44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44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44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44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44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44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44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44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44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44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44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44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44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44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44"/>
      <c r="G164" s="9"/>
      <c r="H164" s="9"/>
      <c r="I164" s="6"/>
      <c r="J164" s="6"/>
      <c r="K164" s="6"/>
      <c r="L164" s="6"/>
      <c r="M164" s="6"/>
      <c r="N164" s="9"/>
    </row>
  </sheetData>
  <hyperlinks>
    <hyperlink ref="F8" location="'BR 03001'!A1" display="'BR 03001'!A1" xr:uid="{00000000-0004-0000-0100-000000000000}"/>
    <hyperlink ref="F9" location="'BR 03002'!A1" display="'BR 03002'!A1" xr:uid="{00000000-0004-0000-0100-000001000000}"/>
    <hyperlink ref="F10" location="'BR 03003'!A1" display="'BR 03003'!A1" xr:uid="{00000000-0004-0000-0100-000002000000}"/>
    <hyperlink ref="F11" location="'BR 03004'!A1" display="'BR 03004'!A1" xr:uid="{00000000-0004-0000-0100-000003000000}"/>
    <hyperlink ref="F7" location="'BR A0003'!A1" display="'BR A0003'!A1" xr:uid="{00000000-0004-0000-0100-000004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  <pageSetUpPr fitToPage="1"/>
  </sheetPr>
  <dimension ref="A1:O85"/>
  <sheetViews>
    <sheetView zoomScale="75" zoomScaleNormal="75" zoomScaleSheetLayoutView="80" workbookViewId="0">
      <selection activeCell="B12" sqref="B12"/>
    </sheetView>
  </sheetViews>
  <sheetFormatPr baseColWidth="10" defaultColWidth="9.140625" defaultRowHeight="15" x14ac:dyDescent="0.25"/>
  <cols>
    <col min="1" max="1" width="11.42578125"/>
    <col min="2" max="2" width="52.85546875" bestFit="1" customWidth="1"/>
    <col min="3" max="3" width="78.28515625" customWidth="1"/>
    <col min="4" max="4" width="12" customWidth="1"/>
    <col min="5" max="5" width="12.28515625" bestFit="1" customWidth="1"/>
    <col min="7" max="7" width="10.42578125" bestFit="1" customWidth="1"/>
    <col min="8" max="8" width="16.28515625" bestFit="1" customWidth="1"/>
    <col min="9" max="9" width="15.42578125" customWidth="1"/>
    <col min="10" max="10" width="10.28515625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85546875" bestFit="1" customWidth="1"/>
    <col min="15" max="15" width="5.28515625" customWidth="1"/>
    <col min="16" max="16" width="3.7109375" customWidth="1"/>
    <col min="17" max="1025" width="11.42578125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4" t="s">
        <v>0</v>
      </c>
      <c r="B2" s="16" t="s">
        <v>38</v>
      </c>
      <c r="C2" s="58"/>
      <c r="D2" s="58"/>
      <c r="E2" s="58" t="s">
        <v>129</v>
      </c>
      <c r="F2" s="58"/>
      <c r="G2" s="58"/>
      <c r="H2" s="58"/>
      <c r="I2" s="58"/>
      <c r="J2" s="104" t="s">
        <v>1</v>
      </c>
      <c r="K2" s="85">
        <v>81</v>
      </c>
      <c r="L2" s="58"/>
      <c r="M2" s="104" t="s">
        <v>2</v>
      </c>
      <c r="N2" s="123">
        <f>BR_A0003_pa+BR_A0003_m+BR_A0003_p+BR_A0003_f</f>
        <v>796.30143809888114</v>
      </c>
      <c r="O2" s="64"/>
    </row>
    <row r="3" spans="1:15" x14ac:dyDescent="0.25">
      <c r="A3" s="104" t="s">
        <v>3</v>
      </c>
      <c r="B3" s="16" t="s">
        <v>96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104" t="s">
        <v>4</v>
      </c>
      <c r="N3" s="83">
        <v>1</v>
      </c>
      <c r="O3" s="64"/>
    </row>
    <row r="4" spans="1:15" x14ac:dyDescent="0.25">
      <c r="A4" s="104" t="s">
        <v>5</v>
      </c>
      <c r="B4" s="59" t="s">
        <v>136</v>
      </c>
      <c r="C4" s="58"/>
      <c r="D4" s="58"/>
      <c r="E4" s="58"/>
      <c r="F4" s="58"/>
      <c r="G4" s="58"/>
      <c r="H4" s="58"/>
      <c r="I4" s="58"/>
      <c r="J4" s="105" t="s">
        <v>6</v>
      </c>
      <c r="K4" s="58"/>
      <c r="L4" s="58"/>
      <c r="M4" s="58"/>
      <c r="N4" s="58"/>
      <c r="O4" s="64"/>
    </row>
    <row r="5" spans="1:15" x14ac:dyDescent="0.25">
      <c r="A5" s="104" t="s">
        <v>7</v>
      </c>
      <c r="B5" s="17" t="s">
        <v>137</v>
      </c>
      <c r="C5" s="58"/>
      <c r="D5" s="58"/>
      <c r="E5" s="58"/>
      <c r="F5" s="58"/>
      <c r="G5" s="58"/>
      <c r="H5" s="58"/>
      <c r="I5" s="58"/>
      <c r="J5" s="105" t="s">
        <v>8</v>
      </c>
      <c r="K5" s="58"/>
      <c r="L5" s="58"/>
      <c r="M5" s="104" t="s">
        <v>9</v>
      </c>
      <c r="N5" s="74">
        <f>N2*N3</f>
        <v>796.30143809888114</v>
      </c>
      <c r="O5" s="64"/>
    </row>
    <row r="6" spans="1:15" x14ac:dyDescent="0.25">
      <c r="A6" s="104" t="s">
        <v>10</v>
      </c>
      <c r="B6" s="16" t="s">
        <v>11</v>
      </c>
      <c r="C6" s="58"/>
      <c r="D6" s="58"/>
      <c r="E6" s="58"/>
      <c r="F6" s="58"/>
      <c r="G6" s="58"/>
      <c r="H6" s="58"/>
      <c r="I6" s="58"/>
      <c r="J6" s="105" t="s">
        <v>12</v>
      </c>
      <c r="K6" s="58"/>
      <c r="L6" s="58"/>
      <c r="M6" s="58"/>
      <c r="N6" s="58"/>
      <c r="O6" s="64"/>
    </row>
    <row r="7" spans="1:15" x14ac:dyDescent="0.25">
      <c r="A7" s="104" t="s">
        <v>13</v>
      </c>
      <c r="B7" s="16" t="s">
        <v>138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65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104" t="s">
        <v>14</v>
      </c>
      <c r="B9" s="137" t="s">
        <v>15</v>
      </c>
      <c r="C9" s="104" t="s">
        <v>16</v>
      </c>
      <c r="D9" s="104" t="s">
        <v>17</v>
      </c>
      <c r="E9" s="104" t="s">
        <v>18</v>
      </c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35">
        <v>10</v>
      </c>
      <c r="B10" s="138" t="str">
        <f>'BR 03001'!B5</f>
        <v>Hydraulic Fluid Reservoir Mount</v>
      </c>
      <c r="C10" s="136">
        <f>'BR 03001'!N2</f>
        <v>1.0656425</v>
      </c>
      <c r="D10" s="89">
        <f>BR_03001_q</f>
        <v>1</v>
      </c>
      <c r="E10" s="74">
        <f>C10*D10</f>
        <v>1.0656425</v>
      </c>
      <c r="F10" s="58"/>
      <c r="G10" s="58"/>
      <c r="H10" s="58"/>
      <c r="I10" s="58"/>
      <c r="J10" s="58"/>
      <c r="K10" s="58"/>
      <c r="L10" s="58"/>
      <c r="M10" s="58"/>
      <c r="N10" s="58"/>
      <c r="O10" s="64"/>
    </row>
    <row r="11" spans="1:15" x14ac:dyDescent="0.25">
      <c r="A11" s="135">
        <v>20</v>
      </c>
      <c r="B11" s="139" t="str">
        <f>'BR 03002'!B5</f>
        <v>Distribution Tee Mount</v>
      </c>
      <c r="C11" s="136">
        <f>'BR 03002'!N2</f>
        <v>1.0079037500000001</v>
      </c>
      <c r="D11" s="89">
        <f>BR_03002_q</f>
        <v>1</v>
      </c>
      <c r="E11" s="74">
        <f t="shared" ref="E11:E13" si="0">C11*D11</f>
        <v>1.0079037500000001</v>
      </c>
      <c r="F11" s="59"/>
      <c r="G11" s="59"/>
      <c r="H11" s="59"/>
      <c r="I11" s="59"/>
      <c r="J11" s="59"/>
      <c r="K11" s="59"/>
      <c r="L11" s="59"/>
      <c r="M11" s="59"/>
      <c r="N11" s="59"/>
      <c r="O11" s="64"/>
    </row>
    <row r="12" spans="1:15" x14ac:dyDescent="0.25">
      <c r="A12" s="135">
        <v>30</v>
      </c>
      <c r="B12" s="139" t="str">
        <f>'BR 03003'!B5</f>
        <v>Internal Spacer</v>
      </c>
      <c r="C12" s="136">
        <f>'BR 03003'!N2</f>
        <v>0.72533112500000008</v>
      </c>
      <c r="D12" s="89">
        <f>BR_03003_q</f>
        <v>2</v>
      </c>
      <c r="E12" s="74">
        <f t="shared" si="0"/>
        <v>1.4506622500000002</v>
      </c>
      <c r="F12" s="59"/>
      <c r="G12" s="59"/>
      <c r="H12" s="59"/>
      <c r="I12" s="59"/>
      <c r="J12" s="59"/>
      <c r="K12" s="59"/>
      <c r="L12" s="59"/>
      <c r="M12" s="59"/>
      <c r="N12" s="59"/>
      <c r="O12" s="64"/>
    </row>
    <row r="13" spans="1:15" x14ac:dyDescent="0.25">
      <c r="A13" s="135">
        <v>40</v>
      </c>
      <c r="B13" s="139" t="str">
        <f>'BR 03004'!B5</f>
        <v>External Spacer</v>
      </c>
      <c r="C13" s="136">
        <f>'BR 03004'!N2</f>
        <v>0.66667381250000002</v>
      </c>
      <c r="D13" s="89">
        <f>BR_03004_q</f>
        <v>2</v>
      </c>
      <c r="E13" s="74">
        <f t="shared" si="0"/>
        <v>1.333347625</v>
      </c>
      <c r="F13" s="59"/>
      <c r="G13" s="143"/>
      <c r="H13" s="59"/>
      <c r="I13" s="59"/>
      <c r="J13" s="59"/>
      <c r="K13" s="59"/>
      <c r="L13" s="59"/>
      <c r="M13" s="59"/>
      <c r="N13" s="59"/>
      <c r="O13" s="64"/>
    </row>
    <row r="14" spans="1:15" x14ac:dyDescent="0.25">
      <c r="A14" s="65"/>
      <c r="B14" s="58"/>
      <c r="C14" s="58"/>
      <c r="D14" s="106" t="s">
        <v>18</v>
      </c>
      <c r="E14" s="107">
        <f>SUM(E10:E13)</f>
        <v>4.8575561250000003</v>
      </c>
      <c r="F14" s="59"/>
      <c r="G14" s="59"/>
      <c r="H14" s="59"/>
      <c r="I14" s="59"/>
      <c r="J14" s="59"/>
      <c r="K14" s="59"/>
      <c r="L14" s="59"/>
      <c r="M14" s="59"/>
      <c r="N14" s="59"/>
      <c r="O14" s="64"/>
    </row>
    <row r="15" spans="1:15" x14ac:dyDescent="0.25">
      <c r="A15" s="65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64"/>
    </row>
    <row r="16" spans="1:15" x14ac:dyDescent="0.25">
      <c r="A16" s="104" t="s">
        <v>14</v>
      </c>
      <c r="B16" s="104" t="s">
        <v>19</v>
      </c>
      <c r="C16" s="104" t="s">
        <v>20</v>
      </c>
      <c r="D16" s="104" t="s">
        <v>21</v>
      </c>
      <c r="E16" s="104" t="s">
        <v>22</v>
      </c>
      <c r="F16" s="104" t="s">
        <v>23</v>
      </c>
      <c r="G16" s="104" t="s">
        <v>24</v>
      </c>
      <c r="H16" s="104" t="s">
        <v>25</v>
      </c>
      <c r="I16" s="104" t="s">
        <v>26</v>
      </c>
      <c r="J16" s="104" t="s">
        <v>27</v>
      </c>
      <c r="K16" s="104" t="s">
        <v>28</v>
      </c>
      <c r="L16" s="104" t="s">
        <v>29</v>
      </c>
      <c r="M16" s="104" t="s">
        <v>17</v>
      </c>
      <c r="N16" s="104" t="s">
        <v>18</v>
      </c>
      <c r="O16" s="64"/>
    </row>
    <row r="17" spans="1:15" x14ac:dyDescent="0.25">
      <c r="A17" s="73">
        <v>10</v>
      </c>
      <c r="B17" s="73" t="s">
        <v>139</v>
      </c>
      <c r="C17" s="73" t="s">
        <v>140</v>
      </c>
      <c r="D17" s="74">
        <v>174.5</v>
      </c>
      <c r="E17" s="73"/>
      <c r="F17" s="73"/>
      <c r="G17" s="73"/>
      <c r="H17" s="75"/>
      <c r="I17" s="76"/>
      <c r="J17" s="77"/>
      <c r="K17" s="75"/>
      <c r="L17" s="75"/>
      <c r="M17" s="75">
        <v>2</v>
      </c>
      <c r="N17" s="74">
        <f>M17*D17</f>
        <v>349</v>
      </c>
      <c r="O17" s="64"/>
    </row>
    <row r="18" spans="1:15" x14ac:dyDescent="0.25">
      <c r="A18" s="73">
        <v>20</v>
      </c>
      <c r="B18" s="73" t="s">
        <v>141</v>
      </c>
      <c r="C18" s="73" t="s">
        <v>142</v>
      </c>
      <c r="D18" s="74">
        <v>30</v>
      </c>
      <c r="E18" s="73"/>
      <c r="F18" s="73"/>
      <c r="G18" s="73"/>
      <c r="H18" s="75"/>
      <c r="I18" s="76"/>
      <c r="J18" s="77"/>
      <c r="K18" s="75"/>
      <c r="L18" s="75"/>
      <c r="M18" s="75">
        <v>1</v>
      </c>
      <c r="N18" s="74">
        <f>M18*D18</f>
        <v>30</v>
      </c>
      <c r="O18" s="64"/>
    </row>
    <row r="19" spans="1:15" x14ac:dyDescent="0.25">
      <c r="A19" s="73">
        <v>30</v>
      </c>
      <c r="B19" s="73" t="s">
        <v>145</v>
      </c>
      <c r="C19" s="73" t="s">
        <v>146</v>
      </c>
      <c r="D19" s="74">
        <v>5</v>
      </c>
      <c r="E19" s="73"/>
      <c r="F19" s="73"/>
      <c r="G19" s="73"/>
      <c r="H19" s="75"/>
      <c r="I19" s="76"/>
      <c r="J19" s="77"/>
      <c r="K19" s="75"/>
      <c r="L19" s="75"/>
      <c r="M19" s="75">
        <v>2</v>
      </c>
      <c r="N19" s="74">
        <f t="shared" ref="N19:N20" si="1">M19*D19</f>
        <v>10</v>
      </c>
      <c r="O19" s="64"/>
    </row>
    <row r="20" spans="1:15" x14ac:dyDescent="0.25">
      <c r="A20" s="73">
        <v>40</v>
      </c>
      <c r="B20" s="73" t="s">
        <v>149</v>
      </c>
      <c r="C20" s="73" t="s">
        <v>150</v>
      </c>
      <c r="D20" s="74">
        <v>8</v>
      </c>
      <c r="E20" s="73"/>
      <c r="F20" s="73"/>
      <c r="G20" s="73"/>
      <c r="H20" s="75"/>
      <c r="I20" s="76"/>
      <c r="J20" s="77"/>
      <c r="K20" s="75"/>
      <c r="L20" s="75"/>
      <c r="M20" s="75">
        <v>1</v>
      </c>
      <c r="N20" s="74">
        <f t="shared" si="1"/>
        <v>8</v>
      </c>
      <c r="O20" s="64"/>
    </row>
    <row r="21" spans="1:15" x14ac:dyDescent="0.25">
      <c r="A21" s="73">
        <v>50</v>
      </c>
      <c r="B21" s="73" t="s">
        <v>152</v>
      </c>
      <c r="C21" s="73" t="s">
        <v>162</v>
      </c>
      <c r="D21" s="74">
        <f>2.23*E21+3.52</f>
        <v>17.903500000000001</v>
      </c>
      <c r="E21" s="73">
        <v>6.45</v>
      </c>
      <c r="F21" s="73" t="s">
        <v>30</v>
      </c>
      <c r="G21" s="73"/>
      <c r="H21" s="75"/>
      <c r="I21" s="76"/>
      <c r="J21" s="77"/>
      <c r="K21" s="75"/>
      <c r="L21" s="75"/>
      <c r="M21" s="75">
        <v>6</v>
      </c>
      <c r="N21" s="74">
        <f t="shared" ref="N21:N27" si="2">M21*D21</f>
        <v>107.42100000000001</v>
      </c>
      <c r="O21" s="64"/>
    </row>
    <row r="22" spans="1:15" x14ac:dyDescent="0.25">
      <c r="A22" s="73">
        <v>60</v>
      </c>
      <c r="B22" s="73" t="s">
        <v>144</v>
      </c>
      <c r="C22" s="73" t="s">
        <v>163</v>
      </c>
      <c r="D22" s="74">
        <f>0.18*E22</f>
        <v>2.16</v>
      </c>
      <c r="E22" s="73">
        <v>12</v>
      </c>
      <c r="F22" s="73" t="s">
        <v>30</v>
      </c>
      <c r="G22" s="73"/>
      <c r="H22" s="75"/>
      <c r="I22" s="76"/>
      <c r="J22" s="77"/>
      <c r="K22" s="75"/>
      <c r="L22" s="75"/>
      <c r="M22" s="75">
        <v>0.5</v>
      </c>
      <c r="N22" s="74">
        <f t="shared" si="2"/>
        <v>1.08</v>
      </c>
      <c r="O22" s="64"/>
    </row>
    <row r="23" spans="1:15" x14ac:dyDescent="0.25">
      <c r="A23" s="73">
        <v>70</v>
      </c>
      <c r="B23" s="73" t="s">
        <v>153</v>
      </c>
      <c r="C23" s="73" t="s">
        <v>157</v>
      </c>
      <c r="D23" s="74">
        <f>0.0063*E23*G23+1.75</f>
        <v>2.41683334375</v>
      </c>
      <c r="E23" s="73">
        <v>11.112500000000001</v>
      </c>
      <c r="F23" s="73" t="s">
        <v>30</v>
      </c>
      <c r="G23" s="73">
        <v>9.5250000000000004</v>
      </c>
      <c r="H23" s="75" t="s">
        <v>30</v>
      </c>
      <c r="I23" s="76"/>
      <c r="J23" s="77"/>
      <c r="K23" s="75"/>
      <c r="L23" s="75"/>
      <c r="M23" s="75">
        <v>2</v>
      </c>
      <c r="N23" s="74">
        <f t="shared" si="2"/>
        <v>4.8336666875000001</v>
      </c>
      <c r="O23" s="64"/>
    </row>
    <row r="24" spans="1:15" x14ac:dyDescent="0.25">
      <c r="A24" s="73">
        <v>80</v>
      </c>
      <c r="B24" s="73" t="s">
        <v>153</v>
      </c>
      <c r="C24" s="73" t="s">
        <v>158</v>
      </c>
      <c r="D24" s="74">
        <f>0.0063*E24*G24+1.75</f>
        <v>2.3215714375000003</v>
      </c>
      <c r="E24" s="73">
        <v>9.5250000000000004</v>
      </c>
      <c r="F24" s="73" t="s">
        <v>30</v>
      </c>
      <c r="G24" s="73">
        <v>9.5250000000000004</v>
      </c>
      <c r="H24" s="75" t="s">
        <v>30</v>
      </c>
      <c r="I24" s="76"/>
      <c r="J24" s="77"/>
      <c r="K24" s="75"/>
      <c r="L24" s="75"/>
      <c r="M24" s="75">
        <v>2</v>
      </c>
      <c r="N24" s="74">
        <f t="shared" si="2"/>
        <v>4.6431428750000006</v>
      </c>
      <c r="O24" s="64"/>
    </row>
    <row r="25" spans="1:15" x14ac:dyDescent="0.25">
      <c r="A25" s="73">
        <v>90</v>
      </c>
      <c r="B25" s="73" t="s">
        <v>154</v>
      </c>
      <c r="C25" s="73" t="s">
        <v>159</v>
      </c>
      <c r="D25" s="74">
        <f>1.32*E25-6.08</f>
        <v>6.4930000000000003</v>
      </c>
      <c r="E25" s="73">
        <v>9.5250000000000004</v>
      </c>
      <c r="F25" s="73" t="s">
        <v>30</v>
      </c>
      <c r="G25" s="73"/>
      <c r="H25" s="75"/>
      <c r="I25" s="76"/>
      <c r="J25" s="77"/>
      <c r="K25" s="75"/>
      <c r="L25" s="75"/>
      <c r="M25" s="75">
        <v>6</v>
      </c>
      <c r="N25" s="74">
        <f t="shared" si="2"/>
        <v>38.957999999999998</v>
      </c>
      <c r="O25" s="64"/>
    </row>
    <row r="26" spans="1:15" x14ac:dyDescent="0.25">
      <c r="A26" s="73">
        <v>100</v>
      </c>
      <c r="B26" s="73" t="s">
        <v>155</v>
      </c>
      <c r="C26" s="73" t="s">
        <v>159</v>
      </c>
      <c r="D26" s="74">
        <f>2.11*E26-2.68</f>
        <v>17.417750000000002</v>
      </c>
      <c r="E26" s="73">
        <v>9.5250000000000004</v>
      </c>
      <c r="F26" s="73" t="s">
        <v>30</v>
      </c>
      <c r="G26" s="73"/>
      <c r="H26" s="75"/>
      <c r="I26" s="76"/>
      <c r="J26" s="77"/>
      <c r="K26" s="75"/>
      <c r="L26" s="75"/>
      <c r="M26" s="75">
        <v>2</v>
      </c>
      <c r="N26" s="74">
        <f t="shared" si="2"/>
        <v>34.835500000000003</v>
      </c>
      <c r="O26" s="64"/>
    </row>
    <row r="27" spans="1:15" x14ac:dyDescent="0.25">
      <c r="A27" s="73">
        <v>110</v>
      </c>
      <c r="B27" s="73" t="s">
        <v>153</v>
      </c>
      <c r="C27" s="73" t="s">
        <v>160</v>
      </c>
      <c r="D27" s="74">
        <f>0.0063*E27*G27+1.75</f>
        <v>2.3500749999999999</v>
      </c>
      <c r="E27" s="73">
        <v>9.5250000000000004</v>
      </c>
      <c r="F27" s="73" t="s">
        <v>30</v>
      </c>
      <c r="G27" s="73">
        <v>10</v>
      </c>
      <c r="H27" s="75" t="s">
        <v>30</v>
      </c>
      <c r="I27" s="76"/>
      <c r="J27" s="77"/>
      <c r="K27" s="75"/>
      <c r="L27" s="75"/>
      <c r="M27" s="75">
        <v>6</v>
      </c>
      <c r="N27" s="74">
        <f t="shared" si="2"/>
        <v>14.100449999999999</v>
      </c>
      <c r="O27" s="64"/>
    </row>
    <row r="28" spans="1:15" x14ac:dyDescent="0.25">
      <c r="A28" s="73">
        <v>120</v>
      </c>
      <c r="B28" s="73" t="s">
        <v>151</v>
      </c>
      <c r="C28" s="73" t="s">
        <v>161</v>
      </c>
      <c r="D28" s="74">
        <f>0.01*E28*G28+3.02</f>
        <v>4.0199999999999996</v>
      </c>
      <c r="E28" s="73">
        <v>10</v>
      </c>
      <c r="F28" s="73" t="s">
        <v>30</v>
      </c>
      <c r="G28" s="73">
        <v>10</v>
      </c>
      <c r="H28" s="75" t="s">
        <v>30</v>
      </c>
      <c r="I28" s="76"/>
      <c r="J28" s="77"/>
      <c r="K28" s="75"/>
      <c r="L28" s="75"/>
      <c r="M28" s="75">
        <v>2</v>
      </c>
      <c r="N28" s="74">
        <f>M28*D28</f>
        <v>8.0399999999999991</v>
      </c>
      <c r="O28" s="64"/>
    </row>
    <row r="29" spans="1:15" x14ac:dyDescent="0.25">
      <c r="A29" s="73">
        <v>130</v>
      </c>
      <c r="B29" s="73" t="s">
        <v>223</v>
      </c>
      <c r="C29" s="73" t="s">
        <v>156</v>
      </c>
      <c r="D29" s="74">
        <f>2.625*E29</f>
        <v>26.25</v>
      </c>
      <c r="E29" s="73">
        <v>10</v>
      </c>
      <c r="F29" s="73" t="s">
        <v>30</v>
      </c>
      <c r="G29" s="73"/>
      <c r="H29" s="75"/>
      <c r="I29" s="76"/>
      <c r="J29" s="77"/>
      <c r="K29" s="75"/>
      <c r="L29" s="75"/>
      <c r="M29" s="75">
        <v>4</v>
      </c>
      <c r="N29" s="74">
        <f t="shared" ref="N29:N33" si="3">M29*D29</f>
        <v>105</v>
      </c>
      <c r="O29" s="64"/>
    </row>
    <row r="30" spans="1:15" x14ac:dyDescent="0.25">
      <c r="A30" s="73">
        <v>140</v>
      </c>
      <c r="B30" s="73" t="s">
        <v>143</v>
      </c>
      <c r="C30" s="73" t="s">
        <v>156</v>
      </c>
      <c r="D30" s="74">
        <f>0.68*E30</f>
        <v>6.8000000000000007</v>
      </c>
      <c r="E30" s="73">
        <v>10</v>
      </c>
      <c r="F30" s="73" t="s">
        <v>30</v>
      </c>
      <c r="G30" s="73"/>
      <c r="H30" s="75"/>
      <c r="I30" s="76"/>
      <c r="J30" s="77"/>
      <c r="K30" s="75"/>
      <c r="L30" s="75"/>
      <c r="M30" s="75">
        <v>4</v>
      </c>
      <c r="N30" s="74">
        <f t="shared" si="3"/>
        <v>27.200000000000003</v>
      </c>
      <c r="O30" s="64"/>
    </row>
    <row r="31" spans="1:15" x14ac:dyDescent="0.25">
      <c r="A31" s="73">
        <v>150</v>
      </c>
      <c r="B31" s="73" t="s">
        <v>147</v>
      </c>
      <c r="C31" s="73" t="s">
        <v>156</v>
      </c>
      <c r="D31" s="74">
        <f>0.027*E31+0.12</f>
        <v>0.28200000000000003</v>
      </c>
      <c r="E31" s="73">
        <v>6</v>
      </c>
      <c r="F31" s="73" t="s">
        <v>30</v>
      </c>
      <c r="G31" s="73"/>
      <c r="H31" s="75"/>
      <c r="I31" s="76"/>
      <c r="J31" s="77"/>
      <c r="K31" s="75"/>
      <c r="L31" s="75"/>
      <c r="M31" s="75">
        <v>12</v>
      </c>
      <c r="N31" s="74">
        <f t="shared" si="3"/>
        <v>3.3840000000000003</v>
      </c>
      <c r="O31" s="64"/>
    </row>
    <row r="32" spans="1:15" x14ac:dyDescent="0.25">
      <c r="A32" s="73">
        <v>160</v>
      </c>
      <c r="B32" s="73" t="s">
        <v>148</v>
      </c>
      <c r="C32" s="73" t="s">
        <v>168</v>
      </c>
      <c r="D32" s="74">
        <f>0.75*E32</f>
        <v>0.22499999999999998</v>
      </c>
      <c r="E32" s="73">
        <v>0.3</v>
      </c>
      <c r="F32" s="73" t="s">
        <v>164</v>
      </c>
      <c r="G32" s="73"/>
      <c r="H32" s="75"/>
      <c r="I32" s="76"/>
      <c r="J32" s="77"/>
      <c r="K32" s="75"/>
      <c r="L32" s="75"/>
      <c r="M32" s="75">
        <v>1</v>
      </c>
      <c r="N32" s="74">
        <f t="shared" si="3"/>
        <v>0.22499999999999998</v>
      </c>
      <c r="O32" s="64"/>
    </row>
    <row r="33" spans="1:15" x14ac:dyDescent="0.25">
      <c r="A33" s="73">
        <v>170</v>
      </c>
      <c r="B33" s="73" t="s">
        <v>165</v>
      </c>
      <c r="C33" s="73" t="s">
        <v>166</v>
      </c>
      <c r="D33" s="74">
        <f>10*E33</f>
        <v>2.3999999999999997E-2</v>
      </c>
      <c r="E33" s="73">
        <v>2.3999999999999998E-3</v>
      </c>
      <c r="F33" s="73" t="s">
        <v>167</v>
      </c>
      <c r="G33" s="73"/>
      <c r="H33" s="75"/>
      <c r="I33" s="76"/>
      <c r="J33" s="77"/>
      <c r="K33" s="75"/>
      <c r="L33" s="75"/>
      <c r="M33" s="75">
        <v>1</v>
      </c>
      <c r="N33" s="74">
        <f t="shared" si="3"/>
        <v>2.3999999999999997E-2</v>
      </c>
      <c r="O33" s="64"/>
    </row>
    <row r="34" spans="1:15" x14ac:dyDescent="0.25">
      <c r="A34" s="68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104" t="s">
        <v>18</v>
      </c>
      <c r="N34" s="107">
        <f>SUM(N17:N33)</f>
        <v>746.74475956250001</v>
      </c>
      <c r="O34" s="64"/>
    </row>
    <row r="35" spans="1:15" x14ac:dyDescent="0.25">
      <c r="A35" s="65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64"/>
    </row>
    <row r="36" spans="1:15" s="25" customFormat="1" x14ac:dyDescent="0.25">
      <c r="A36" s="104" t="s">
        <v>14</v>
      </c>
      <c r="B36" s="104" t="s">
        <v>31</v>
      </c>
      <c r="C36" s="104" t="s">
        <v>20</v>
      </c>
      <c r="D36" s="104" t="s">
        <v>21</v>
      </c>
      <c r="E36" s="104" t="s">
        <v>32</v>
      </c>
      <c r="F36" s="104" t="s">
        <v>17</v>
      </c>
      <c r="G36" s="104" t="s">
        <v>33</v>
      </c>
      <c r="H36" s="104" t="s">
        <v>34</v>
      </c>
      <c r="I36" s="104" t="s">
        <v>18</v>
      </c>
      <c r="J36" s="24"/>
      <c r="K36" s="24"/>
      <c r="L36" s="24"/>
      <c r="M36" s="24"/>
      <c r="N36" s="24"/>
      <c r="O36" s="69"/>
    </row>
    <row r="37" spans="1:15" x14ac:dyDescent="0.25">
      <c r="A37" s="73">
        <v>10</v>
      </c>
      <c r="B37" s="73" t="s">
        <v>183</v>
      </c>
      <c r="C37" s="73" t="s">
        <v>184</v>
      </c>
      <c r="D37" s="74">
        <v>0.15</v>
      </c>
      <c r="E37" s="73" t="s">
        <v>41</v>
      </c>
      <c r="F37" s="79">
        <v>5.6</v>
      </c>
      <c r="G37" s="79"/>
      <c r="H37" s="79"/>
      <c r="I37" s="74">
        <f t="shared" ref="I37:I63" si="4">IF(H37="",D37*F37,D37*F37*H37)</f>
        <v>0.84</v>
      </c>
      <c r="J37" s="58"/>
      <c r="K37" s="58"/>
      <c r="L37" s="58"/>
      <c r="M37" s="58"/>
      <c r="N37" s="58"/>
      <c r="O37" s="64"/>
    </row>
    <row r="38" spans="1:15" x14ac:dyDescent="0.25">
      <c r="A38" s="73">
        <v>20</v>
      </c>
      <c r="B38" s="73" t="s">
        <v>183</v>
      </c>
      <c r="C38" s="73" t="s">
        <v>186</v>
      </c>
      <c r="D38" s="74">
        <v>0.15</v>
      </c>
      <c r="E38" s="73" t="s">
        <v>41</v>
      </c>
      <c r="F38" s="79">
        <v>4.5999999999999996</v>
      </c>
      <c r="G38" s="79"/>
      <c r="H38" s="79"/>
      <c r="I38" s="74">
        <f t="shared" si="4"/>
        <v>0.69</v>
      </c>
      <c r="J38" s="58"/>
      <c r="K38" s="58"/>
      <c r="L38" s="58"/>
      <c r="M38" s="58"/>
      <c r="N38" s="58"/>
      <c r="O38" s="64"/>
    </row>
    <row r="39" spans="1:15" x14ac:dyDescent="0.25">
      <c r="A39" s="73">
        <v>30</v>
      </c>
      <c r="B39" s="73" t="s">
        <v>185</v>
      </c>
      <c r="C39" s="73" t="s">
        <v>187</v>
      </c>
      <c r="D39" s="74">
        <v>5.25</v>
      </c>
      <c r="E39" s="73" t="s">
        <v>167</v>
      </c>
      <c r="F39" s="79">
        <v>2.3999999999999998E-3</v>
      </c>
      <c r="G39" s="79"/>
      <c r="H39" s="79"/>
      <c r="I39" s="74">
        <f t="shared" si="4"/>
        <v>1.2599999999999998E-2</v>
      </c>
      <c r="J39" s="58"/>
      <c r="K39" s="58"/>
      <c r="L39" s="58"/>
      <c r="M39" s="58"/>
      <c r="N39" s="58"/>
      <c r="O39" s="64"/>
    </row>
    <row r="40" spans="1:15" x14ac:dyDescent="0.25">
      <c r="A40" s="73">
        <v>40</v>
      </c>
      <c r="B40" s="73" t="s">
        <v>134</v>
      </c>
      <c r="C40" s="73" t="s">
        <v>177</v>
      </c>
      <c r="D40" s="74">
        <v>0.06</v>
      </c>
      <c r="E40" s="73" t="s">
        <v>35</v>
      </c>
      <c r="F40" s="79">
        <v>1</v>
      </c>
      <c r="G40" s="79"/>
      <c r="H40" s="79"/>
      <c r="I40" s="74">
        <f t="shared" ref="I40" si="5">IF(H40="",D40*F40,D40*F40*H40)</f>
        <v>0.06</v>
      </c>
      <c r="J40" s="58"/>
      <c r="K40" s="58"/>
      <c r="L40" s="58"/>
      <c r="M40" s="58"/>
      <c r="N40" s="58"/>
      <c r="O40" s="64"/>
    </row>
    <row r="41" spans="1:15" x14ac:dyDescent="0.25">
      <c r="A41" s="73">
        <v>50</v>
      </c>
      <c r="B41" s="80" t="s">
        <v>240</v>
      </c>
      <c r="C41" s="73" t="s">
        <v>178</v>
      </c>
      <c r="D41" s="74">
        <v>0.25</v>
      </c>
      <c r="E41" s="80" t="s">
        <v>35</v>
      </c>
      <c r="F41" s="79">
        <v>2</v>
      </c>
      <c r="G41" s="73"/>
      <c r="H41" s="73"/>
      <c r="I41" s="74">
        <f t="shared" si="4"/>
        <v>0.5</v>
      </c>
      <c r="J41" s="58"/>
      <c r="K41" s="58"/>
      <c r="L41" s="58"/>
      <c r="M41" s="58"/>
      <c r="N41" s="58"/>
      <c r="O41" s="64"/>
    </row>
    <row r="42" spans="1:15" ht="30" x14ac:dyDescent="0.25">
      <c r="A42" s="73">
        <v>60</v>
      </c>
      <c r="B42" s="80" t="s">
        <v>134</v>
      </c>
      <c r="C42" s="78" t="s">
        <v>179</v>
      </c>
      <c r="D42" s="74">
        <v>0.06</v>
      </c>
      <c r="E42" s="73" t="s">
        <v>35</v>
      </c>
      <c r="F42" s="79">
        <v>1</v>
      </c>
      <c r="G42" s="73"/>
      <c r="H42" s="73"/>
      <c r="I42" s="74">
        <f t="shared" si="4"/>
        <v>0.06</v>
      </c>
      <c r="J42" s="58"/>
      <c r="K42" s="58"/>
      <c r="L42" s="58"/>
      <c r="M42" s="58"/>
      <c r="N42" s="58"/>
      <c r="O42" s="64"/>
    </row>
    <row r="43" spans="1:15" x14ac:dyDescent="0.25">
      <c r="A43" s="73">
        <v>70</v>
      </c>
      <c r="B43" s="80" t="s">
        <v>195</v>
      </c>
      <c r="C43" s="73" t="s">
        <v>180</v>
      </c>
      <c r="D43" s="74">
        <v>0.5</v>
      </c>
      <c r="E43" s="73" t="s">
        <v>35</v>
      </c>
      <c r="F43" s="79">
        <v>1</v>
      </c>
      <c r="G43" s="73"/>
      <c r="H43" s="73"/>
      <c r="I43" s="74">
        <f t="shared" si="4"/>
        <v>0.5</v>
      </c>
      <c r="J43" s="58"/>
      <c r="K43" s="58"/>
      <c r="L43" s="58"/>
      <c r="M43" s="58"/>
      <c r="N43" s="58"/>
      <c r="O43" s="64"/>
    </row>
    <row r="44" spans="1:15" x14ac:dyDescent="0.25">
      <c r="A44" s="73">
        <v>80</v>
      </c>
      <c r="B44" s="80" t="s">
        <v>238</v>
      </c>
      <c r="C44" s="73" t="s">
        <v>180</v>
      </c>
      <c r="D44" s="74">
        <v>0.25</v>
      </c>
      <c r="E44" s="73" t="s">
        <v>35</v>
      </c>
      <c r="F44" s="79">
        <v>1</v>
      </c>
      <c r="G44" s="73"/>
      <c r="H44" s="73"/>
      <c r="I44" s="74">
        <f t="shared" si="4"/>
        <v>0.25</v>
      </c>
      <c r="J44" s="58"/>
      <c r="K44" s="58"/>
      <c r="L44" s="58"/>
      <c r="M44" s="58"/>
      <c r="N44" s="58"/>
      <c r="O44" s="64"/>
    </row>
    <row r="45" spans="1:15" x14ac:dyDescent="0.25">
      <c r="A45" s="73">
        <v>90</v>
      </c>
      <c r="B45" s="80" t="s">
        <v>134</v>
      </c>
      <c r="C45" s="73" t="s">
        <v>181</v>
      </c>
      <c r="D45" s="74">
        <v>0.06</v>
      </c>
      <c r="E45" s="73" t="s">
        <v>35</v>
      </c>
      <c r="F45" s="79">
        <v>1</v>
      </c>
      <c r="G45" s="73"/>
      <c r="H45" s="73"/>
      <c r="I45" s="74">
        <f t="shared" si="4"/>
        <v>0.06</v>
      </c>
      <c r="J45" s="58"/>
      <c r="K45" s="58"/>
      <c r="L45" s="58"/>
      <c r="M45" s="58"/>
      <c r="N45" s="58"/>
      <c r="O45" s="64"/>
    </row>
    <row r="46" spans="1:15" x14ac:dyDescent="0.25">
      <c r="A46" s="73">
        <v>100</v>
      </c>
      <c r="B46" s="80" t="s">
        <v>239</v>
      </c>
      <c r="C46" s="73" t="s">
        <v>182</v>
      </c>
      <c r="D46" s="74">
        <v>0.5</v>
      </c>
      <c r="E46" s="73" t="s">
        <v>35</v>
      </c>
      <c r="F46" s="79">
        <v>2</v>
      </c>
      <c r="G46" s="73"/>
      <c r="H46" s="73"/>
      <c r="I46" s="74">
        <f t="shared" si="4"/>
        <v>1</v>
      </c>
      <c r="J46" s="58"/>
      <c r="K46" s="58"/>
      <c r="L46" s="58"/>
      <c r="M46" s="58"/>
      <c r="N46" s="58"/>
      <c r="O46" s="64"/>
    </row>
    <row r="47" spans="1:15" x14ac:dyDescent="0.25">
      <c r="A47" s="73">
        <v>110</v>
      </c>
      <c r="B47" s="80" t="s">
        <v>238</v>
      </c>
      <c r="C47" s="73" t="s">
        <v>182</v>
      </c>
      <c r="D47" s="74">
        <v>0.25</v>
      </c>
      <c r="E47" s="73" t="s">
        <v>35</v>
      </c>
      <c r="F47" s="79">
        <v>2</v>
      </c>
      <c r="G47" s="73"/>
      <c r="H47" s="73"/>
      <c r="I47" s="74">
        <f t="shared" si="4"/>
        <v>0.5</v>
      </c>
      <c r="J47" s="58"/>
      <c r="K47" s="58"/>
      <c r="L47" s="58"/>
      <c r="M47" s="58"/>
      <c r="N47" s="58"/>
      <c r="O47" s="64"/>
    </row>
    <row r="48" spans="1:15" x14ac:dyDescent="0.25">
      <c r="A48" s="73">
        <v>120</v>
      </c>
      <c r="B48" s="80" t="s">
        <v>134</v>
      </c>
      <c r="C48" s="73" t="s">
        <v>188</v>
      </c>
      <c r="D48" s="74">
        <v>0.06</v>
      </c>
      <c r="E48" s="73" t="s">
        <v>35</v>
      </c>
      <c r="F48" s="79">
        <v>1</v>
      </c>
      <c r="G48" s="73"/>
      <c r="H48" s="73"/>
      <c r="I48" s="74">
        <f t="shared" si="4"/>
        <v>0.06</v>
      </c>
      <c r="J48" s="58"/>
      <c r="K48" s="58"/>
      <c r="L48" s="58"/>
      <c r="M48" s="58"/>
      <c r="N48" s="58"/>
      <c r="O48" s="64"/>
    </row>
    <row r="49" spans="1:15" x14ac:dyDescent="0.25">
      <c r="A49" s="73">
        <v>130</v>
      </c>
      <c r="B49" s="80" t="s">
        <v>239</v>
      </c>
      <c r="C49" s="73" t="s">
        <v>189</v>
      </c>
      <c r="D49" s="74">
        <v>0.5</v>
      </c>
      <c r="E49" s="73" t="s">
        <v>35</v>
      </c>
      <c r="F49" s="79">
        <v>1</v>
      </c>
      <c r="G49" s="73"/>
      <c r="H49" s="73"/>
      <c r="I49" s="74">
        <f t="shared" si="4"/>
        <v>0.5</v>
      </c>
      <c r="J49" s="58"/>
      <c r="K49" s="58"/>
      <c r="L49" s="58"/>
      <c r="M49" s="58"/>
      <c r="N49" s="58"/>
      <c r="O49" s="64"/>
    </row>
    <row r="50" spans="1:15" x14ac:dyDescent="0.25">
      <c r="A50" s="73">
        <v>140</v>
      </c>
      <c r="B50" s="80" t="s">
        <v>238</v>
      </c>
      <c r="C50" s="73" t="s">
        <v>189</v>
      </c>
      <c r="D50" s="74">
        <v>0.25</v>
      </c>
      <c r="E50" s="73" t="s">
        <v>35</v>
      </c>
      <c r="F50" s="79">
        <v>1</v>
      </c>
      <c r="G50" s="73"/>
      <c r="H50" s="73"/>
      <c r="I50" s="74">
        <f t="shared" si="4"/>
        <v>0.25</v>
      </c>
      <c r="J50" s="58"/>
      <c r="K50" s="58"/>
      <c r="L50" s="58"/>
      <c r="M50" s="58"/>
      <c r="N50" s="58"/>
      <c r="O50" s="64"/>
    </row>
    <row r="51" spans="1:15" x14ac:dyDescent="0.25">
      <c r="A51" s="73">
        <v>150</v>
      </c>
      <c r="B51" s="80" t="s">
        <v>190</v>
      </c>
      <c r="C51" s="73" t="s">
        <v>193</v>
      </c>
      <c r="D51" s="74">
        <v>0.13</v>
      </c>
      <c r="E51" s="73" t="s">
        <v>35</v>
      </c>
      <c r="F51" s="79">
        <v>2</v>
      </c>
      <c r="G51" s="73"/>
      <c r="H51" s="73"/>
      <c r="I51" s="74">
        <f t="shared" si="4"/>
        <v>0.26</v>
      </c>
      <c r="J51" s="58"/>
      <c r="K51" s="58"/>
      <c r="L51" s="58"/>
      <c r="M51" s="58"/>
      <c r="N51" s="58"/>
      <c r="O51" s="64"/>
    </row>
    <row r="52" spans="1:15" x14ac:dyDescent="0.25">
      <c r="A52" s="73">
        <v>160</v>
      </c>
      <c r="B52" s="80" t="s">
        <v>237</v>
      </c>
      <c r="C52" s="73" t="s">
        <v>191</v>
      </c>
      <c r="D52" s="74">
        <v>0.75</v>
      </c>
      <c r="E52" s="73" t="s">
        <v>35</v>
      </c>
      <c r="F52" s="79">
        <v>2</v>
      </c>
      <c r="G52" s="73"/>
      <c r="H52" s="73"/>
      <c r="I52" s="74">
        <f t="shared" si="4"/>
        <v>1.5</v>
      </c>
      <c r="J52" s="58"/>
      <c r="K52" s="58"/>
      <c r="L52" s="58"/>
      <c r="M52" s="58"/>
      <c r="N52" s="58"/>
      <c r="O52" s="64"/>
    </row>
    <row r="53" spans="1:15" x14ac:dyDescent="0.25">
      <c r="A53" s="73">
        <v>170</v>
      </c>
      <c r="B53" s="80" t="s">
        <v>190</v>
      </c>
      <c r="C53" s="73" t="s">
        <v>194</v>
      </c>
      <c r="D53" s="74">
        <v>0.13</v>
      </c>
      <c r="E53" s="73" t="s">
        <v>35</v>
      </c>
      <c r="F53" s="79">
        <v>2</v>
      </c>
      <c r="G53" s="73"/>
      <c r="H53" s="73"/>
      <c r="I53" s="74">
        <f t="shared" si="4"/>
        <v>0.26</v>
      </c>
      <c r="J53" s="58"/>
      <c r="K53" s="58"/>
      <c r="L53" s="58"/>
      <c r="M53" s="58"/>
      <c r="N53" s="58"/>
      <c r="O53" s="64"/>
    </row>
    <row r="54" spans="1:15" x14ac:dyDescent="0.25">
      <c r="A54" s="73">
        <v>180</v>
      </c>
      <c r="B54" s="80" t="s">
        <v>237</v>
      </c>
      <c r="C54" s="73" t="s">
        <v>192</v>
      </c>
      <c r="D54" s="74">
        <v>0.75</v>
      </c>
      <c r="E54" s="73" t="s">
        <v>35</v>
      </c>
      <c r="F54" s="79">
        <v>2</v>
      </c>
      <c r="G54" s="73"/>
      <c r="H54" s="73"/>
      <c r="I54" s="74">
        <f t="shared" si="4"/>
        <v>1.5</v>
      </c>
      <c r="J54" s="58"/>
      <c r="K54" s="58"/>
      <c r="L54" s="58"/>
      <c r="M54" s="58"/>
      <c r="N54" s="58"/>
      <c r="O54" s="64"/>
    </row>
    <row r="55" spans="1:15" x14ac:dyDescent="0.25">
      <c r="A55" s="73">
        <v>190</v>
      </c>
      <c r="B55" s="80" t="s">
        <v>201</v>
      </c>
      <c r="C55" s="73" t="s">
        <v>202</v>
      </c>
      <c r="D55" s="74">
        <v>0.06</v>
      </c>
      <c r="E55" s="73" t="s">
        <v>41</v>
      </c>
      <c r="F55" s="79">
        <v>1.2</v>
      </c>
      <c r="G55" s="73" t="s">
        <v>207</v>
      </c>
      <c r="H55" s="73">
        <v>2</v>
      </c>
      <c r="I55" s="74">
        <f t="shared" si="4"/>
        <v>0.14399999999999999</v>
      </c>
      <c r="J55" s="58"/>
      <c r="K55" s="58"/>
      <c r="L55" s="58"/>
      <c r="M55" s="58"/>
      <c r="N55" s="58"/>
      <c r="O55" s="64"/>
    </row>
    <row r="56" spans="1:15" x14ac:dyDescent="0.25">
      <c r="A56" s="73">
        <v>200</v>
      </c>
      <c r="B56" s="80" t="s">
        <v>206</v>
      </c>
      <c r="C56" s="73" t="s">
        <v>203</v>
      </c>
      <c r="D56" s="74">
        <v>0.4</v>
      </c>
      <c r="E56" s="73" t="s">
        <v>41</v>
      </c>
      <c r="F56" s="79">
        <v>0.64500000000000002</v>
      </c>
      <c r="G56" s="73" t="s">
        <v>207</v>
      </c>
      <c r="H56" s="73">
        <v>2</v>
      </c>
      <c r="I56" s="74">
        <f t="shared" si="4"/>
        <v>0.51600000000000001</v>
      </c>
      <c r="J56" s="58"/>
      <c r="K56" s="58"/>
      <c r="L56" s="58"/>
      <c r="M56" s="58"/>
      <c r="N56" s="58"/>
      <c r="O56" s="64"/>
    </row>
    <row r="57" spans="1:15" x14ac:dyDescent="0.25">
      <c r="A57" s="73">
        <v>210</v>
      </c>
      <c r="B57" s="80" t="s">
        <v>206</v>
      </c>
      <c r="C57" s="73" t="s">
        <v>204</v>
      </c>
      <c r="D57" s="74">
        <v>0.4</v>
      </c>
      <c r="E57" s="73" t="s">
        <v>41</v>
      </c>
      <c r="F57" s="79">
        <v>0.64500000000000002</v>
      </c>
      <c r="G57" s="73" t="s">
        <v>208</v>
      </c>
      <c r="H57" s="73">
        <v>4</v>
      </c>
      <c r="I57" s="74">
        <f t="shared" si="4"/>
        <v>1.032</v>
      </c>
      <c r="J57" s="58"/>
      <c r="K57" s="58"/>
      <c r="L57" s="58"/>
      <c r="M57" s="58"/>
      <c r="N57" s="58"/>
      <c r="O57" s="64"/>
    </row>
    <row r="58" spans="1:15" x14ac:dyDescent="0.25">
      <c r="A58" s="73">
        <v>220</v>
      </c>
      <c r="B58" s="80" t="s">
        <v>206</v>
      </c>
      <c r="C58" s="73" t="s">
        <v>205</v>
      </c>
      <c r="D58" s="74">
        <v>0.4</v>
      </c>
      <c r="E58" s="73" t="s">
        <v>41</v>
      </c>
      <c r="F58" s="79">
        <v>0.64500000000000002</v>
      </c>
      <c r="G58" s="73"/>
      <c r="H58" s="73"/>
      <c r="I58" s="74">
        <f t="shared" si="4"/>
        <v>0.25800000000000001</v>
      </c>
      <c r="J58" s="58"/>
      <c r="K58" s="58"/>
      <c r="L58" s="58"/>
      <c r="M58" s="58"/>
      <c r="N58" s="58"/>
      <c r="O58" s="64"/>
    </row>
    <row r="59" spans="1:15" x14ac:dyDescent="0.25">
      <c r="A59" s="73">
        <v>230</v>
      </c>
      <c r="B59" s="80" t="s">
        <v>236</v>
      </c>
      <c r="C59" s="73" t="s">
        <v>196</v>
      </c>
      <c r="D59" s="74">
        <v>0.5</v>
      </c>
      <c r="E59" s="73" t="s">
        <v>35</v>
      </c>
      <c r="F59" s="79">
        <v>12</v>
      </c>
      <c r="G59" s="73"/>
      <c r="H59" s="73"/>
      <c r="I59" s="74">
        <f t="shared" si="4"/>
        <v>6</v>
      </c>
      <c r="J59" s="58"/>
      <c r="K59" s="58"/>
      <c r="L59" s="58"/>
      <c r="M59" s="58"/>
      <c r="N59" s="58"/>
      <c r="O59" s="64"/>
    </row>
    <row r="60" spans="1:15" x14ac:dyDescent="0.25">
      <c r="A60" s="73">
        <v>240</v>
      </c>
      <c r="B60" s="80" t="s">
        <v>235</v>
      </c>
      <c r="C60" s="73" t="s">
        <v>197</v>
      </c>
      <c r="D60" s="74">
        <v>1.5</v>
      </c>
      <c r="E60" s="73" t="s">
        <v>35</v>
      </c>
      <c r="F60" s="79">
        <v>12</v>
      </c>
      <c r="G60" s="73"/>
      <c r="H60" s="73"/>
      <c r="I60" s="74">
        <f t="shared" si="4"/>
        <v>18</v>
      </c>
      <c r="J60" s="58"/>
      <c r="K60" s="58"/>
      <c r="L60" s="58"/>
      <c r="M60" s="58"/>
      <c r="N60" s="58"/>
      <c r="O60" s="64"/>
    </row>
    <row r="61" spans="1:15" x14ac:dyDescent="0.25">
      <c r="A61" s="73">
        <v>250</v>
      </c>
      <c r="B61" s="80" t="s">
        <v>234</v>
      </c>
      <c r="C61" s="73" t="s">
        <v>197</v>
      </c>
      <c r="D61" s="74">
        <v>0.25</v>
      </c>
      <c r="E61" s="73" t="s">
        <v>35</v>
      </c>
      <c r="F61" s="79">
        <v>12</v>
      </c>
      <c r="G61" s="73"/>
      <c r="H61" s="73"/>
      <c r="I61" s="74">
        <f t="shared" si="4"/>
        <v>3</v>
      </c>
      <c r="J61" s="58"/>
      <c r="K61" s="58"/>
      <c r="L61" s="58"/>
      <c r="M61" s="58"/>
      <c r="N61" s="58"/>
      <c r="O61" s="64"/>
    </row>
    <row r="62" spans="1:15" x14ac:dyDescent="0.25">
      <c r="A62" s="73">
        <v>260</v>
      </c>
      <c r="B62" s="80" t="s">
        <v>233</v>
      </c>
      <c r="C62" s="73" t="s">
        <v>198</v>
      </c>
      <c r="D62" s="74">
        <v>0.5</v>
      </c>
      <c r="E62" s="73" t="s">
        <v>35</v>
      </c>
      <c r="F62" s="79">
        <v>4</v>
      </c>
      <c r="G62" s="73"/>
      <c r="H62" s="73"/>
      <c r="I62" s="74">
        <f t="shared" si="4"/>
        <v>2</v>
      </c>
      <c r="J62" s="58"/>
      <c r="K62" s="58"/>
      <c r="L62" s="58"/>
      <c r="M62" s="58"/>
      <c r="N62" s="58"/>
      <c r="O62" s="64"/>
    </row>
    <row r="63" spans="1:15" x14ac:dyDescent="0.25">
      <c r="A63" s="73">
        <v>270</v>
      </c>
      <c r="B63" s="80" t="s">
        <v>199</v>
      </c>
      <c r="C63" s="73" t="s">
        <v>200</v>
      </c>
      <c r="D63" s="74">
        <v>0.09</v>
      </c>
      <c r="E63" s="73" t="s">
        <v>35</v>
      </c>
      <c r="F63" s="79">
        <v>22</v>
      </c>
      <c r="G63" s="73"/>
      <c r="H63" s="73"/>
      <c r="I63" s="74">
        <f t="shared" si="4"/>
        <v>1.98</v>
      </c>
      <c r="J63" s="58"/>
      <c r="K63" s="58"/>
      <c r="L63" s="58"/>
      <c r="M63" s="58"/>
      <c r="N63" s="58"/>
      <c r="O63" s="64"/>
    </row>
    <row r="64" spans="1:15" x14ac:dyDescent="0.25">
      <c r="A64" s="68"/>
      <c r="B64" s="24"/>
      <c r="C64" s="24"/>
      <c r="D64" s="24"/>
      <c r="E64" s="24"/>
      <c r="F64" s="24"/>
      <c r="G64" s="24"/>
      <c r="H64" s="106" t="s">
        <v>18</v>
      </c>
      <c r="I64" s="107">
        <f>SUM(I37:I63)</f>
        <v>41.732599999999998</v>
      </c>
      <c r="J64" s="58"/>
      <c r="K64" s="58"/>
      <c r="L64" s="58"/>
      <c r="M64" s="58"/>
      <c r="N64" s="58"/>
      <c r="O64" s="64"/>
    </row>
    <row r="65" spans="1:15" x14ac:dyDescent="0.25">
      <c r="A65" s="65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64"/>
    </row>
    <row r="66" spans="1:15" x14ac:dyDescent="0.25">
      <c r="A66" s="104" t="s">
        <v>14</v>
      </c>
      <c r="B66" s="104" t="s">
        <v>36</v>
      </c>
      <c r="C66" s="104" t="s">
        <v>20</v>
      </c>
      <c r="D66" s="104" t="s">
        <v>21</v>
      </c>
      <c r="E66" s="104" t="s">
        <v>22</v>
      </c>
      <c r="F66" s="104" t="s">
        <v>23</v>
      </c>
      <c r="G66" s="104" t="s">
        <v>24</v>
      </c>
      <c r="H66" s="104" t="s">
        <v>25</v>
      </c>
      <c r="I66" s="104" t="s">
        <v>17</v>
      </c>
      <c r="J66" s="104" t="s">
        <v>18</v>
      </c>
      <c r="K66" s="58"/>
      <c r="L66" s="58"/>
      <c r="M66" s="58"/>
      <c r="N66" s="58"/>
      <c r="O66" s="64"/>
    </row>
    <row r="67" spans="1:15" x14ac:dyDescent="0.25">
      <c r="A67" s="73">
        <v>10</v>
      </c>
      <c r="B67" s="73" t="s">
        <v>229</v>
      </c>
      <c r="C67" s="73" t="s">
        <v>221</v>
      </c>
      <c r="D67" s="81">
        <f>1.25/105154*E67^2*G67*SQRT(G67)+0.005*EXP(0.319*E67)</f>
        <v>0.52761511887802037</v>
      </c>
      <c r="E67" s="82">
        <v>6</v>
      </c>
      <c r="F67" s="82" t="s">
        <v>30</v>
      </c>
      <c r="G67" s="82">
        <v>110</v>
      </c>
      <c r="H67" s="82" t="s">
        <v>30</v>
      </c>
      <c r="I67" s="83">
        <v>1</v>
      </c>
      <c r="J67" s="74">
        <f t="shared" ref="J67:J71" si="6">I67*D67</f>
        <v>0.52761511887802037</v>
      </c>
      <c r="K67" s="58"/>
      <c r="L67" s="58"/>
      <c r="M67" s="58"/>
      <c r="N67" s="58"/>
      <c r="O67" s="64"/>
    </row>
    <row r="68" spans="1:15" x14ac:dyDescent="0.25">
      <c r="A68" s="73">
        <v>20</v>
      </c>
      <c r="B68" s="73" t="s">
        <v>228</v>
      </c>
      <c r="C68" s="73" t="s">
        <v>221</v>
      </c>
      <c r="D68" s="81">
        <v>0.02</v>
      </c>
      <c r="E68" s="82"/>
      <c r="F68" s="82"/>
      <c r="G68" s="82"/>
      <c r="H68" s="82"/>
      <c r="I68" s="83">
        <v>2</v>
      </c>
      <c r="J68" s="74">
        <f t="shared" si="6"/>
        <v>0.04</v>
      </c>
      <c r="K68" s="58"/>
      <c r="L68" s="58"/>
      <c r="M68" s="58"/>
      <c r="N68" s="58"/>
      <c r="O68" s="64"/>
    </row>
    <row r="69" spans="1:15" x14ac:dyDescent="0.25">
      <c r="A69" s="73">
        <v>30</v>
      </c>
      <c r="B69" s="73" t="s">
        <v>230</v>
      </c>
      <c r="C69" s="73" t="s">
        <v>221</v>
      </c>
      <c r="D69" s="81">
        <f>0.015*EXP(0.2*E69)</f>
        <v>4.9801753841048221E-2</v>
      </c>
      <c r="E69" s="82">
        <v>6</v>
      </c>
      <c r="F69" s="82" t="s">
        <v>30</v>
      </c>
      <c r="G69" s="82"/>
      <c r="H69" s="82"/>
      <c r="I69" s="83">
        <v>1</v>
      </c>
      <c r="J69" s="74">
        <f t="shared" si="6"/>
        <v>4.9801753841048221E-2</v>
      </c>
      <c r="K69" s="58"/>
      <c r="L69" s="58"/>
      <c r="M69" s="58"/>
      <c r="N69" s="58"/>
      <c r="O69" s="64"/>
    </row>
    <row r="70" spans="1:15" x14ac:dyDescent="0.25">
      <c r="A70" s="73">
        <v>40</v>
      </c>
      <c r="B70" s="73" t="s">
        <v>219</v>
      </c>
      <c r="C70" s="73" t="s">
        <v>220</v>
      </c>
      <c r="D70" s="81">
        <f>0.8/105154*E70^2*G70*SQRT(G70)+0.003*EXP(0.319*E70)</f>
        <v>0.18074393242837247</v>
      </c>
      <c r="E70" s="82">
        <v>6</v>
      </c>
      <c r="F70" s="82" t="s">
        <v>30</v>
      </c>
      <c r="G70" s="82">
        <v>70</v>
      </c>
      <c r="H70" s="82" t="s">
        <v>30</v>
      </c>
      <c r="I70" s="83">
        <v>1</v>
      </c>
      <c r="J70" s="74">
        <f t="shared" si="6"/>
        <v>0.18074393242837247</v>
      </c>
      <c r="K70" s="58"/>
      <c r="L70" s="58"/>
      <c r="M70" s="58"/>
      <c r="N70" s="58"/>
      <c r="O70" s="64"/>
    </row>
    <row r="71" spans="1:15" x14ac:dyDescent="0.25">
      <c r="A71" s="73">
        <v>50</v>
      </c>
      <c r="B71" s="73" t="s">
        <v>231</v>
      </c>
      <c r="C71" s="73" t="s">
        <v>220</v>
      </c>
      <c r="D71" s="81">
        <f>0.009*EXP(0.2*E71)</f>
        <v>2.9881052304628931E-2</v>
      </c>
      <c r="E71" s="82">
        <v>6</v>
      </c>
      <c r="F71" s="82" t="s">
        <v>30</v>
      </c>
      <c r="G71" s="82"/>
      <c r="H71" s="82"/>
      <c r="I71" s="83">
        <v>3</v>
      </c>
      <c r="J71" s="74">
        <f t="shared" si="6"/>
        <v>8.9643156913886801E-2</v>
      </c>
      <c r="K71" s="58"/>
      <c r="L71" s="58"/>
      <c r="M71" s="58"/>
      <c r="N71" s="58"/>
      <c r="O71" s="64"/>
    </row>
    <row r="72" spans="1:15" x14ac:dyDescent="0.25">
      <c r="A72" s="73">
        <v>60</v>
      </c>
      <c r="B72" s="73" t="s">
        <v>232</v>
      </c>
      <c r="C72" s="73" t="s">
        <v>218</v>
      </c>
      <c r="D72" s="81">
        <f>0.8/105154*E72^2*G72*SQRT(G72)+0.003*EXP(0.319*E72)</f>
        <v>4.4837397015100443E-2</v>
      </c>
      <c r="E72" s="82">
        <v>6</v>
      </c>
      <c r="F72" s="82" t="s">
        <v>30</v>
      </c>
      <c r="G72" s="82">
        <v>20</v>
      </c>
      <c r="H72" s="82" t="s">
        <v>30</v>
      </c>
      <c r="I72" s="83">
        <v>1</v>
      </c>
      <c r="J72" s="74">
        <f t="shared" ref="J72:J74" si="7">I72*D72</f>
        <v>4.4837397015100443E-2</v>
      </c>
      <c r="K72" s="58"/>
      <c r="L72" s="58"/>
      <c r="M72" s="58"/>
      <c r="N72" s="58"/>
      <c r="O72" s="64"/>
    </row>
    <row r="73" spans="1:15" x14ac:dyDescent="0.25">
      <c r="A73" s="73">
        <v>70</v>
      </c>
      <c r="B73" s="73" t="s">
        <v>37</v>
      </c>
      <c r="C73" s="73" t="s">
        <v>218</v>
      </c>
      <c r="D73" s="81">
        <v>0.01</v>
      </c>
      <c r="E73" s="82"/>
      <c r="F73" s="82"/>
      <c r="G73" s="82"/>
      <c r="H73" s="82"/>
      <c r="I73" s="83">
        <v>2</v>
      </c>
      <c r="J73" s="74">
        <f t="shared" ref="J73" si="8">I73*D73</f>
        <v>0.02</v>
      </c>
      <c r="K73" s="58"/>
      <c r="L73" s="58"/>
      <c r="M73" s="58"/>
      <c r="N73" s="58"/>
      <c r="O73" s="64"/>
    </row>
    <row r="74" spans="1:15" x14ac:dyDescent="0.25">
      <c r="A74" s="73">
        <v>80</v>
      </c>
      <c r="B74" s="73" t="s">
        <v>231</v>
      </c>
      <c r="C74" s="73" t="s">
        <v>218</v>
      </c>
      <c r="D74" s="81">
        <f>0.009*EXP(0.2*E74)</f>
        <v>2.9881052304628931E-2</v>
      </c>
      <c r="E74" s="82">
        <v>6</v>
      </c>
      <c r="F74" s="82" t="s">
        <v>30</v>
      </c>
      <c r="G74" s="82"/>
      <c r="H74" s="82"/>
      <c r="I74" s="83">
        <v>1</v>
      </c>
      <c r="J74" s="74">
        <f t="shared" si="7"/>
        <v>2.9881052304628931E-2</v>
      </c>
      <c r="K74" s="58"/>
      <c r="L74" s="58"/>
      <c r="M74" s="58"/>
      <c r="N74" s="58"/>
      <c r="O74" s="64"/>
    </row>
    <row r="75" spans="1:15" x14ac:dyDescent="0.25">
      <c r="A75" s="73">
        <v>90</v>
      </c>
      <c r="B75" s="73" t="s">
        <v>216</v>
      </c>
      <c r="C75" s="73" t="s">
        <v>217</v>
      </c>
      <c r="D75" s="81">
        <f>0.004*E75+0.5</f>
        <v>0.55200000000000005</v>
      </c>
      <c r="E75" s="73">
        <v>13</v>
      </c>
      <c r="F75" s="84" t="s">
        <v>30</v>
      </c>
      <c r="G75" s="73"/>
      <c r="H75" s="73"/>
      <c r="I75" s="83">
        <v>2</v>
      </c>
      <c r="J75" s="74">
        <f>I75*D75</f>
        <v>1.1040000000000001</v>
      </c>
      <c r="K75" s="58"/>
      <c r="L75" s="58"/>
      <c r="M75" s="58"/>
      <c r="N75" s="58"/>
      <c r="O75" s="64"/>
    </row>
    <row r="76" spans="1:15" x14ac:dyDescent="0.25">
      <c r="A76" s="73">
        <v>100</v>
      </c>
      <c r="B76" s="73" t="s">
        <v>214</v>
      </c>
      <c r="C76" s="73" t="s">
        <v>215</v>
      </c>
      <c r="D76" s="81">
        <v>0.04</v>
      </c>
      <c r="E76" s="73"/>
      <c r="F76" s="84"/>
      <c r="G76" s="73"/>
      <c r="H76" s="73"/>
      <c r="I76" s="83">
        <v>22</v>
      </c>
      <c r="J76" s="74">
        <f>I76*D76</f>
        <v>0.88</v>
      </c>
      <c r="K76" s="58"/>
      <c r="L76" s="58"/>
      <c r="M76" s="58"/>
      <c r="N76" s="58"/>
      <c r="O76" s="64"/>
    </row>
    <row r="77" spans="1:15" x14ac:dyDescent="0.25">
      <c r="A77" s="68"/>
      <c r="B77" s="24"/>
      <c r="C77" s="24"/>
      <c r="D77" s="24"/>
      <c r="E77" s="24"/>
      <c r="F77" s="24"/>
      <c r="G77" s="24"/>
      <c r="H77" s="24"/>
      <c r="I77" s="106" t="s">
        <v>18</v>
      </c>
      <c r="J77" s="107">
        <f>SUM(J67:J76)</f>
        <v>2.9665224113810575</v>
      </c>
      <c r="K77" s="58"/>
      <c r="L77" s="58"/>
      <c r="M77" s="58"/>
      <c r="N77" s="58"/>
      <c r="O77" s="64"/>
    </row>
    <row r="78" spans="1:15" x14ac:dyDescent="0.25">
      <c r="A78" s="68"/>
      <c r="B78" s="24"/>
      <c r="C78" s="24"/>
      <c r="D78" s="24"/>
      <c r="E78" s="24"/>
      <c r="F78" s="24"/>
      <c r="G78" s="24"/>
      <c r="H78" s="24"/>
      <c r="I78" s="144"/>
      <c r="J78" s="145"/>
      <c r="K78" s="58"/>
      <c r="L78" s="58"/>
      <c r="M78" s="58"/>
      <c r="N78" s="58"/>
      <c r="O78" s="64"/>
    </row>
    <row r="79" spans="1:15" x14ac:dyDescent="0.25">
      <c r="A79" s="146" t="s">
        <v>14</v>
      </c>
      <c r="B79" s="146" t="s">
        <v>209</v>
      </c>
      <c r="C79" s="146" t="s">
        <v>20</v>
      </c>
      <c r="D79" s="146" t="s">
        <v>21</v>
      </c>
      <c r="E79" s="146" t="s">
        <v>32</v>
      </c>
      <c r="F79" s="146" t="s">
        <v>17</v>
      </c>
      <c r="G79" s="146" t="s">
        <v>210</v>
      </c>
      <c r="H79" s="146" t="s">
        <v>211</v>
      </c>
      <c r="I79" s="147" t="s">
        <v>18</v>
      </c>
      <c r="J79" s="145"/>
      <c r="K79" s="58"/>
      <c r="L79" s="58"/>
      <c r="M79" s="58"/>
      <c r="N79" s="58"/>
      <c r="O79" s="64"/>
    </row>
    <row r="80" spans="1:15" x14ac:dyDescent="0.25">
      <c r="A80" s="148">
        <v>10</v>
      </c>
      <c r="B80" s="148" t="s">
        <v>212</v>
      </c>
      <c r="C80" s="148" t="s">
        <v>213</v>
      </c>
      <c r="D80" s="148">
        <v>500</v>
      </c>
      <c r="E80" s="148" t="s">
        <v>222</v>
      </c>
      <c r="F80" s="148">
        <v>4</v>
      </c>
      <c r="G80" s="148">
        <v>3000</v>
      </c>
      <c r="H80" s="148">
        <v>1</v>
      </c>
      <c r="I80" s="74">
        <f>D80*F80/G80</f>
        <v>0.66666666666666663</v>
      </c>
      <c r="J80" s="145"/>
      <c r="K80" s="58"/>
      <c r="L80" s="58"/>
      <c r="M80" s="58"/>
      <c r="N80" s="58"/>
      <c r="O80" s="64"/>
    </row>
    <row r="81" spans="1:15" x14ac:dyDescent="0.25">
      <c r="A81" s="68"/>
      <c r="B81" s="24"/>
      <c r="C81" s="24"/>
      <c r="D81" s="24"/>
      <c r="E81" s="24"/>
      <c r="F81" s="24"/>
      <c r="G81" s="24"/>
      <c r="H81" s="106" t="s">
        <v>18</v>
      </c>
      <c r="I81" s="107">
        <f>SUM(I80:I80)</f>
        <v>0.66666666666666663</v>
      </c>
      <c r="J81" s="145"/>
      <c r="K81" s="58"/>
      <c r="L81" s="58"/>
      <c r="M81" s="58"/>
      <c r="N81" s="58"/>
      <c r="O81" s="64"/>
    </row>
    <row r="82" spans="1:15" x14ac:dyDescent="0.25">
      <c r="A82" s="68"/>
      <c r="B82" s="24"/>
      <c r="C82" s="24"/>
      <c r="D82" s="24"/>
      <c r="E82" s="24"/>
      <c r="F82" s="24"/>
      <c r="G82" s="24"/>
      <c r="H82" s="24"/>
      <c r="I82" s="144"/>
      <c r="J82" s="145"/>
      <c r="K82" s="58"/>
      <c r="L82" s="58"/>
      <c r="M82" s="58"/>
      <c r="N82" s="58"/>
      <c r="O82" s="64"/>
    </row>
    <row r="83" spans="1:15" ht="15.75" thickBot="1" x14ac:dyDescent="0.3">
      <c r="A83" s="70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2"/>
    </row>
    <row r="84" spans="1:15" x14ac:dyDescent="0.25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spans="1:15" x14ac:dyDescent="0.2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</sheetData>
  <hyperlinks>
    <hyperlink ref="B10" location="'BR 03001'!A1" display="'BR 03001'!A1" xr:uid="{00000000-0004-0000-0200-000000000000}"/>
    <hyperlink ref="B11" location="'BR 03002'!A1" display="'BR 03002'!A1" xr:uid="{00000000-0004-0000-0200-000001000000}"/>
    <hyperlink ref="B12" location="'BR 03003'!A1" display="'BR 03003'!A1" xr:uid="{00000000-0004-0000-0200-000002000000}"/>
    <hyperlink ref="B13" location="'BR 03004'!A1" display="'BR 03004'!A1" xr:uid="{00000000-0004-0000-02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8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  <pageSetUpPr fitToPage="1"/>
  </sheetPr>
  <dimension ref="A1:O22"/>
  <sheetViews>
    <sheetView zoomScale="70" zoomScaleNormal="70" workbookViewId="0">
      <selection activeCell="L33" sqref="L33"/>
    </sheetView>
  </sheetViews>
  <sheetFormatPr baseColWidth="10" defaultColWidth="9.140625" defaultRowHeight="15" x14ac:dyDescent="0.25"/>
  <cols>
    <col min="1" max="1" width="10.5703125" customWidth="1"/>
    <col min="2" max="2" width="34.42578125" bestFit="1" customWidth="1"/>
    <col min="3" max="3" width="21.42578125" bestFit="1" customWidth="1"/>
    <col min="4" max="4" width="9.28515625" bestFit="1" customWidth="1"/>
    <col min="5" max="6" width="9.140625" bestFit="1" customWidth="1"/>
    <col min="7" max="7" width="37.140625" bestFit="1" customWidth="1"/>
    <col min="8" max="8" width="10" bestFit="1" customWidth="1"/>
    <col min="9" max="9" width="28" bestFit="1" customWidth="1"/>
    <col min="10" max="10" width="9.28515625" bestFit="1" customWidth="1"/>
    <col min="11" max="11" width="8.710937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  <col min="16" max="1025" width="10.5703125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8" t="s">
        <v>0</v>
      </c>
      <c r="B2" s="16" t="s">
        <v>38</v>
      </c>
      <c r="C2" s="58"/>
      <c r="D2" s="58"/>
      <c r="E2" s="58"/>
      <c r="F2" s="58"/>
      <c r="G2" s="58" t="s">
        <v>129</v>
      </c>
      <c r="H2" s="58"/>
      <c r="I2" s="58"/>
      <c r="J2" s="109" t="s">
        <v>1</v>
      </c>
      <c r="K2" s="85">
        <v>81</v>
      </c>
      <c r="L2" s="58"/>
      <c r="M2" s="108" t="s">
        <v>16</v>
      </c>
      <c r="N2" s="74">
        <f>BR_03001_m+BR_03001_p</f>
        <v>1.0656425</v>
      </c>
      <c r="O2" s="64"/>
    </row>
    <row r="3" spans="1:15" x14ac:dyDescent="0.25">
      <c r="A3" s="108" t="s">
        <v>3</v>
      </c>
      <c r="B3" s="16" t="str">
        <f>'BR A0003'!B3</f>
        <v>Brake System</v>
      </c>
      <c r="C3" s="58"/>
      <c r="D3" s="108" t="s">
        <v>6</v>
      </c>
      <c r="E3" s="91" t="s">
        <v>88</v>
      </c>
      <c r="F3" s="58"/>
      <c r="G3" s="58"/>
      <c r="H3" s="58"/>
      <c r="I3" s="58"/>
      <c r="J3" s="58"/>
      <c r="K3" s="58"/>
      <c r="L3" s="58"/>
      <c r="M3" s="108" t="s">
        <v>4</v>
      </c>
      <c r="N3" s="83">
        <v>1</v>
      </c>
      <c r="O3" s="64"/>
    </row>
    <row r="4" spans="1:15" x14ac:dyDescent="0.25">
      <c r="A4" s="108" t="s">
        <v>5</v>
      </c>
      <c r="B4" s="91" t="str">
        <f>'BR A0003'!B4</f>
        <v>Brake Circuit Assembly</v>
      </c>
      <c r="C4" s="58"/>
      <c r="D4" s="108" t="s">
        <v>8</v>
      </c>
      <c r="E4" s="58"/>
      <c r="F4" s="58"/>
      <c r="G4" s="58"/>
      <c r="H4" s="58"/>
      <c r="I4" s="58"/>
      <c r="J4" s="110" t="s">
        <v>6</v>
      </c>
      <c r="K4" s="58"/>
      <c r="L4" s="58"/>
      <c r="M4" s="58"/>
      <c r="N4" s="58"/>
      <c r="O4" s="64"/>
    </row>
    <row r="5" spans="1:15" x14ac:dyDescent="0.25">
      <c r="A5" s="108" t="s">
        <v>15</v>
      </c>
      <c r="B5" s="58" t="s">
        <v>169</v>
      </c>
      <c r="C5" s="58"/>
      <c r="D5" s="108" t="s">
        <v>12</v>
      </c>
      <c r="E5" s="58"/>
      <c r="F5" s="58"/>
      <c r="G5" s="58"/>
      <c r="H5" s="58"/>
      <c r="I5" s="58"/>
      <c r="J5" s="110" t="s">
        <v>8</v>
      </c>
      <c r="K5" s="58"/>
      <c r="L5" s="58"/>
      <c r="M5" s="108" t="s">
        <v>9</v>
      </c>
      <c r="N5" s="74">
        <f>N3*N2</f>
        <v>1.0656425</v>
      </c>
      <c r="O5" s="64"/>
    </row>
    <row r="6" spans="1:15" x14ac:dyDescent="0.25">
      <c r="A6" s="108" t="s">
        <v>7</v>
      </c>
      <c r="B6" s="28" t="s">
        <v>173</v>
      </c>
      <c r="C6" s="58"/>
      <c r="D6" s="58"/>
      <c r="E6" s="58"/>
      <c r="F6" s="58"/>
      <c r="G6" s="58"/>
      <c r="H6" s="58"/>
      <c r="I6" s="58"/>
      <c r="J6" s="110" t="s">
        <v>12</v>
      </c>
      <c r="K6" s="58"/>
      <c r="L6" s="58"/>
      <c r="M6" s="58"/>
      <c r="N6" s="58"/>
      <c r="O6" s="64"/>
    </row>
    <row r="7" spans="1:15" x14ac:dyDescent="0.25">
      <c r="A7" s="108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08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86"/>
      <c r="B9" s="29"/>
      <c r="C9" s="29"/>
      <c r="D9" s="29"/>
      <c r="E9" s="29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1" t="s">
        <v>14</v>
      </c>
      <c r="B10" s="112" t="s">
        <v>19</v>
      </c>
      <c r="C10" s="112" t="s">
        <v>20</v>
      </c>
      <c r="D10" s="112" t="s">
        <v>21</v>
      </c>
      <c r="E10" s="112" t="s">
        <v>22</v>
      </c>
      <c r="F10" s="113" t="s">
        <v>23</v>
      </c>
      <c r="G10" s="113" t="s">
        <v>24</v>
      </c>
      <c r="H10" s="113" t="s">
        <v>25</v>
      </c>
      <c r="I10" s="113" t="s">
        <v>26</v>
      </c>
      <c r="J10" s="113" t="s">
        <v>27</v>
      </c>
      <c r="K10" s="113" t="s">
        <v>28</v>
      </c>
      <c r="L10" s="113" t="s">
        <v>29</v>
      </c>
      <c r="M10" s="113" t="s">
        <v>17</v>
      </c>
      <c r="N10" s="113" t="s">
        <v>18</v>
      </c>
      <c r="O10" s="64"/>
    </row>
    <row r="11" spans="1:15" s="22" customFormat="1" x14ac:dyDescent="0.25">
      <c r="A11" s="87">
        <v>10</v>
      </c>
      <c r="B11" s="30" t="s">
        <v>224</v>
      </c>
      <c r="C11" s="20"/>
      <c r="D11" s="32">
        <v>2.25</v>
      </c>
      <c r="E11" s="132">
        <f>J11*K11*L11</f>
        <v>1.413E-2</v>
      </c>
      <c r="F11" s="20" t="s">
        <v>133</v>
      </c>
      <c r="G11" s="20"/>
      <c r="H11" s="19"/>
      <c r="I11" s="21" t="s">
        <v>225</v>
      </c>
      <c r="J11" s="131">
        <f>0.04*0.03</f>
        <v>1.1999999999999999E-3</v>
      </c>
      <c r="K11" s="149">
        <v>1.5E-3</v>
      </c>
      <c r="L11" s="31">
        <v>7850</v>
      </c>
      <c r="M11" s="23">
        <v>1</v>
      </c>
      <c r="N11" s="32">
        <f>IF(J11="",D11*M11,D11*J11*K11*L11*M11)</f>
        <v>3.1792499999999994E-2</v>
      </c>
      <c r="O11" s="67"/>
    </row>
    <row r="12" spans="1:15" x14ac:dyDescent="0.25">
      <c r="A12" s="68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4" t="s">
        <v>18</v>
      </c>
      <c r="N12" s="115">
        <f>SUM(N11:N11)</f>
        <v>3.1792499999999994E-2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6" t="s">
        <v>14</v>
      </c>
      <c r="B14" s="113" t="s">
        <v>31</v>
      </c>
      <c r="C14" s="113" t="s">
        <v>20</v>
      </c>
      <c r="D14" s="113" t="s">
        <v>21</v>
      </c>
      <c r="E14" s="113" t="s">
        <v>32</v>
      </c>
      <c r="F14" s="113" t="s">
        <v>17</v>
      </c>
      <c r="G14" s="113" t="s">
        <v>33</v>
      </c>
      <c r="H14" s="113" t="s">
        <v>34</v>
      </c>
      <c r="I14" s="113" t="s">
        <v>18</v>
      </c>
      <c r="J14" s="24"/>
      <c r="K14" s="24"/>
      <c r="L14" s="24"/>
      <c r="M14" s="24"/>
      <c r="N14" s="24"/>
      <c r="O14" s="64"/>
    </row>
    <row r="15" spans="1:15" s="25" customFormat="1" ht="15" customHeight="1" x14ac:dyDescent="0.25">
      <c r="A15" s="88">
        <v>10</v>
      </c>
      <c r="B15" s="27" t="s">
        <v>39</v>
      </c>
      <c r="C15" s="33" t="s">
        <v>132</v>
      </c>
      <c r="D15" s="34">
        <v>1.3</v>
      </c>
      <c r="E15" s="27" t="s">
        <v>35</v>
      </c>
      <c r="F15" s="33">
        <v>1</v>
      </c>
      <c r="G15" s="33" t="s">
        <v>226</v>
      </c>
      <c r="H15" s="33">
        <f>1/2</f>
        <v>0.5</v>
      </c>
      <c r="I15" s="34">
        <f t="shared" ref="I15:I16" si="0">IF(H15="",D15*F15,D15*F15*H15)</f>
        <v>0.65</v>
      </c>
      <c r="J15" s="60"/>
      <c r="K15" s="60"/>
      <c r="L15" s="60"/>
      <c r="M15" s="60"/>
      <c r="N15" s="60"/>
      <c r="O15" s="69"/>
    </row>
    <row r="16" spans="1:15" x14ac:dyDescent="0.25">
      <c r="A16" s="66">
        <v>20</v>
      </c>
      <c r="B16" s="27" t="s">
        <v>40</v>
      </c>
      <c r="C16" s="18"/>
      <c r="D16" s="32">
        <v>0.01</v>
      </c>
      <c r="E16" s="18" t="s">
        <v>41</v>
      </c>
      <c r="F16" s="133">
        <v>12.795</v>
      </c>
      <c r="G16" s="27" t="s">
        <v>135</v>
      </c>
      <c r="H16" s="26">
        <v>3</v>
      </c>
      <c r="I16" s="32">
        <f t="shared" si="0"/>
        <v>0.38385000000000002</v>
      </c>
      <c r="J16" s="58"/>
      <c r="K16" s="58"/>
      <c r="L16" s="58"/>
      <c r="M16" s="58"/>
      <c r="N16" s="58"/>
      <c r="O16" s="64"/>
    </row>
    <row r="17" spans="1:15" x14ac:dyDescent="0.25">
      <c r="A17" s="68"/>
      <c r="B17" s="24"/>
      <c r="C17" s="24"/>
      <c r="D17" s="24"/>
      <c r="E17" s="24"/>
      <c r="F17" s="24"/>
      <c r="G17" s="24"/>
      <c r="H17" s="117" t="s">
        <v>18</v>
      </c>
      <c r="I17" s="115">
        <f>SUM(I15:I16)</f>
        <v>1.0338500000000002</v>
      </c>
      <c r="J17" s="24"/>
      <c r="K17" s="24"/>
      <c r="L17" s="24"/>
      <c r="M17" s="24"/>
      <c r="N17" s="24"/>
      <c r="O17" s="64"/>
    </row>
    <row r="18" spans="1:15" x14ac:dyDescent="0.25">
      <c r="A18" s="68"/>
      <c r="B18" s="24"/>
      <c r="C18" s="24"/>
      <c r="D18" s="24"/>
      <c r="E18" s="24"/>
      <c r="F18" s="24"/>
      <c r="G18" s="24"/>
      <c r="H18" s="144"/>
      <c r="I18" s="145"/>
      <c r="J18" s="24"/>
      <c r="K18" s="24"/>
      <c r="L18" s="24"/>
      <c r="M18" s="24"/>
      <c r="N18" s="24"/>
      <c r="O18" s="64"/>
    </row>
    <row r="19" spans="1:15" x14ac:dyDescent="0.25">
      <c r="A19" s="68"/>
      <c r="B19" s="24"/>
      <c r="C19" s="24"/>
      <c r="D19" s="24"/>
      <c r="E19" s="24"/>
      <c r="F19" s="24"/>
      <c r="G19" s="24"/>
      <c r="H19" s="144"/>
      <c r="I19" s="145"/>
      <c r="J19" s="24"/>
      <c r="K19" s="24"/>
      <c r="L19" s="24"/>
      <c r="M19" s="24"/>
      <c r="N19" s="24"/>
      <c r="O19" s="64"/>
    </row>
    <row r="20" spans="1:15" x14ac:dyDescent="0.25">
      <c r="A20" s="68"/>
      <c r="B20" s="24"/>
      <c r="C20" s="24"/>
      <c r="D20" s="24"/>
      <c r="E20" s="24"/>
      <c r="F20" s="24"/>
      <c r="G20" s="24"/>
      <c r="H20" s="144"/>
      <c r="I20" s="145"/>
      <c r="J20" s="24"/>
      <c r="K20" s="24"/>
      <c r="L20" s="24"/>
      <c r="M20" s="24"/>
      <c r="N20" s="24"/>
      <c r="O20" s="64"/>
    </row>
    <row r="21" spans="1:15" x14ac:dyDescent="0.25">
      <c r="A21" s="68"/>
      <c r="B21" s="24"/>
      <c r="C21" s="24"/>
      <c r="D21" s="24"/>
      <c r="E21" s="24"/>
      <c r="F21" s="24"/>
      <c r="G21" s="24"/>
      <c r="H21" s="144"/>
      <c r="I21" s="145"/>
      <c r="J21" s="24"/>
      <c r="K21" s="24"/>
      <c r="L21" s="24"/>
      <c r="M21" s="24"/>
      <c r="N21" s="24"/>
      <c r="O21" s="64"/>
    </row>
    <row r="22" spans="1:15" ht="15.75" thickBot="1" x14ac:dyDescent="0.3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2"/>
    </row>
  </sheetData>
  <hyperlinks>
    <hyperlink ref="B4" location="'BR A0003'!A1" display="'BR A0003'!A1" xr:uid="{00000000-0004-0000-0300-000000000000}"/>
    <hyperlink ref="E3" location="'dBR 03001'!A1" display="Drawing" xr:uid="{00000000-0004-0000-0300-000001000000}"/>
  </hyperlinks>
  <pageMargins left="0.78749999999999998" right="0.78749999999999998" top="1.05277777777778" bottom="1.05277777777778" header="0.78749999999999998" footer="0.78749999999999998"/>
  <pageSetup paperSize="9" scale="38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  <pageSetUpPr fitToPage="1"/>
  </sheetPr>
  <dimension ref="A1:B1"/>
  <sheetViews>
    <sheetView workbookViewId="0"/>
  </sheetViews>
  <sheetFormatPr baseColWidth="10" defaultRowHeight="15" x14ac:dyDescent="0.25"/>
  <cols>
    <col min="1" max="1" width="13.28515625" bestFit="1" customWidth="1"/>
  </cols>
  <sheetData>
    <row r="1" spans="1:2" x14ac:dyDescent="0.25">
      <c r="A1" s="134" t="s">
        <v>87</v>
      </c>
      <c r="B1" s="91" t="s">
        <v>173</v>
      </c>
    </row>
  </sheetData>
  <hyperlinks>
    <hyperlink ref="B1" location="'BR 03001'!A1" display="BR 03001" xr:uid="{00000000-0004-0000-0700-000000000000}"/>
  </hyperlinks>
  <pageMargins left="0.7" right="0.7" top="0.75" bottom="0.75" header="0.3" footer="0.3"/>
  <pageSetup paperSize="9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59999389629810485"/>
    <pageSetUpPr fitToPage="1"/>
  </sheetPr>
  <dimension ref="A1:O22"/>
  <sheetViews>
    <sheetView zoomScale="75" zoomScaleNormal="75" workbookViewId="0">
      <selection activeCell="F17" sqref="F17"/>
    </sheetView>
  </sheetViews>
  <sheetFormatPr baseColWidth="10" defaultColWidth="9.140625" defaultRowHeight="15" x14ac:dyDescent="0.25"/>
  <cols>
    <col min="1" max="1" width="10.5703125" bestFit="1" customWidth="1"/>
    <col min="2" max="2" width="34.42578125" bestFit="1" customWidth="1"/>
    <col min="3" max="3" width="30.85546875" bestFit="1" customWidth="1"/>
    <col min="4" max="4" width="9.28515625" bestFit="1" customWidth="1"/>
    <col min="5" max="5" width="8.7109375" bestFit="1" customWidth="1"/>
    <col min="7" max="7" width="39.42578125" bestFit="1" customWidth="1"/>
    <col min="8" max="8" width="10" customWidth="1"/>
    <col min="9" max="9" width="24" bestFit="1" customWidth="1"/>
    <col min="10" max="10" width="10.28515625" bestFit="1" customWidth="1"/>
    <col min="11" max="11" width="9.1406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8" t="s">
        <v>0</v>
      </c>
      <c r="B2" s="16" t="s">
        <v>38</v>
      </c>
      <c r="C2" s="58"/>
      <c r="D2" s="58"/>
      <c r="E2" s="58"/>
      <c r="F2" s="58"/>
      <c r="G2" s="58" t="s">
        <v>129</v>
      </c>
      <c r="H2" s="58"/>
      <c r="I2" s="58"/>
      <c r="J2" s="109" t="s">
        <v>1</v>
      </c>
      <c r="K2" s="85">
        <v>81</v>
      </c>
      <c r="L2" s="58"/>
      <c r="M2" s="108" t="s">
        <v>16</v>
      </c>
      <c r="N2" s="74">
        <f>BR_03002_m+BR_03002_p</f>
        <v>1.0079037500000001</v>
      </c>
      <c r="O2" s="64"/>
    </row>
    <row r="3" spans="1:15" x14ac:dyDescent="0.25">
      <c r="A3" s="108" t="s">
        <v>3</v>
      </c>
      <c r="B3" s="16" t="str">
        <f>'BR A0003'!B3</f>
        <v>Brake System</v>
      </c>
      <c r="C3" s="58"/>
      <c r="D3" s="108" t="s">
        <v>6</v>
      </c>
      <c r="E3" s="91" t="s">
        <v>88</v>
      </c>
      <c r="F3" s="58"/>
      <c r="G3" s="58"/>
      <c r="H3" s="58"/>
      <c r="I3" s="58"/>
      <c r="J3" s="58"/>
      <c r="K3" s="58"/>
      <c r="L3" s="58"/>
      <c r="M3" s="108" t="s">
        <v>4</v>
      </c>
      <c r="N3" s="83">
        <v>1</v>
      </c>
      <c r="O3" s="64"/>
    </row>
    <row r="4" spans="1:15" x14ac:dyDescent="0.25">
      <c r="A4" s="108" t="s">
        <v>5</v>
      </c>
      <c r="B4" s="91" t="str">
        <f>'BR A0003'!B4</f>
        <v>Brake Circuit Assembly</v>
      </c>
      <c r="C4" s="58"/>
      <c r="D4" s="108" t="s">
        <v>8</v>
      </c>
      <c r="E4" s="58"/>
      <c r="F4" s="58"/>
      <c r="G4" s="58"/>
      <c r="H4" s="58"/>
      <c r="I4" s="58"/>
      <c r="J4" s="110" t="s">
        <v>6</v>
      </c>
      <c r="K4" s="58"/>
      <c r="L4" s="58"/>
      <c r="M4" s="58"/>
      <c r="N4" s="58"/>
      <c r="O4" s="64"/>
    </row>
    <row r="5" spans="1:15" x14ac:dyDescent="0.25">
      <c r="A5" s="108" t="s">
        <v>15</v>
      </c>
      <c r="B5" s="143" t="s">
        <v>172</v>
      </c>
      <c r="C5" s="58"/>
      <c r="D5" s="108" t="s">
        <v>12</v>
      </c>
      <c r="E5" s="58"/>
      <c r="F5" s="58"/>
      <c r="G5" s="58"/>
      <c r="H5" s="58"/>
      <c r="I5" s="58"/>
      <c r="J5" s="110" t="s">
        <v>8</v>
      </c>
      <c r="K5" s="58"/>
      <c r="L5" s="58"/>
      <c r="M5" s="108" t="s">
        <v>9</v>
      </c>
      <c r="N5" s="74">
        <f>N3*N2</f>
        <v>1.0079037500000001</v>
      </c>
      <c r="O5" s="64"/>
    </row>
    <row r="6" spans="1:15" x14ac:dyDescent="0.25">
      <c r="A6" s="108" t="s">
        <v>7</v>
      </c>
      <c r="B6" s="28" t="s">
        <v>174</v>
      </c>
      <c r="C6" s="58"/>
      <c r="D6" s="58"/>
      <c r="E6" s="58"/>
      <c r="F6" s="58"/>
      <c r="G6" s="58"/>
      <c r="H6" s="58"/>
      <c r="I6" s="58"/>
      <c r="J6" s="110" t="s">
        <v>12</v>
      </c>
      <c r="K6" s="58"/>
      <c r="L6" s="58"/>
      <c r="M6" s="58"/>
      <c r="N6" s="58"/>
      <c r="O6" s="64"/>
    </row>
    <row r="7" spans="1:15" x14ac:dyDescent="0.25">
      <c r="A7" s="108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08" t="s">
        <v>13</v>
      </c>
      <c r="B8" s="16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86"/>
      <c r="B9" s="29"/>
      <c r="C9" s="29"/>
      <c r="D9" s="29"/>
      <c r="E9" s="29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1" t="s">
        <v>14</v>
      </c>
      <c r="B10" s="112" t="s">
        <v>19</v>
      </c>
      <c r="C10" s="112" t="s">
        <v>20</v>
      </c>
      <c r="D10" s="112" t="s">
        <v>21</v>
      </c>
      <c r="E10" s="112" t="s">
        <v>22</v>
      </c>
      <c r="F10" s="113" t="s">
        <v>23</v>
      </c>
      <c r="G10" s="113" t="s">
        <v>24</v>
      </c>
      <c r="H10" s="113" t="s">
        <v>25</v>
      </c>
      <c r="I10" s="113" t="s">
        <v>26</v>
      </c>
      <c r="J10" s="113" t="s">
        <v>27</v>
      </c>
      <c r="K10" s="113" t="s">
        <v>28</v>
      </c>
      <c r="L10" s="113" t="s">
        <v>29</v>
      </c>
      <c r="M10" s="113" t="s">
        <v>17</v>
      </c>
      <c r="N10" s="113" t="s">
        <v>18</v>
      </c>
      <c r="O10" s="64"/>
    </row>
    <row r="11" spans="1:15" s="22" customFormat="1" x14ac:dyDescent="0.25">
      <c r="A11" s="87">
        <v>10</v>
      </c>
      <c r="B11" s="30" t="s">
        <v>224</v>
      </c>
      <c r="C11" s="20"/>
      <c r="D11" s="32">
        <v>2.25</v>
      </c>
      <c r="E11" s="132">
        <f>J11*K11*L11</f>
        <v>1.1775000000000001E-2</v>
      </c>
      <c r="F11" s="20" t="s">
        <v>133</v>
      </c>
      <c r="G11" s="20"/>
      <c r="H11" s="19"/>
      <c r="I11" s="21" t="s">
        <v>227</v>
      </c>
      <c r="J11" s="131">
        <f>0.04*0.025</f>
        <v>1E-3</v>
      </c>
      <c r="K11" s="149">
        <v>1.5E-3</v>
      </c>
      <c r="L11" s="31">
        <v>7850</v>
      </c>
      <c r="M11" s="23">
        <v>1</v>
      </c>
      <c r="N11" s="32">
        <f>IF(J11="",D11*M11,D11*J11*K11*L11*M11)</f>
        <v>2.6493750000000003E-2</v>
      </c>
      <c r="O11" s="67"/>
    </row>
    <row r="12" spans="1:15" x14ac:dyDescent="0.25">
      <c r="A12" s="68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4" t="s">
        <v>18</v>
      </c>
      <c r="N12" s="115">
        <f>SUM(N11:N11)</f>
        <v>2.6493750000000003E-2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6" t="s">
        <v>14</v>
      </c>
      <c r="B14" s="113" t="s">
        <v>31</v>
      </c>
      <c r="C14" s="113" t="s">
        <v>20</v>
      </c>
      <c r="D14" s="113" t="s">
        <v>21</v>
      </c>
      <c r="E14" s="113" t="s">
        <v>32</v>
      </c>
      <c r="F14" s="113" t="s">
        <v>17</v>
      </c>
      <c r="G14" s="113" t="s">
        <v>33</v>
      </c>
      <c r="H14" s="113" t="s">
        <v>34</v>
      </c>
      <c r="I14" s="113" t="s">
        <v>18</v>
      </c>
      <c r="J14" s="24"/>
      <c r="K14" s="24"/>
      <c r="L14" s="24"/>
      <c r="M14" s="24"/>
      <c r="N14" s="24"/>
      <c r="O14" s="64"/>
    </row>
    <row r="15" spans="1:15" s="25" customFormat="1" x14ac:dyDescent="0.25">
      <c r="A15" s="88">
        <v>10</v>
      </c>
      <c r="B15" s="27" t="s">
        <v>39</v>
      </c>
      <c r="C15" s="33" t="s">
        <v>132</v>
      </c>
      <c r="D15" s="34">
        <v>1.3</v>
      </c>
      <c r="E15" s="27" t="s">
        <v>35</v>
      </c>
      <c r="F15" s="33">
        <v>1</v>
      </c>
      <c r="G15" s="33" t="s">
        <v>226</v>
      </c>
      <c r="H15" s="33">
        <f>1/2</f>
        <v>0.5</v>
      </c>
      <c r="I15" s="34">
        <f t="shared" ref="I15:I16" si="0">IF(H15="",D15*F15,D15*F15*H15)</f>
        <v>0.65</v>
      </c>
      <c r="J15" s="60"/>
      <c r="K15" s="60"/>
      <c r="L15" s="60"/>
      <c r="M15" s="60"/>
      <c r="N15" s="60"/>
      <c r="O15" s="69"/>
    </row>
    <row r="16" spans="1:15" x14ac:dyDescent="0.25">
      <c r="A16" s="66">
        <v>20</v>
      </c>
      <c r="B16" s="27" t="s">
        <v>40</v>
      </c>
      <c r="C16" s="18"/>
      <c r="D16" s="32">
        <v>0.01</v>
      </c>
      <c r="E16" s="18" t="s">
        <v>41</v>
      </c>
      <c r="F16" s="133">
        <v>11.047000000000001</v>
      </c>
      <c r="G16" s="27" t="s">
        <v>135</v>
      </c>
      <c r="H16" s="26">
        <v>3</v>
      </c>
      <c r="I16" s="32">
        <f t="shared" si="0"/>
        <v>0.33141000000000004</v>
      </c>
      <c r="J16" s="58"/>
      <c r="K16" s="58"/>
      <c r="L16" s="58"/>
      <c r="M16" s="58"/>
      <c r="N16" s="58"/>
      <c r="O16" s="64"/>
    </row>
    <row r="17" spans="1:15" x14ac:dyDescent="0.25">
      <c r="A17" s="68"/>
      <c r="B17" s="24"/>
      <c r="C17" s="24"/>
      <c r="D17" s="24"/>
      <c r="E17" s="24"/>
      <c r="F17" s="24"/>
      <c r="G17" s="24"/>
      <c r="H17" s="117" t="s">
        <v>18</v>
      </c>
      <c r="I17" s="115">
        <f>SUM(I15:I16)</f>
        <v>0.98141000000000012</v>
      </c>
      <c r="J17" s="24"/>
      <c r="K17" s="24"/>
      <c r="L17" s="24"/>
      <c r="M17" s="24"/>
      <c r="N17" s="24"/>
      <c r="O17" s="64"/>
    </row>
    <row r="18" spans="1:15" x14ac:dyDescent="0.25">
      <c r="A18" s="65"/>
      <c r="B18" s="58"/>
      <c r="C18" s="58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64"/>
    </row>
    <row r="19" spans="1:15" x14ac:dyDescent="0.25">
      <c r="A19" s="65"/>
      <c r="B19" s="58"/>
      <c r="C19" s="58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64"/>
    </row>
    <row r="20" spans="1:15" x14ac:dyDescent="0.25">
      <c r="A20" s="65"/>
      <c r="B20" s="58"/>
      <c r="C20" s="58"/>
      <c r="D20" s="58"/>
      <c r="E20" s="58"/>
      <c r="F20" s="58"/>
      <c r="G20" s="58"/>
      <c r="H20" s="58"/>
      <c r="I20" s="59"/>
      <c r="J20" s="58"/>
      <c r="K20" s="58"/>
      <c r="L20" s="58"/>
      <c r="M20" s="58"/>
      <c r="N20" s="58"/>
      <c r="O20" s="64"/>
    </row>
    <row r="21" spans="1:15" x14ac:dyDescent="0.25">
      <c r="A21" s="65"/>
      <c r="B21" s="58"/>
      <c r="C21" s="58"/>
      <c r="D21" s="58"/>
      <c r="E21" s="58"/>
      <c r="F21" s="58"/>
      <c r="G21" s="58"/>
      <c r="H21" s="58"/>
      <c r="I21" s="59"/>
      <c r="J21" s="58"/>
      <c r="K21" s="58"/>
      <c r="L21" s="58"/>
      <c r="M21" s="58"/>
      <c r="N21" s="58"/>
      <c r="O21" s="64"/>
    </row>
    <row r="22" spans="1:15" ht="15.75" thickBot="1" x14ac:dyDescent="0.3">
      <c r="A22" s="70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2"/>
    </row>
  </sheetData>
  <hyperlinks>
    <hyperlink ref="B4" location="'BR A0003'!A1" display="'BR A0003'!A1" xr:uid="{00000000-0004-0000-0400-000000000000}"/>
    <hyperlink ref="E3" location="'dBR 03002'!A1" display="Drawing" xr:uid="{00000000-0004-0000-04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B1"/>
  <sheetViews>
    <sheetView workbookViewId="0"/>
  </sheetViews>
  <sheetFormatPr baseColWidth="10" defaultRowHeight="15" x14ac:dyDescent="0.25"/>
  <cols>
    <col min="1" max="1" width="13.28515625" bestFit="1" customWidth="1"/>
  </cols>
  <sheetData>
    <row r="1" spans="1:2" x14ac:dyDescent="0.25">
      <c r="A1" t="s">
        <v>87</v>
      </c>
      <c r="B1" s="91" t="s">
        <v>174</v>
      </c>
    </row>
  </sheetData>
  <hyperlinks>
    <hyperlink ref="B1" location="'BR 03002'!A1" display="BR 03002" xr:uid="{00000000-0004-0000-08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59999389629810485"/>
    <pageSetUpPr fitToPage="1"/>
  </sheetPr>
  <dimension ref="A1:O22"/>
  <sheetViews>
    <sheetView zoomScale="75" zoomScaleNormal="75" workbookViewId="0">
      <selection activeCell="H12" sqref="H12"/>
    </sheetView>
  </sheetViews>
  <sheetFormatPr baseColWidth="10" defaultColWidth="9.140625" defaultRowHeight="15" x14ac:dyDescent="0.25"/>
  <cols>
    <col min="1" max="1" width="10.5703125" customWidth="1"/>
    <col min="2" max="2" width="35" customWidth="1"/>
    <col min="3" max="3" width="4.7109375" customWidth="1"/>
    <col min="4" max="4" width="9.28515625" bestFit="1" customWidth="1"/>
    <col min="5" max="5" width="7.42578125" customWidth="1"/>
    <col min="6" max="6" width="8.42578125" customWidth="1"/>
    <col min="7" max="7" width="36.42578125" customWidth="1"/>
    <col min="8" max="8" width="10" customWidth="1"/>
    <col min="9" max="10" width="11" bestFit="1" customWidth="1"/>
    <col min="11" max="11" width="7.5703125" bestFit="1" customWidth="1"/>
    <col min="12" max="12" width="8" bestFit="1" customWidth="1"/>
    <col min="13" max="13" width="13.85546875" bestFit="1" customWidth="1"/>
    <col min="14" max="14" width="9.28515625" bestFit="1" customWidth="1"/>
    <col min="15" max="15" width="3.140625" customWidth="1"/>
  </cols>
  <sheetData>
    <row r="1" spans="1:15" x14ac:dyDescent="0.25">
      <c r="A1" s="61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15" x14ac:dyDescent="0.25">
      <c r="A2" s="108" t="s">
        <v>0</v>
      </c>
      <c r="B2" s="16" t="s">
        <v>38</v>
      </c>
      <c r="C2" s="58"/>
      <c r="D2" s="58"/>
      <c r="E2" s="58"/>
      <c r="F2" s="58"/>
      <c r="G2" s="58" t="s">
        <v>129</v>
      </c>
      <c r="H2" s="58"/>
      <c r="I2" s="58"/>
      <c r="J2" s="109" t="s">
        <v>1</v>
      </c>
      <c r="K2" s="85">
        <v>81</v>
      </c>
      <c r="L2" s="58"/>
      <c r="M2" s="108" t="s">
        <v>16</v>
      </c>
      <c r="N2" s="74">
        <f>BR_03003_m+BR_03003_p</f>
        <v>0.72533112500000008</v>
      </c>
      <c r="O2" s="64"/>
    </row>
    <row r="3" spans="1:15" x14ac:dyDescent="0.25">
      <c r="A3" s="108" t="s">
        <v>3</v>
      </c>
      <c r="B3" s="16" t="str">
        <f>'BR A0003'!B3</f>
        <v>Brake System</v>
      </c>
      <c r="C3" s="58"/>
      <c r="D3" s="108" t="s">
        <v>6</v>
      </c>
      <c r="E3" s="91" t="s">
        <v>88</v>
      </c>
      <c r="F3" s="58"/>
      <c r="G3" s="58"/>
      <c r="H3" s="58"/>
      <c r="I3" s="58"/>
      <c r="J3" s="58"/>
      <c r="K3" s="58"/>
      <c r="L3" s="58"/>
      <c r="M3" s="108" t="s">
        <v>4</v>
      </c>
      <c r="N3" s="83">
        <v>2</v>
      </c>
      <c r="O3" s="64"/>
    </row>
    <row r="4" spans="1:15" x14ac:dyDescent="0.25">
      <c r="A4" s="108" t="s">
        <v>5</v>
      </c>
      <c r="B4" s="91" t="str">
        <f>'BR A0003'!B4</f>
        <v>Brake Circuit Assembly</v>
      </c>
      <c r="C4" s="58"/>
      <c r="D4" s="108" t="s">
        <v>8</v>
      </c>
      <c r="E4" s="58"/>
      <c r="F4" s="58"/>
      <c r="G4" s="58"/>
      <c r="H4" s="58"/>
      <c r="I4" s="58"/>
      <c r="J4" s="110" t="s">
        <v>6</v>
      </c>
      <c r="K4" s="58"/>
      <c r="L4" s="58"/>
      <c r="M4" s="58"/>
      <c r="N4" s="58"/>
      <c r="O4" s="64"/>
    </row>
    <row r="5" spans="1:15" x14ac:dyDescent="0.25">
      <c r="A5" s="108" t="s">
        <v>15</v>
      </c>
      <c r="B5" s="59" t="s">
        <v>170</v>
      </c>
      <c r="C5" s="58"/>
      <c r="D5" s="108" t="s">
        <v>12</v>
      </c>
      <c r="E5" s="58"/>
      <c r="F5" s="58"/>
      <c r="G5" s="58"/>
      <c r="H5" s="58"/>
      <c r="I5" s="58"/>
      <c r="J5" s="110" t="s">
        <v>8</v>
      </c>
      <c r="K5" s="58"/>
      <c r="L5" s="58"/>
      <c r="M5" s="108" t="s">
        <v>9</v>
      </c>
      <c r="N5" s="74">
        <f>N3*N2</f>
        <v>1.4506622500000002</v>
      </c>
      <c r="O5" s="64"/>
    </row>
    <row r="6" spans="1:15" x14ac:dyDescent="0.25">
      <c r="A6" s="108" t="s">
        <v>7</v>
      </c>
      <c r="B6" s="28" t="s">
        <v>175</v>
      </c>
      <c r="C6" s="58"/>
      <c r="D6" s="58"/>
      <c r="E6" s="58"/>
      <c r="F6" s="58"/>
      <c r="G6" s="58"/>
      <c r="H6" s="58"/>
      <c r="I6" s="58"/>
      <c r="J6" s="110" t="s">
        <v>12</v>
      </c>
      <c r="K6" s="58"/>
      <c r="L6" s="58"/>
      <c r="M6" s="58"/>
      <c r="N6" s="58"/>
      <c r="O6" s="64"/>
    </row>
    <row r="7" spans="1:15" x14ac:dyDescent="0.25">
      <c r="A7" s="108" t="s">
        <v>10</v>
      </c>
      <c r="B7" s="16" t="s">
        <v>11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64"/>
    </row>
    <row r="8" spans="1:15" x14ac:dyDescent="0.25">
      <c r="A8" s="108" t="s">
        <v>13</v>
      </c>
      <c r="B8" s="16" t="s">
        <v>243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64"/>
    </row>
    <row r="9" spans="1:15" x14ac:dyDescent="0.25">
      <c r="A9" s="86"/>
      <c r="B9" s="29"/>
      <c r="C9" s="29"/>
      <c r="D9" s="29"/>
      <c r="E9" s="29"/>
      <c r="F9" s="58"/>
      <c r="G9" s="58"/>
      <c r="H9" s="58"/>
      <c r="I9" s="58"/>
      <c r="J9" s="58"/>
      <c r="K9" s="58"/>
      <c r="L9" s="58"/>
      <c r="M9" s="58"/>
      <c r="N9" s="58"/>
      <c r="O9" s="64"/>
    </row>
    <row r="10" spans="1:15" x14ac:dyDescent="0.25">
      <c r="A10" s="111" t="s">
        <v>14</v>
      </c>
      <c r="B10" s="112" t="s">
        <v>19</v>
      </c>
      <c r="C10" s="112" t="s">
        <v>20</v>
      </c>
      <c r="D10" s="112" t="s">
        <v>21</v>
      </c>
      <c r="E10" s="112" t="s">
        <v>22</v>
      </c>
      <c r="F10" s="113" t="s">
        <v>23</v>
      </c>
      <c r="G10" s="113" t="s">
        <v>24</v>
      </c>
      <c r="H10" s="113" t="s">
        <v>25</v>
      </c>
      <c r="I10" s="113" t="s">
        <v>26</v>
      </c>
      <c r="J10" s="113" t="s">
        <v>27</v>
      </c>
      <c r="K10" s="113" t="s">
        <v>28</v>
      </c>
      <c r="L10" s="113" t="s">
        <v>29</v>
      </c>
      <c r="M10" s="113" t="s">
        <v>17</v>
      </c>
      <c r="N10" s="113" t="s">
        <v>18</v>
      </c>
      <c r="O10" s="64"/>
    </row>
    <row r="11" spans="1:15" s="22" customFormat="1" x14ac:dyDescent="0.25">
      <c r="A11" s="150">
        <v>10</v>
      </c>
      <c r="B11" s="151" t="s">
        <v>241</v>
      </c>
      <c r="C11" s="152"/>
      <c r="D11" s="153">
        <v>2.25</v>
      </c>
      <c r="E11" s="181">
        <v>1.0440500000000002E-2</v>
      </c>
      <c r="F11" s="180" t="s">
        <v>133</v>
      </c>
      <c r="G11" s="152"/>
      <c r="H11" s="154"/>
      <c r="I11" s="155"/>
      <c r="J11" s="177">
        <v>9.5000000000000005E-5</v>
      </c>
      <c r="K11" s="156">
        <v>1.4E-2</v>
      </c>
      <c r="L11" s="157">
        <v>7850</v>
      </c>
      <c r="M11" s="158">
        <v>1</v>
      </c>
      <c r="N11" s="32">
        <f>IF(J11="",D11*M11,D11*J11*K11*L11*M11)</f>
        <v>2.3491125000000002E-2</v>
      </c>
      <c r="O11" s="67"/>
    </row>
    <row r="12" spans="1:15" x14ac:dyDescent="0.25">
      <c r="A12" s="68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114" t="s">
        <v>18</v>
      </c>
      <c r="N12" s="115">
        <f>SUM(N11:N11)</f>
        <v>2.3491125000000002E-2</v>
      </c>
      <c r="O12" s="64"/>
    </row>
    <row r="13" spans="1:15" x14ac:dyDescent="0.25">
      <c r="A13" s="65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64"/>
    </row>
    <row r="14" spans="1:15" x14ac:dyDescent="0.25">
      <c r="A14" s="116" t="s">
        <v>14</v>
      </c>
      <c r="B14" s="113" t="s">
        <v>31</v>
      </c>
      <c r="C14" s="113" t="s">
        <v>20</v>
      </c>
      <c r="D14" s="113" t="s">
        <v>21</v>
      </c>
      <c r="E14" s="113" t="s">
        <v>32</v>
      </c>
      <c r="F14" s="113" t="s">
        <v>17</v>
      </c>
      <c r="G14" s="113" t="s">
        <v>33</v>
      </c>
      <c r="H14" s="113" t="s">
        <v>34</v>
      </c>
      <c r="I14" s="113" t="s">
        <v>18</v>
      </c>
      <c r="J14" s="24"/>
      <c r="K14" s="24"/>
      <c r="L14" s="24"/>
      <c r="M14" s="24"/>
      <c r="N14" s="24"/>
      <c r="O14" s="64"/>
    </row>
    <row r="15" spans="1:15" s="22" customFormat="1" x14ac:dyDescent="0.25">
      <c r="A15" s="170">
        <v>10</v>
      </c>
      <c r="B15" s="174" t="s">
        <v>39</v>
      </c>
      <c r="C15" s="172"/>
      <c r="D15" s="175">
        <v>1.3</v>
      </c>
      <c r="E15" s="169" t="s">
        <v>35</v>
      </c>
      <c r="F15" s="171">
        <v>1</v>
      </c>
      <c r="G15" s="176" t="s">
        <v>246</v>
      </c>
      <c r="H15" s="172">
        <v>0.5</v>
      </c>
      <c r="I15" s="32">
        <f t="shared" ref="I15" si="0">IF(H15="",D15*F15,D15*F15*H15)</f>
        <v>0.65</v>
      </c>
      <c r="J15" s="173"/>
      <c r="K15" s="173"/>
      <c r="L15" s="173"/>
      <c r="M15" s="173"/>
      <c r="N15" s="173"/>
      <c r="O15" s="67"/>
    </row>
    <row r="16" spans="1:15" s="25" customFormat="1" x14ac:dyDescent="0.25">
      <c r="A16" s="163">
        <v>20</v>
      </c>
      <c r="B16" s="168" t="s">
        <v>244</v>
      </c>
      <c r="C16" s="167"/>
      <c r="D16" s="165">
        <v>0.04</v>
      </c>
      <c r="E16" s="167" t="s">
        <v>245</v>
      </c>
      <c r="F16" s="162">
        <v>0.432</v>
      </c>
      <c r="G16" s="164" t="s">
        <v>135</v>
      </c>
      <c r="H16" s="166">
        <v>3</v>
      </c>
      <c r="I16" s="165">
        <f>IF(H16="",D16*F16,D16*F16*H16)</f>
        <v>5.1839999999999997E-2</v>
      </c>
      <c r="J16" s="60"/>
      <c r="K16" s="60"/>
      <c r="L16" s="60"/>
      <c r="M16" s="60"/>
      <c r="N16" s="60"/>
      <c r="O16" s="69"/>
    </row>
    <row r="17" spans="1:15" x14ac:dyDescent="0.25">
      <c r="A17" s="68"/>
      <c r="B17" s="24"/>
      <c r="C17" s="24"/>
      <c r="D17" s="24"/>
      <c r="E17" s="24"/>
      <c r="F17" s="24"/>
      <c r="G17" s="24"/>
      <c r="H17" s="117" t="s">
        <v>18</v>
      </c>
      <c r="I17" s="115">
        <f>SUM(I15:I16)</f>
        <v>0.70184000000000002</v>
      </c>
      <c r="J17" s="24"/>
      <c r="K17" s="24"/>
      <c r="L17" s="24"/>
      <c r="M17" s="24"/>
      <c r="N17" s="24"/>
      <c r="O17" s="64"/>
    </row>
    <row r="18" spans="1:15" x14ac:dyDescent="0.25">
      <c r="A18" s="68"/>
      <c r="B18" s="24"/>
      <c r="C18" s="24"/>
      <c r="D18" s="24"/>
      <c r="E18" s="24"/>
      <c r="F18" s="24"/>
      <c r="G18" s="160"/>
      <c r="H18" s="144"/>
      <c r="I18" s="145"/>
      <c r="J18" s="24"/>
      <c r="K18" s="24"/>
      <c r="L18" s="24"/>
      <c r="M18" s="24"/>
      <c r="N18" s="24"/>
      <c r="O18" s="64"/>
    </row>
    <row r="19" spans="1:15" x14ac:dyDescent="0.25">
      <c r="A19" s="68"/>
      <c r="B19" s="24"/>
      <c r="C19" s="24"/>
      <c r="D19" s="24"/>
      <c r="E19" s="24"/>
      <c r="F19" s="24"/>
      <c r="G19" s="160"/>
      <c r="H19" s="144"/>
      <c r="I19" s="145"/>
      <c r="J19" s="24"/>
      <c r="K19" s="24"/>
      <c r="L19" s="24"/>
      <c r="M19" s="24"/>
      <c r="N19" s="24"/>
      <c r="O19" s="64"/>
    </row>
    <row r="20" spans="1:15" x14ac:dyDescent="0.25">
      <c r="A20" s="68"/>
      <c r="B20" s="24"/>
      <c r="C20" s="24"/>
      <c r="D20" s="24"/>
      <c r="E20" s="24"/>
      <c r="F20" s="24"/>
      <c r="G20" s="160"/>
      <c r="H20" s="144"/>
      <c r="I20" s="145"/>
      <c r="J20" s="24"/>
      <c r="K20" s="24"/>
      <c r="L20" s="24"/>
      <c r="M20" s="24"/>
      <c r="N20" s="24"/>
      <c r="O20" s="64"/>
    </row>
    <row r="21" spans="1:15" x14ac:dyDescent="0.25">
      <c r="A21" s="68"/>
      <c r="B21" s="24"/>
      <c r="C21" s="24"/>
      <c r="D21" s="24"/>
      <c r="E21" s="24"/>
      <c r="F21" s="24"/>
      <c r="G21" s="160"/>
      <c r="H21" s="144"/>
      <c r="I21" s="145"/>
      <c r="J21" s="24"/>
      <c r="K21" s="24"/>
      <c r="L21" s="24"/>
      <c r="M21" s="24"/>
      <c r="N21" s="24"/>
      <c r="O21" s="64"/>
    </row>
    <row r="22" spans="1:15" ht="15.75" thickBot="1" x14ac:dyDescent="0.3">
      <c r="A22" s="70"/>
      <c r="B22" s="71"/>
      <c r="C22" s="71"/>
      <c r="D22" s="71"/>
      <c r="E22" s="71"/>
      <c r="F22" s="71"/>
      <c r="G22" s="161"/>
      <c r="H22" s="161"/>
      <c r="I22" s="161"/>
      <c r="J22" s="71"/>
      <c r="K22" s="71"/>
      <c r="L22" s="71"/>
      <c r="M22" s="71"/>
      <c r="N22" s="71"/>
      <c r="O22" s="72"/>
    </row>
  </sheetData>
  <hyperlinks>
    <hyperlink ref="B4" location="'BR A0003'!A1" display="'BR A0003'!A1" xr:uid="{00000000-0004-0000-0500-000000000000}"/>
    <hyperlink ref="E3" location="'dBR 03003'!A1" display="Drawing" xr:uid="{85853047-8565-4DFA-97E8-4D7A110B259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2" max="16383" man="1"/>
    <brk id="5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9911D-880B-4769-99AD-FCCE335F27EC}">
  <sheetPr>
    <tabColor theme="3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85546875" customWidth="1"/>
  </cols>
  <sheetData>
    <row r="1" spans="1:2" x14ac:dyDescent="0.25">
      <c r="A1" t="s">
        <v>247</v>
      </c>
      <c r="B1" s="91" t="str">
        <f>BR_03003</f>
        <v>BR 03003</v>
      </c>
    </row>
  </sheetData>
  <hyperlinks>
    <hyperlink ref="B1" location="BR_03003" display="BR_03003" xr:uid="{A699DA5E-4DD4-43F0-A126-097B587F916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27</vt:i4>
      </vt:variant>
    </vt:vector>
  </HeadingPairs>
  <TitlesOfParts>
    <vt:vector size="38" baseType="lpstr">
      <vt:lpstr>Instructions</vt:lpstr>
      <vt:lpstr>BOM</vt:lpstr>
      <vt:lpstr>BR A0003</vt:lpstr>
      <vt:lpstr>BR 03001</vt:lpstr>
      <vt:lpstr>dBR 03001</vt:lpstr>
      <vt:lpstr>BR 03002</vt:lpstr>
      <vt:lpstr>dBR 03002</vt:lpstr>
      <vt:lpstr>BR 03003</vt:lpstr>
      <vt:lpstr>dBR 03003</vt:lpstr>
      <vt:lpstr>BR 03004</vt:lpstr>
      <vt:lpstr>dBR 03004</vt:lpstr>
      <vt:lpstr>BR_03001</vt:lpstr>
      <vt:lpstr>BR_03001_m</vt:lpstr>
      <vt:lpstr>BR_03001_p</vt:lpstr>
      <vt:lpstr>BR_03001_q</vt:lpstr>
      <vt:lpstr>BR_03002</vt:lpstr>
      <vt:lpstr>BR_03002_m</vt:lpstr>
      <vt:lpstr>BR_03002_p</vt:lpstr>
      <vt:lpstr>BR_03002_q</vt:lpstr>
      <vt:lpstr>BR_03003</vt:lpstr>
      <vt:lpstr>BR_03003_m</vt:lpstr>
      <vt:lpstr>BR_03003_p</vt:lpstr>
      <vt:lpstr>BR_03003_q</vt:lpstr>
      <vt:lpstr>BR_03004</vt:lpstr>
      <vt:lpstr>BR_03004_m</vt:lpstr>
      <vt:lpstr>BR_03004_p</vt:lpstr>
      <vt:lpstr>BR_03004_q</vt:lpstr>
      <vt:lpstr>BR_A0003</vt:lpstr>
      <vt:lpstr>BR_A0003_f</vt:lpstr>
      <vt:lpstr>BR_A0003_m</vt:lpstr>
      <vt:lpstr>BR_A0003_p</vt:lpstr>
      <vt:lpstr>BR_A0003_pa</vt:lpstr>
      <vt:lpstr>BR_A0003_q</vt:lpstr>
      <vt:lpstr>BR_A0003_t</vt:lpstr>
      <vt:lpstr>BOM!Car</vt:lpstr>
      <vt:lpstr>BOM!CompCode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2015-05-29T18:57:13Z</dcterms:created>
  <dcterms:modified xsi:type="dcterms:W3CDTF">2018-05-03T17:32:00Z</dcterms:modified>
  <dc:language>fr-FR</dc:language>
</cp:coreProperties>
</file>