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EN\"/>
    </mc:Choice>
  </mc:AlternateContent>
  <xr:revisionPtr revIDLastSave="0" documentId="13_ncr:1_{21EC68C6-DB02-47DD-A90D-6B3BFA64D8DC}" xr6:coauthVersionLast="31" xr6:coauthVersionMax="31" xr10:uidLastSave="{00000000-0000-0000-0000-000000000000}"/>
  <bookViews>
    <workbookView xWindow="4740" yWindow="60" windowWidth="16380" windowHeight="8190" tabRatio="736" activeTab="1" xr2:uid="{00000000-000D-0000-FFFF-FFFF00000000}"/>
  </bookViews>
  <sheets>
    <sheet name="Instructions" sheetId="7" r:id="rId1"/>
    <sheet name="BOM" sheetId="8" r:id="rId2"/>
    <sheet name="EN A0200" sheetId="84" r:id="rId3"/>
    <sheet name="EN_02001" sheetId="85" r:id="rId4"/>
    <sheet name="dEN_02001" sheetId="86" r:id="rId5"/>
    <sheet name="EN_02002" sheetId="87" r:id="rId6"/>
    <sheet name="dEN_02002" sheetId="88" r:id="rId7"/>
    <sheet name="EN_02003" sheetId="89" r:id="rId8"/>
    <sheet name="EN_02004" sheetId="90" r:id="rId9"/>
    <sheet name="EN_02005" sheetId="91" r:id="rId10"/>
    <sheet name="EN_02006" sheetId="92" r:id="rId11"/>
    <sheet name="EN_02007" sheetId="93" r:id="rId12"/>
    <sheet name="EN_02008" sheetId="94" r:id="rId13"/>
    <sheet name="EN_02009" sheetId="95" r:id="rId14"/>
    <sheet name="EN_02010" sheetId="96" r:id="rId15"/>
    <sheet name="EN_A0300" sheetId="21" r:id="rId16"/>
    <sheet name="EN_0300_001" sheetId="22" r:id="rId17"/>
    <sheet name="EN_0300_002" sheetId="23" r:id="rId18"/>
    <sheet name="dEN_0300_002" sheetId="24" r:id="rId19"/>
    <sheet name="EN_0300_003" sheetId="25" r:id="rId20"/>
    <sheet name="EN_0300_009" sheetId="26" r:id="rId21"/>
    <sheet name="dEN_0300_009" sheetId="27" r:id="rId22"/>
    <sheet name="EN_0300_010" sheetId="28" r:id="rId23"/>
    <sheet name="dEN_0300_010" sheetId="29" r:id="rId24"/>
    <sheet name="EN_0300_011" sheetId="30" r:id="rId25"/>
    <sheet name="dEN_0300_011" sheetId="31" r:id="rId26"/>
    <sheet name="EN_0300_012" sheetId="32" r:id="rId27"/>
    <sheet name="dEN_0300_012" sheetId="33" r:id="rId28"/>
    <sheet name="EN_0300_013" sheetId="34" r:id="rId29"/>
    <sheet name="dEN_0300_013" sheetId="35" r:id="rId30"/>
    <sheet name="EN_A0400" sheetId="37" r:id="rId31"/>
    <sheet name="EN_0400_001" sheetId="38" r:id="rId32"/>
    <sheet name="EN_0400_002" sheetId="39" r:id="rId33"/>
    <sheet name="EN_0400_003" sheetId="40" r:id="rId34"/>
    <sheet name="EN_0400_004" sheetId="41" r:id="rId35"/>
    <sheet name="EN_0400_005" sheetId="42" r:id="rId36"/>
    <sheet name="EN_0400_006" sheetId="43" r:id="rId37"/>
    <sheet name="EN_0400_007" sheetId="44" r:id="rId38"/>
    <sheet name="EN_0400_008" sheetId="45" r:id="rId39"/>
    <sheet name="EN_0400_009" sheetId="46" r:id="rId40"/>
    <sheet name="EN_A0900" sheetId="48" r:id="rId41"/>
    <sheet name="EN_0900_001" sheetId="49" r:id="rId42"/>
    <sheet name="EN_0900_002" sheetId="50" r:id="rId43"/>
    <sheet name="EN_0900_002 Drawing" sheetId="51" r:id="rId44"/>
    <sheet name="EN_0900_003" sheetId="52" r:id="rId45"/>
    <sheet name="EN_0900_003 Drawing" sheetId="53" r:id="rId46"/>
    <sheet name="EN_0900_004" sheetId="54" r:id="rId47"/>
    <sheet name="EN_0900_004 Drawing" sheetId="55" r:id="rId48"/>
    <sheet name="EN_0900_005" sheetId="56" r:id="rId49"/>
    <sheet name="EN_0900_005 Drawing" sheetId="57" r:id="rId50"/>
    <sheet name="EN_0900_006" sheetId="58" r:id="rId51"/>
    <sheet name="EN_0900_006 Drawing" sheetId="59" r:id="rId52"/>
    <sheet name="EN_0900_007" sheetId="60" r:id="rId53"/>
    <sheet name="EN_0900_007 Drawing" sheetId="61" r:id="rId54"/>
    <sheet name="EN_0900_008" sheetId="62" r:id="rId55"/>
    <sheet name="EN_0900_008 Drawing" sheetId="63" r:id="rId56"/>
    <sheet name="EN_0900_009" sheetId="64" r:id="rId57"/>
    <sheet name="EN_0900_009 Drawing" sheetId="65" r:id="rId58"/>
    <sheet name="EN_A1000" sheetId="66" r:id="rId59"/>
    <sheet name="EN_1000_001" sheetId="67" r:id="rId60"/>
    <sheet name="EN_1000_002" sheetId="68" r:id="rId61"/>
    <sheet name="EN_1000_003" sheetId="69" r:id="rId62"/>
    <sheet name="EN_1000_003 Drawing" sheetId="70" r:id="rId63"/>
    <sheet name="EN_1000_004" sheetId="71" r:id="rId64"/>
    <sheet name="EN_1000_004 Drawing" sheetId="72" r:id="rId65"/>
    <sheet name="EN_A1100" sheetId="73" r:id="rId66"/>
    <sheet name="EN_1100_001" sheetId="83" r:id="rId67"/>
    <sheet name="EN_1100_002" sheetId="74" r:id="rId68"/>
    <sheet name="EN_1100_003" sheetId="75" r:id="rId69"/>
    <sheet name="EN_1100_003 Drawing" sheetId="76" r:id="rId70"/>
    <sheet name="EN_1100_004" sheetId="77" r:id="rId71"/>
    <sheet name="EN_1100_004 Drawing" sheetId="78" r:id="rId72"/>
    <sheet name="EN_1100_005" sheetId="79" r:id="rId73"/>
    <sheet name="EN_1100_005 Drawing" sheetId="80" r:id="rId74"/>
    <sheet name="EN_1100_006" sheetId="81" r:id="rId75"/>
    <sheet name="EN_1100_006 Drawing" sheetId="82" r:id="rId76"/>
  </sheets>
  <externalReferences>
    <externalReference r:id="rId77"/>
  </externalReferences>
  <definedNames>
    <definedName name="dEN_0300_002">dEN_0300_002!$A$1</definedName>
    <definedName name="dEN_0300_009">dEN_0300_009!$A$1</definedName>
    <definedName name="dEN_0300_010">dEN_0300_010!$A$1</definedName>
    <definedName name="dEN_0300_011">dEN_0300_011!$A$1</definedName>
    <definedName name="dEN_0300_012">dEN_0300_012!$A$1</definedName>
    <definedName name="dEN_0300_013">dEN_0300_013!$A$1</definedName>
    <definedName name="EN">EN_A0300!$B$5</definedName>
    <definedName name="EN_02001">EN_02001!$B$6</definedName>
    <definedName name="EN_02001_f" localSheetId="5">EN_02001!#REF!</definedName>
    <definedName name="EN_02001_f" localSheetId="7">EN_02001!#REF!</definedName>
    <definedName name="EN_02001_f" localSheetId="9">EN_02001!#REF!</definedName>
    <definedName name="EN_02001_f" localSheetId="10">EN_02001!#REF!</definedName>
    <definedName name="EN_02001_f" localSheetId="11">EN_02001!#REF!</definedName>
    <definedName name="EN_02001_f" localSheetId="12">EN_02001!#REF!</definedName>
    <definedName name="EN_02001_f" localSheetId="14">EN_02001!#REF!</definedName>
    <definedName name="EN_02001_f">EN_02001!#REF!</definedName>
    <definedName name="EN_02001_m">EN_02001!$N$12</definedName>
    <definedName name="EN_02001_p">EN_02001!$I$19</definedName>
    <definedName name="EN_02001_q">EN_02001!$N$3</definedName>
    <definedName name="EN_02001_t" localSheetId="5">EN_02001!#REF!</definedName>
    <definedName name="EN_02001_t" localSheetId="7">EN_02001!#REF!</definedName>
    <definedName name="EN_02001_t" localSheetId="9">EN_02001!#REF!</definedName>
    <definedName name="EN_02001_t" localSheetId="10">EN_02001!#REF!</definedName>
    <definedName name="EN_02001_t" localSheetId="11">EN_02001!#REF!</definedName>
    <definedName name="EN_02001_t" localSheetId="12">EN_02001!#REF!</definedName>
    <definedName name="EN_02001_t" localSheetId="14">EN_02001!#REF!</definedName>
    <definedName name="EN_02001_t">EN_02001!#REF!</definedName>
    <definedName name="EN_02002">EN_02002!$B$6</definedName>
    <definedName name="EN_02002_m">EN_02002!$N$12</definedName>
    <definedName name="EN_02002_p">EN_02002!$I$17</definedName>
    <definedName name="EN_02002_q">EN_02002!$N$3</definedName>
    <definedName name="EN_02003">EN_02003!$B$6</definedName>
    <definedName name="EN_02003_m">EN_02003!$N$12</definedName>
    <definedName name="EN_02003_p">EN_02003!$I$19</definedName>
    <definedName name="EN_02003_q">EN_02003!$N$3</definedName>
    <definedName name="EN_02003_t">EN_02003!$I$24</definedName>
    <definedName name="EN_02004">EN_02004!$B$6</definedName>
    <definedName name="EN_02004_m">EN_02004!$N$13</definedName>
    <definedName name="EN_02004_p">EN_02004!$I$19</definedName>
    <definedName name="EN_02004_q">EN_02004!$N$3</definedName>
    <definedName name="EN_02004_t">EN_02004!$I$23</definedName>
    <definedName name="EN_02005">EN_02005!$B$6</definedName>
    <definedName name="EN_02005_m">EN_02005!$N$12</definedName>
    <definedName name="EN_02005_p">EN_02005!$I$16</definedName>
    <definedName name="EN_02005_q">EN_02005!$N$3</definedName>
    <definedName name="EN_02005_t">EN_02005!#REF!</definedName>
    <definedName name="EN_02006">EN_02006!$B$6</definedName>
    <definedName name="EN_02006_m">EN_02006!$N$13</definedName>
    <definedName name="EN_02006_p">EN_02006!$I$19</definedName>
    <definedName name="EN_02006_q">EN_02006!$N$3</definedName>
    <definedName name="EN_02006_t">EN_02006!$I$23</definedName>
    <definedName name="EN_02007">EN_02007!$B$6</definedName>
    <definedName name="EN_02007_m">EN_02007!$N$12</definedName>
    <definedName name="EN_02007_p">EN_02007!$I$19</definedName>
    <definedName name="EN_02007_q">EN_02007!$N$3</definedName>
    <definedName name="EN_02007_t">EN_02007!$I$23</definedName>
    <definedName name="EN_02008">EN_02008!$B$6</definedName>
    <definedName name="EN_02008_m">EN_02008!$N$14</definedName>
    <definedName name="EN_02008_p">EN_02008!$I$22</definedName>
    <definedName name="EN_02008_q">EN_02008!$N$3</definedName>
    <definedName name="EN_02009">EN_02009!$B$6</definedName>
    <definedName name="EN_02009_m">EN_02009!$N$12</definedName>
    <definedName name="EN_02009_p">EN_02009!$I$17</definedName>
    <definedName name="EN_02009_q">EN_02009!$N$3</definedName>
    <definedName name="EN_02009_t">EN_02009!$I$21</definedName>
    <definedName name="EN_02010">EN_02010!$B$6</definedName>
    <definedName name="EN_02010_m">EN_02010!$N$12</definedName>
    <definedName name="EN_02010_p">EN_02010!$I$17</definedName>
    <definedName name="EN_02010_q">EN_02010!$N$3</definedName>
    <definedName name="EN_02010_t">EN_02010!#REF!</definedName>
    <definedName name="EN_0300_001">EN_0300_001!$B$5</definedName>
    <definedName name="EN_0300_001_f">EN_0300_001!$I$19</definedName>
    <definedName name="EN_0300_001_m">EN_0300_001!$N$12</definedName>
    <definedName name="EN_0300_001_p">EN_0300_001!$I$17</definedName>
    <definedName name="EN_0300_001_q">EN_0300_001!$N$3</definedName>
    <definedName name="EN_0300_001_t">EN_0300_001!$I$21</definedName>
    <definedName name="EN_0300_002">EN_0300_002!$B$5</definedName>
    <definedName name="EN_0300_002_f">EN_0300_002!$I$19</definedName>
    <definedName name="EN_0300_002_m">EN_0300_002!$N$12</definedName>
    <definedName name="EN_0300_002_p">EN_0300_002!$I$17</definedName>
    <definedName name="EN_0300_002_q">EN_0300_002!$N$3</definedName>
    <definedName name="EN_0300_002_t">EN_0300_002!$I$20</definedName>
    <definedName name="EN_0300_003">EN_0300_003!$B$5</definedName>
    <definedName name="EN_0300_003_f">EN_0300_003!$I$19</definedName>
    <definedName name="EN_0300_003_m">EN_0300_003!$N$12</definedName>
    <definedName name="EN_0300_003_p">EN_0300_003!$I$17</definedName>
    <definedName name="EN_0300_003_q">EN_0300_003!$N$3</definedName>
    <definedName name="EN_0300_003_t">EN_0300_003!$I$20</definedName>
    <definedName name="EN_0300_009">EN_0300_009!$B$5</definedName>
    <definedName name="EN_0300_009_f">EN_0300_009!$I$19</definedName>
    <definedName name="EN_0300_009_m">EN_0300_009!$N$12</definedName>
    <definedName name="EN_0300_009_p">EN_0300_009!$I$17</definedName>
    <definedName name="EN_0300_009_q">EN_0300_009!$N$3</definedName>
    <definedName name="EN_0300_009_t">EN_0300_009!$I$21</definedName>
    <definedName name="EN_0300_010">EN_0300_010!$B$5</definedName>
    <definedName name="EN_0300_010_f">EN_0300_010!$I$19</definedName>
    <definedName name="EN_0300_010_m">EN_0300_010!$N$12</definedName>
    <definedName name="EN_0300_010_p">EN_0300_010!$I$17</definedName>
    <definedName name="EN_0300_010_q">EN_0300_010!$N$3</definedName>
    <definedName name="EN_0300_010_t">EN_0300_010!$I$20</definedName>
    <definedName name="EN_0300_011">EN_0300_011!$B$5</definedName>
    <definedName name="EN_0300_011_f">EN_0300_011!$I$19</definedName>
    <definedName name="EN_0300_011_m">EN_0300_011!$N$12</definedName>
    <definedName name="EN_0300_011_p">EN_0300_011!$I$17</definedName>
    <definedName name="EN_0300_011_q">EN_0300_011!$N$3</definedName>
    <definedName name="EN_0300_011_t">EN_0300_011!$I$20</definedName>
    <definedName name="EN_0300_012">EN_0300_012!$B$5</definedName>
    <definedName name="EN_0300_012_f">EN_0300_012!$I$20</definedName>
    <definedName name="EN_0300_012_m">EN_0300_012!$N$12</definedName>
    <definedName name="EN_0300_012_p">EN_0300_012!$I$18</definedName>
    <definedName name="EN_0300_012_q">EN_0300_012!$N$3</definedName>
    <definedName name="EN_0300_012_t">EN_0300_012!$I$21</definedName>
    <definedName name="EN_0300_013">EN_0300_013!$B$5</definedName>
    <definedName name="EN_0300_013_f">EN_0300_013!$I$19</definedName>
    <definedName name="EN_0300_013_m">EN_0300_013!$N$12</definedName>
    <definedName name="EN_0300_013_p">EN_0300_013!$I$17</definedName>
    <definedName name="EN_0300_013_q">EN_0300_013!$N$3</definedName>
    <definedName name="EN_0300_013_t">EN_0300_013!$I$20</definedName>
    <definedName name="EN_0400_001">EN_0400_001!$B$5</definedName>
    <definedName name="EN_0400_001_f">EN_0400_001!$I$19</definedName>
    <definedName name="EN_0400_001_m">EN_0400_001!$N$12</definedName>
    <definedName name="EN_0400_001_p">EN_0400_001!$I$18</definedName>
    <definedName name="EN_0400_001_q">EN_0400_001!$N$3</definedName>
    <definedName name="EN_0400_001_t">EN_0400_001!$I$20</definedName>
    <definedName name="EN_0400_002">EN_0400_002!$B$5</definedName>
    <definedName name="EN_0400_002_f">EN_0400_002!$I$21</definedName>
    <definedName name="EN_0400_002_m">EN_0400_002!$N$12</definedName>
    <definedName name="EN_0400_002_p">EN_0400_002!$I$19</definedName>
    <definedName name="EN_0400_002_q">EN_0400_002!$N$3</definedName>
    <definedName name="EN_0400_002_t">EN_0400_002!$I$22</definedName>
    <definedName name="EN_0400_003">EN_0400_003!$B$5</definedName>
    <definedName name="EN_0400_003_f">EN_0400_003!$I$20</definedName>
    <definedName name="EN_0400_003_m">EN_0400_003!$N$12</definedName>
    <definedName name="EN_0400_003_p">EN_0400_003!$I$19</definedName>
    <definedName name="EN_0400_003_q">EN_0400_003!$N$3</definedName>
    <definedName name="EN_0400_003_t">EN_0400_003!$I$21</definedName>
    <definedName name="EN_0400_004">EN_0400_004!$B$5</definedName>
    <definedName name="EN_0400_004_f">EN_0400_004!$I$20</definedName>
    <definedName name="EN_0400_004_m">EN_0400_004!$N$12</definedName>
    <definedName name="EN_0400_004_p">EN_0400_004!$I$19</definedName>
    <definedName name="EN_0400_004_q">EN_0400_004!$N$3</definedName>
    <definedName name="EN_0400_004_t">EN_0400_004!$I$21</definedName>
    <definedName name="EN_0400_005">EN_0400_005!$B$5</definedName>
    <definedName name="EN_0400_005_f">EN_0400_005!$I$20</definedName>
    <definedName name="EN_0400_005_m">EN_0400_005!$N$12</definedName>
    <definedName name="EN_0400_005_p">EN_0400_005!$I$19</definedName>
    <definedName name="EN_0400_005_q">EN_0400_005!$N$3</definedName>
    <definedName name="EN_0400_005_t">EN_0400_005!$I$21</definedName>
    <definedName name="EN_0400_006">EN_0400_006!$B$5</definedName>
    <definedName name="EN_0400_006_f">EN_0400_006!$I$20</definedName>
    <definedName name="EN_0400_006_m">EN_0400_006!$N$12</definedName>
    <definedName name="EN_0400_006_p">EN_0400_006!$I$19</definedName>
    <definedName name="EN_0400_006_q">EN_0400_006!$N$3</definedName>
    <definedName name="EN_0400_006_t">EN_0400_006!$I$21</definedName>
    <definedName name="EN_0400_007">EN_0400_007!$B$5</definedName>
    <definedName name="EN_0400_007_f">EN_0400_007!$I$18</definedName>
    <definedName name="EN_0400_007_m">EN_0400_007!$N$12</definedName>
    <definedName name="EN_0400_007_p">EN_0400_007!$I$17</definedName>
    <definedName name="EN_0400_007_q">EN_0400_007!$N$3</definedName>
    <definedName name="EN_0400_007_t">EN_0400_007!$I$19</definedName>
    <definedName name="EN_0400_008">EN_0400_008!$B$5</definedName>
    <definedName name="EN_0400_008_f">EN_0400_008!$I$18</definedName>
    <definedName name="EN_0400_008_m">EN_0400_008!$N$12</definedName>
    <definedName name="EN_0400_008_p">EN_0400_008!$I$17</definedName>
    <definedName name="EN_0400_008_q">EN_0400_008!$N$3</definedName>
    <definedName name="EN_0400_008_t">EN_0400_008!$I$19</definedName>
    <definedName name="EN_0400_009">EN_0400_009!$B$5</definedName>
    <definedName name="EN_0400_009_f">EN_0400_009!$I$18</definedName>
    <definedName name="EN_0400_009_m">EN_0400_009!$N$12</definedName>
    <definedName name="EN_0400_009_p">EN_0400_009!$I$17</definedName>
    <definedName name="EN_0400_009_q">EN_0400_009!$N$3</definedName>
    <definedName name="EN_0400_009_t">EN_0400_009!$I$19</definedName>
    <definedName name="EN_0900_001">EN_0900_001!$B$6</definedName>
    <definedName name="EN_0900_001_f">EN_0900_001!$J$39</definedName>
    <definedName name="EN_0900_001_m">EN_0900_001!$N$15</definedName>
    <definedName name="EN_0900_001_p">EN_0900_001!$I$32</definedName>
    <definedName name="EN_0900_001_q">EN_0900_001!$N$3</definedName>
    <definedName name="EN_0900_002">EN_0900_002!$B$6</definedName>
    <definedName name="EN_0900_002_m">EN_0900_002!$N$13</definedName>
    <definedName name="EN_0900_002_p">EN_0900_002!$I$18</definedName>
    <definedName name="EN_0900_002_q">EN_0900_002!$N$3</definedName>
    <definedName name="EN_0900_003">EN_0900_003!$B$6</definedName>
    <definedName name="EN_0900_003_m">EN_0900_003!$N$13</definedName>
    <definedName name="EN_0900_003_p">EN_0900_003!$I$18</definedName>
    <definedName name="EN_0900_003_q">EN_0900_003!$N$3</definedName>
    <definedName name="EN_0900_004">EN_0900_004!$B$6</definedName>
    <definedName name="EN_0900_004_m">EN_0900_004!$N$13</definedName>
    <definedName name="EN_0900_004_p">EN_0900_004!$I$18</definedName>
    <definedName name="EN_0900_004_q">EN_0900_004!$N$3</definedName>
    <definedName name="EN_0900_005">EN_0900_005!$B$6</definedName>
    <definedName name="EN_0900_005_m">EN_0900_005!$N$13</definedName>
    <definedName name="EN_0900_005_p">EN_0900_005!$I$18</definedName>
    <definedName name="EN_0900_005_q">EN_0900_005!$N$3</definedName>
    <definedName name="EN_0900_006">EN_0900_006!$B$6</definedName>
    <definedName name="EN_0900_006_m">EN_0900_006!$N$12</definedName>
    <definedName name="EN_0900_006_p">EN_0900_006!$I$17</definedName>
    <definedName name="EN_0900_006_q">EN_0900_006!$N$3</definedName>
    <definedName name="EN_0900_007">EN_0900_007!$B$6</definedName>
    <definedName name="EN_0900_007_m">EN_0900_007!$N$12</definedName>
    <definedName name="EN_0900_007_p">EN_0900_007!$I$17</definedName>
    <definedName name="EN_0900_007_q">EN_0900_007!$N$3</definedName>
    <definedName name="EN_0900_008">EN_0900_008!$B$6</definedName>
    <definedName name="EN_0900_008_m">EN_0900_008!$N$13</definedName>
    <definedName name="EN_0900_008_p">EN_0900_008!$I$18</definedName>
    <definedName name="EN_0900_008_q">EN_0900_008!$N$3</definedName>
    <definedName name="EN_0900_009">EN_0900_009!$B$6</definedName>
    <definedName name="EN_0900_009_m">EN_0900_009!$N$13</definedName>
    <definedName name="EN_0900_009_p">EN_0900_009!$I$18</definedName>
    <definedName name="EN_0900_009_q">EN_0900_009!$N$3</definedName>
    <definedName name="EN_1000_001">EN_1000_001!$B$6</definedName>
    <definedName name="EN_1000_001_m">EN_1000_001!$N$13</definedName>
    <definedName name="EN_1000_001_p">EN_1000_001!$I$22</definedName>
    <definedName name="EN_1000_001_q">EN_1000_001!$N$3</definedName>
    <definedName name="EN_1000_002">EN_1000_002!$B$6</definedName>
    <definedName name="EN_1000_002_m">EN_1000_002!$N$12</definedName>
    <definedName name="EN_1000_002_p">EN_1000_002!$I$23</definedName>
    <definedName name="EN_1000_002_q">EN_1000_002!$N$3</definedName>
    <definedName name="EN_1000_003">EN_1000_003!$B$6</definedName>
    <definedName name="EN_1000_003_m">EN_1000_003!$N$12</definedName>
    <definedName name="EN_1000_003_p">EN_1000_003!$I$21</definedName>
    <definedName name="EN_1000_003_q">EN_1000_003!$N$3</definedName>
    <definedName name="EN_1000_004">EN_1000_004!$B$6</definedName>
    <definedName name="EN_1000_004_m">EN_1000_004!$N$12</definedName>
    <definedName name="EN_1000_004_p">EN_1000_004!$I$21</definedName>
    <definedName name="EN_1000_004_q">EN_1000_004!$N$3</definedName>
    <definedName name="EN_1100_001">EN_1100_001!$B$6</definedName>
    <definedName name="EN_1100_001_m">EN_1100_001!$N$12</definedName>
    <definedName name="EN_1100_001_p">EN_1100_001!$I$21</definedName>
    <definedName name="EN_1100_001_q">EN_1100_001!$N$3</definedName>
    <definedName name="EN_1100_002">EN_1100_002!$B$6</definedName>
    <definedName name="EN_1100_002_m">EN_1100_002!$N$12</definedName>
    <definedName name="EN_1100_002_p">EN_1100_002!$I$19</definedName>
    <definedName name="EN_1100_002_q">EN_1100_002!$N$3</definedName>
    <definedName name="EN_1100_003">EN_1100_003!$B$6</definedName>
    <definedName name="EN_1100_003_m">EN_1100_003!$N$12</definedName>
    <definedName name="EN_1100_003_p">EN_1100_003!$I$18</definedName>
    <definedName name="EN_1100_003_q">EN_1100_003!$N$3</definedName>
    <definedName name="EN_1100_004">EN_1100_004!$B$6</definedName>
    <definedName name="EN_1100_004_m">EN_1100_004!$N$12</definedName>
    <definedName name="EN_1100_004_p">EN_1100_004!$I$18</definedName>
    <definedName name="EN_1100_004_q">EN_1100_004!$N$3</definedName>
    <definedName name="EN_1100_005">EN_1100_005!$B$6</definedName>
    <definedName name="EN_1100_005_m">EN_1100_005!$N$12</definedName>
    <definedName name="EN_1100_005_p">EN_1100_005!$I$17</definedName>
    <definedName name="EN_1100_005_q">EN_1100_005!$N$3</definedName>
    <definedName name="EN_1100_006">EN_1100_006!$B$6</definedName>
    <definedName name="EN_1100_006_m">EN_1100_006!$N$12</definedName>
    <definedName name="EN_1100_006_p">EN_1100_006!$I$17</definedName>
    <definedName name="EN_1100_006_q">EN_1100_006!$N$3</definedName>
    <definedName name="EN_A0001">'[1]EN Assembly'!$B$5</definedName>
    <definedName name="EN_A0001_f" localSheetId="5">'[1]EN Assembly'!$J$43</definedName>
    <definedName name="EN_A0001_f" localSheetId="7">'[1]EN Assembly'!$J$43</definedName>
    <definedName name="EN_A0001_f" localSheetId="8">'[1]EN Assembly'!$J$43</definedName>
    <definedName name="EN_A0001_f" localSheetId="9">'[1]EN Assembly'!$J$43</definedName>
    <definedName name="EN_A0001_f" localSheetId="10">'[1]EN Assembly'!$J$43</definedName>
    <definedName name="EN_A0001_f" localSheetId="11">'[1]EN Assembly'!$J$43</definedName>
    <definedName name="EN_A0001_f" localSheetId="12">'[1]EN Assembly'!$J$43</definedName>
    <definedName name="EN_A0001_f" localSheetId="13">'[1]EN Assembly'!$J$43</definedName>
    <definedName name="EN_A0001_f" localSheetId="14">'[1]EN Assembly'!$J$43</definedName>
    <definedName name="EN_A0001_f">'EN A0200'!$J$53</definedName>
    <definedName name="EN_A0001_m" localSheetId="5">'[1]EN Assembly'!$N$24</definedName>
    <definedName name="EN_A0001_m" localSheetId="7">'[1]EN Assembly'!$N$24</definedName>
    <definedName name="EN_A0001_m" localSheetId="8">'[1]EN Assembly'!$N$24</definedName>
    <definedName name="EN_A0001_m" localSheetId="9">'[1]EN Assembly'!$N$24</definedName>
    <definedName name="EN_A0001_m" localSheetId="10">'[1]EN Assembly'!$N$24</definedName>
    <definedName name="EN_A0001_m" localSheetId="11">'[1]EN Assembly'!$N$24</definedName>
    <definedName name="EN_A0001_m" localSheetId="12">'[1]EN Assembly'!$N$24</definedName>
    <definedName name="EN_A0001_m" localSheetId="13">'[1]EN Assembly'!$N$24</definedName>
    <definedName name="EN_A0001_m" localSheetId="14">'[1]EN Assembly'!$N$24</definedName>
    <definedName name="EN_A0001_m">'EN A0200'!$N$24</definedName>
    <definedName name="EN_A0001_p" localSheetId="5">'[1]EN Assembly'!$I$33</definedName>
    <definedName name="EN_A0001_p" localSheetId="7">'[1]EN Assembly'!$I$33</definedName>
    <definedName name="EN_A0001_p" localSheetId="8">'[1]EN Assembly'!$I$33</definedName>
    <definedName name="EN_A0001_p" localSheetId="9">'[1]EN Assembly'!$I$33</definedName>
    <definedName name="EN_A0001_p" localSheetId="10">'[1]EN Assembly'!$I$33</definedName>
    <definedName name="EN_A0001_p" localSheetId="11">'[1]EN Assembly'!$I$33</definedName>
    <definedName name="EN_A0001_p" localSheetId="12">'[1]EN Assembly'!$I$33</definedName>
    <definedName name="EN_A0001_p" localSheetId="13">'[1]EN Assembly'!$I$33</definedName>
    <definedName name="EN_A0001_p" localSheetId="14">'[1]EN Assembly'!$I$33</definedName>
    <definedName name="EN_A0001_p">'EN A0200'!$I$43</definedName>
    <definedName name="EN_A0001_pa" localSheetId="5">'[1]EN Assembly'!$E$16</definedName>
    <definedName name="EN_A0001_pa" localSheetId="7">'[1]EN Assembly'!$E$16</definedName>
    <definedName name="EN_A0001_pa" localSheetId="8">'[1]EN Assembly'!$E$16</definedName>
    <definedName name="EN_A0001_pa" localSheetId="9">'[1]EN Assembly'!$E$16</definedName>
    <definedName name="EN_A0001_pa" localSheetId="10">'[1]EN Assembly'!$E$16</definedName>
    <definedName name="EN_A0001_pa" localSheetId="11">'[1]EN Assembly'!$E$16</definedName>
    <definedName name="EN_A0001_pa" localSheetId="12">'[1]EN Assembly'!$E$16</definedName>
    <definedName name="EN_A0001_pa" localSheetId="13">'[1]EN Assembly'!$E$16</definedName>
    <definedName name="EN_A0001_pa" localSheetId="14">'[1]EN Assembly'!$E$16</definedName>
    <definedName name="EN_A0001_pa">'EN A0200'!$E$20</definedName>
    <definedName name="EN_A0001_q" localSheetId="5">'[1]EN Assembly'!$N$3</definedName>
    <definedName name="EN_A0001_q" localSheetId="7">'[1]EN Assembly'!$N$3</definedName>
    <definedName name="EN_A0001_q" localSheetId="8">'[1]EN Assembly'!$N$3</definedName>
    <definedName name="EN_A0001_q" localSheetId="9">'[1]EN Assembly'!$N$3</definedName>
    <definedName name="EN_A0001_q" localSheetId="10">'[1]EN Assembly'!$N$3</definedName>
    <definedName name="EN_A0001_q" localSheetId="11">'[1]EN Assembly'!$N$3</definedName>
    <definedName name="EN_A0001_q" localSheetId="12">'[1]EN Assembly'!$N$3</definedName>
    <definedName name="EN_A0001_q" localSheetId="13">'[1]EN Assembly'!$N$3</definedName>
    <definedName name="EN_A0001_q" localSheetId="14">'[1]EN Assembly'!$N$3</definedName>
    <definedName name="EN_A0001_q">'EN A0200'!$N$3</definedName>
    <definedName name="EN_A0001_t" localSheetId="5">'[1]EN Assembly'!$I$48</definedName>
    <definedName name="EN_A0001_t" localSheetId="7">'[1]EN Assembly'!$I$48</definedName>
    <definedName name="EN_A0001_t" localSheetId="8">'[1]EN Assembly'!$I$48</definedName>
    <definedName name="EN_A0001_t" localSheetId="9">'[1]EN Assembly'!$I$48</definedName>
    <definedName name="EN_A0001_t" localSheetId="10">'[1]EN Assembly'!$I$48</definedName>
    <definedName name="EN_A0001_t" localSheetId="11">'[1]EN Assembly'!$I$48</definedName>
    <definedName name="EN_A0001_t" localSheetId="12">'[1]EN Assembly'!$I$48</definedName>
    <definedName name="EN_A0001_t" localSheetId="13">'[1]EN Assembly'!$I$48</definedName>
    <definedName name="EN_A0001_t" localSheetId="14">'[1]EN Assembly'!$I$48</definedName>
    <definedName name="EN_A0001_t">'EN A0200'!$I$57</definedName>
    <definedName name="EN_A0200">'EN A0200'!$B$5</definedName>
    <definedName name="EN_A0200_BOM">BOM!$C$7</definedName>
    <definedName name="EN_A0200_f">'EN A0200'!$J$53</definedName>
    <definedName name="EN_A0200_m">'EN A0200'!$N$24</definedName>
    <definedName name="EN_A0200_p">'EN A0200'!$I$43</definedName>
    <definedName name="EN_A0200_pa">'EN A0200'!$E$20</definedName>
    <definedName name="EN_A0200_q">'EN A0200'!$N$3</definedName>
    <definedName name="EN_A0200_t">'EN A0200'!$I$57</definedName>
    <definedName name="EN_A0300">EN_A0300!$B$4</definedName>
    <definedName name="EN_A0300_BOM">BOM!$C$18</definedName>
    <definedName name="EN_A0300_f">EN_A0300!$J$67</definedName>
    <definedName name="EN_A0300_m">EN_A0300!$N$24</definedName>
    <definedName name="EN_A0300_p">EN_A0300!$I$57</definedName>
    <definedName name="EN_A0300_pa">EN_A0300!$E$18</definedName>
    <definedName name="EN_A0300_q">EN_A0300!$N$3</definedName>
    <definedName name="EN_A0300_t">EN_A0300!$I$71</definedName>
    <definedName name="EN_A0400">EN_A0400!$B$4</definedName>
    <definedName name="EN_A0400_BOM">BOM!$C$27</definedName>
    <definedName name="EN_A0400_f">EN_A0400!$J$64</definedName>
    <definedName name="EN_A0400_m">EN_A0400!$N$30</definedName>
    <definedName name="EN_A0400_p">EN_A0400!$I$54</definedName>
    <definedName name="EN_A0400_pa">EN_A0400!$E$19</definedName>
    <definedName name="EN_A0400_q">EN_A0400!$N$3</definedName>
    <definedName name="EN_A0400_t">EN_A0400!$J$65</definedName>
    <definedName name="EN_A0900">EN_A0900!$B$5</definedName>
    <definedName name="EN_A0900_BOM">BOM!$C$37</definedName>
    <definedName name="EN_A0900_f">EN_A0900!$J$56</definedName>
    <definedName name="EN_A0900_m">EN_A0900!$N$27</definedName>
    <definedName name="EN_A0900_p">EN_A0900!$I$44</definedName>
    <definedName name="EN_A0900_pa">EN_A0900!$E$19</definedName>
    <definedName name="EN_A0900_q">EN_A0900!$N$3</definedName>
    <definedName name="EN_A0900_t">EN_A0900!$I$60</definedName>
    <definedName name="EN_A0900p">EN_A0900!$I$44</definedName>
    <definedName name="EN_A090f">EN_A0900!$J$56</definedName>
    <definedName name="EN_A1000_f">EN_A1000!$J$42</definedName>
    <definedName name="EN_A1000_m">EN_A1000!$N$19</definedName>
    <definedName name="EN_A1000_p">EN_A1000!$I$34</definedName>
    <definedName name="EN_A1000_pa">EN_A1000!$E$14</definedName>
    <definedName name="EN_A1100">EN_A1100!$B$5</definedName>
    <definedName name="EN_A1100_f">EN_A1100!$J$56</definedName>
    <definedName name="EN_A1100_m">EN_A1100!$N$21</definedName>
    <definedName name="EN_A1100_p">EN_A1100!$I$42</definedName>
    <definedName name="EN_A1100_pa">EN_A1100!$E$16</definedName>
    <definedName name="EN_A1100_q">EN_A1100!$N$3</definedName>
    <definedName name="EN_A1100_t">EN_A1100!$I$60</definedName>
  </definedNames>
  <calcPr calcId="179017"/>
</workbook>
</file>

<file path=xl/calcChain.xml><?xml version="1.0" encoding="utf-8"?>
<calcChain xmlns="http://schemas.openxmlformats.org/spreadsheetml/2006/main">
  <c r="N49" i="8" l="1"/>
  <c r="M49" i="8"/>
  <c r="L49" i="8"/>
  <c r="K49" i="8"/>
  <c r="J49" i="8"/>
  <c r="M37" i="8"/>
  <c r="L38" i="8"/>
  <c r="L37" i="8"/>
  <c r="K46" i="8"/>
  <c r="K45" i="8"/>
  <c r="K44" i="8"/>
  <c r="K43" i="8"/>
  <c r="K42" i="8"/>
  <c r="K41" i="8"/>
  <c r="H41" i="8" s="1"/>
  <c r="K40" i="8"/>
  <c r="K39" i="8"/>
  <c r="K38" i="8"/>
  <c r="K37" i="8"/>
  <c r="J46" i="8"/>
  <c r="J45" i="8"/>
  <c r="J44" i="8"/>
  <c r="J43" i="8"/>
  <c r="J42" i="8"/>
  <c r="J41" i="8"/>
  <c r="J40" i="8"/>
  <c r="J39" i="8"/>
  <c r="J38" i="8"/>
  <c r="J37" i="8"/>
  <c r="I40" i="8"/>
  <c r="I46" i="8"/>
  <c r="I45" i="8"/>
  <c r="I44" i="8"/>
  <c r="I43" i="8"/>
  <c r="I42" i="8"/>
  <c r="I41" i="8"/>
  <c r="I39" i="8"/>
  <c r="I38" i="8"/>
  <c r="I37" i="8"/>
  <c r="H39" i="8"/>
  <c r="F46" i="8"/>
  <c r="F45" i="8"/>
  <c r="F44" i="8"/>
  <c r="F43" i="8"/>
  <c r="F42" i="8"/>
  <c r="F41" i="8"/>
  <c r="F40" i="8"/>
  <c r="F39" i="8"/>
  <c r="F38" i="8"/>
  <c r="F37" i="8"/>
  <c r="E41" i="8" s="1"/>
  <c r="C46" i="8"/>
  <c r="C45" i="8"/>
  <c r="C44" i="8"/>
  <c r="C43" i="8"/>
  <c r="C42" i="8"/>
  <c r="C41" i="8"/>
  <c r="C40" i="8"/>
  <c r="C39" i="8"/>
  <c r="C38" i="8"/>
  <c r="C37" i="8"/>
  <c r="B46" i="8"/>
  <c r="B39" i="8"/>
  <c r="B40" i="8"/>
  <c r="B41" i="8"/>
  <c r="B42" i="8"/>
  <c r="B43" i="8"/>
  <c r="B44" i="8"/>
  <c r="B45" i="8"/>
  <c r="B38" i="8"/>
  <c r="B37" i="8"/>
  <c r="B27" i="8"/>
  <c r="M36" i="8"/>
  <c r="L36" i="8"/>
  <c r="K36" i="8"/>
  <c r="J36" i="8"/>
  <c r="I36" i="8"/>
  <c r="F36" i="8"/>
  <c r="B36" i="8"/>
  <c r="M35" i="8"/>
  <c r="L35" i="8"/>
  <c r="K35" i="8"/>
  <c r="J35" i="8"/>
  <c r="I35" i="8"/>
  <c r="F35" i="8"/>
  <c r="B35" i="8"/>
  <c r="M34" i="8"/>
  <c r="L34" i="8"/>
  <c r="K34" i="8"/>
  <c r="J34" i="8"/>
  <c r="I34" i="8"/>
  <c r="F34" i="8"/>
  <c r="B34" i="8"/>
  <c r="M33" i="8"/>
  <c r="L33" i="8"/>
  <c r="K33" i="8"/>
  <c r="J33" i="8"/>
  <c r="I33" i="8"/>
  <c r="F33" i="8"/>
  <c r="B33" i="8"/>
  <c r="M32" i="8"/>
  <c r="L32" i="8"/>
  <c r="K32" i="8"/>
  <c r="J32" i="8"/>
  <c r="I32" i="8"/>
  <c r="F32" i="8"/>
  <c r="B32" i="8"/>
  <c r="M31" i="8"/>
  <c r="L31" i="8"/>
  <c r="K31" i="8"/>
  <c r="J31" i="8"/>
  <c r="I31" i="8"/>
  <c r="F31" i="8"/>
  <c r="B31" i="8"/>
  <c r="M30" i="8"/>
  <c r="L30" i="8"/>
  <c r="K30" i="8"/>
  <c r="J30" i="8"/>
  <c r="I30" i="8"/>
  <c r="F30" i="8"/>
  <c r="B30" i="8"/>
  <c r="M29" i="8"/>
  <c r="L29" i="8"/>
  <c r="K29" i="8"/>
  <c r="J29" i="8"/>
  <c r="I29" i="8"/>
  <c r="F29" i="8"/>
  <c r="B29" i="8"/>
  <c r="M28" i="8"/>
  <c r="L28" i="8"/>
  <c r="K28" i="8"/>
  <c r="J28" i="8"/>
  <c r="I28" i="8"/>
  <c r="F28" i="8"/>
  <c r="B28" i="8"/>
  <c r="M27" i="8"/>
  <c r="L27" i="8"/>
  <c r="K27" i="8"/>
  <c r="J27" i="8"/>
  <c r="I27" i="8"/>
  <c r="F27" i="8"/>
  <c r="E30" i="8" s="1"/>
  <c r="B49" i="8"/>
  <c r="B18" i="8"/>
  <c r="F25" i="8"/>
  <c r="M26" i="8"/>
  <c r="L26" i="8"/>
  <c r="K26" i="8"/>
  <c r="J26" i="8"/>
  <c r="I26" i="8"/>
  <c r="F26" i="8"/>
  <c r="B26" i="8"/>
  <c r="M25" i="8"/>
  <c r="L25" i="8"/>
  <c r="K25" i="8"/>
  <c r="J25" i="8"/>
  <c r="I25" i="8"/>
  <c r="B25" i="8"/>
  <c r="M24" i="8"/>
  <c r="L24" i="8"/>
  <c r="K24" i="8"/>
  <c r="J24" i="8"/>
  <c r="I24" i="8"/>
  <c r="F24" i="8"/>
  <c r="B24" i="8"/>
  <c r="M23" i="8"/>
  <c r="L23" i="8"/>
  <c r="K23" i="8"/>
  <c r="J23" i="8"/>
  <c r="I23" i="8"/>
  <c r="F23" i="8"/>
  <c r="B23" i="8"/>
  <c r="M22" i="8"/>
  <c r="L22" i="8"/>
  <c r="K22" i="8"/>
  <c r="J22" i="8"/>
  <c r="I22" i="8"/>
  <c r="F22" i="8"/>
  <c r="B22" i="8"/>
  <c r="M21" i="8"/>
  <c r="L21" i="8"/>
  <c r="K21" i="8"/>
  <c r="J21" i="8"/>
  <c r="I21" i="8"/>
  <c r="F21" i="8"/>
  <c r="B21" i="8"/>
  <c r="M20" i="8"/>
  <c r="L20" i="8"/>
  <c r="K20" i="8"/>
  <c r="J20" i="8"/>
  <c r="I20" i="8"/>
  <c r="F20" i="8"/>
  <c r="B20" i="8"/>
  <c r="M19" i="8"/>
  <c r="L19" i="8"/>
  <c r="K19" i="8"/>
  <c r="J19" i="8"/>
  <c r="I19" i="8"/>
  <c r="F19" i="8"/>
  <c r="B19" i="8"/>
  <c r="M18" i="8"/>
  <c r="L18" i="8"/>
  <c r="K18" i="8"/>
  <c r="J18" i="8"/>
  <c r="I18" i="8"/>
  <c r="F18" i="8"/>
  <c r="E23" i="8" s="1"/>
  <c r="M16" i="8"/>
  <c r="M14" i="8"/>
  <c r="M13" i="8"/>
  <c r="M11" i="8"/>
  <c r="M10" i="8"/>
  <c r="K17" i="8"/>
  <c r="K16" i="8"/>
  <c r="K15" i="8"/>
  <c r="K14" i="8"/>
  <c r="K13" i="8"/>
  <c r="K12" i="8"/>
  <c r="K11" i="8"/>
  <c r="K10" i="8"/>
  <c r="K9" i="8"/>
  <c r="K8" i="8"/>
  <c r="J17" i="8"/>
  <c r="J16" i="8"/>
  <c r="J15" i="8"/>
  <c r="J14" i="8"/>
  <c r="J13" i="8"/>
  <c r="J12" i="8"/>
  <c r="J11" i="8"/>
  <c r="J10" i="8"/>
  <c r="J9" i="8"/>
  <c r="J8" i="8"/>
  <c r="I17" i="8"/>
  <c r="I16" i="8"/>
  <c r="I15" i="8"/>
  <c r="I14" i="8"/>
  <c r="I13" i="8"/>
  <c r="I12" i="8"/>
  <c r="I11" i="8"/>
  <c r="I10" i="8"/>
  <c r="I9" i="8"/>
  <c r="I8" i="8"/>
  <c r="F17" i="8"/>
  <c r="F16" i="8"/>
  <c r="F15" i="8"/>
  <c r="F14" i="8"/>
  <c r="F13" i="8"/>
  <c r="F12" i="8"/>
  <c r="F11" i="8"/>
  <c r="F10" i="8"/>
  <c r="F9" i="8"/>
  <c r="F8" i="8"/>
  <c r="F7" i="8"/>
  <c r="E9" i="8" s="1"/>
  <c r="C17" i="8"/>
  <c r="C16" i="8"/>
  <c r="C15" i="8"/>
  <c r="C14" i="8"/>
  <c r="C13" i="8"/>
  <c r="C12" i="8"/>
  <c r="C11" i="8"/>
  <c r="C10" i="8"/>
  <c r="C9" i="8"/>
  <c r="C8" i="8"/>
  <c r="C7" i="8"/>
  <c r="B9" i="8"/>
  <c r="B10" i="8"/>
  <c r="B11" i="8"/>
  <c r="B12" i="8"/>
  <c r="B13" i="8"/>
  <c r="B14" i="8"/>
  <c r="B15" i="8"/>
  <c r="B16" i="8"/>
  <c r="B17" i="8"/>
  <c r="B8" i="8"/>
  <c r="B7" i="8"/>
  <c r="B3" i="96"/>
  <c r="B4" i="96"/>
  <c r="J11" i="96"/>
  <c r="E11" i="96" s="1"/>
  <c r="N11" i="96" s="1"/>
  <c r="N12" i="96" s="1"/>
  <c r="N2" i="96" s="1"/>
  <c r="I15" i="96"/>
  <c r="F16" i="96"/>
  <c r="I16" i="96" s="1"/>
  <c r="I17" i="96" s="1"/>
  <c r="B3" i="95"/>
  <c r="B4" i="95"/>
  <c r="N11" i="95"/>
  <c r="N12" i="95"/>
  <c r="N2" i="95" s="1"/>
  <c r="I15" i="95"/>
  <c r="I17" i="95" s="1"/>
  <c r="I16" i="95"/>
  <c r="I20" i="95"/>
  <c r="I21" i="95" s="1"/>
  <c r="B3" i="94"/>
  <c r="B4" i="94"/>
  <c r="N11" i="94"/>
  <c r="J12" i="94"/>
  <c r="N12" i="94"/>
  <c r="N14" i="94" s="1"/>
  <c r="N2" i="94" s="1"/>
  <c r="N13" i="94"/>
  <c r="I17" i="94"/>
  <c r="I22" i="94" s="1"/>
  <c r="I18" i="94"/>
  <c r="I19" i="94"/>
  <c r="I20" i="94"/>
  <c r="I21" i="94"/>
  <c r="B3" i="93"/>
  <c r="B4" i="93"/>
  <c r="J11" i="93"/>
  <c r="N11" i="93"/>
  <c r="N12" i="93" s="1"/>
  <c r="F15" i="93"/>
  <c r="I15" i="93" s="1"/>
  <c r="I16" i="93"/>
  <c r="I17" i="93"/>
  <c r="F18" i="93"/>
  <c r="I18" i="93" s="1"/>
  <c r="I22" i="93"/>
  <c r="I23" i="93"/>
  <c r="B3" i="92"/>
  <c r="B4" i="92"/>
  <c r="J11" i="92"/>
  <c r="K11" i="92"/>
  <c r="N11" i="92" s="1"/>
  <c r="N13" i="92" s="1"/>
  <c r="J12" i="92"/>
  <c r="N12" i="92" s="1"/>
  <c r="F16" i="92"/>
  <c r="I16" i="92"/>
  <c r="I17" i="92"/>
  <c r="F18" i="92"/>
  <c r="I18" i="92" s="1"/>
  <c r="I22" i="92"/>
  <c r="I23" i="92"/>
  <c r="B3" i="91"/>
  <c r="B4" i="91"/>
  <c r="J11" i="91"/>
  <c r="K11" i="91"/>
  <c r="N11" i="91"/>
  <c r="N12" i="91"/>
  <c r="F15" i="91"/>
  <c r="I15" i="91"/>
  <c r="I16" i="91" s="1"/>
  <c r="B3" i="90"/>
  <c r="B4" i="90"/>
  <c r="J11" i="90"/>
  <c r="K11" i="90"/>
  <c r="N11" i="90"/>
  <c r="J12" i="90"/>
  <c r="N12" i="90" s="1"/>
  <c r="F16" i="90"/>
  <c r="I16" i="90"/>
  <c r="I17" i="90"/>
  <c r="F18" i="90"/>
  <c r="I18" i="90"/>
  <c r="I19" i="90"/>
  <c r="I22" i="90"/>
  <c r="I23" i="90"/>
  <c r="B3" i="89"/>
  <c r="B4" i="89"/>
  <c r="J11" i="89"/>
  <c r="N11" i="89"/>
  <c r="N12" i="89" s="1"/>
  <c r="F15" i="89"/>
  <c r="I15" i="89" s="1"/>
  <c r="I16" i="89"/>
  <c r="I17" i="89"/>
  <c r="F18" i="89"/>
  <c r="I18" i="89" s="1"/>
  <c r="I23" i="89"/>
  <c r="I24" i="89"/>
  <c r="B1" i="88"/>
  <c r="B3" i="87"/>
  <c r="B4" i="87"/>
  <c r="J11" i="87"/>
  <c r="E11" i="87" s="1"/>
  <c r="N11" i="87" s="1"/>
  <c r="N12" i="87" s="1"/>
  <c r="N2" i="87" s="1"/>
  <c r="I15" i="87"/>
  <c r="I16" i="87"/>
  <c r="I17" i="87"/>
  <c r="B1" i="86"/>
  <c r="B3" i="85"/>
  <c r="B4" i="85"/>
  <c r="E11" i="85"/>
  <c r="N11" i="85" s="1"/>
  <c r="N12" i="85" s="1"/>
  <c r="N2" i="85" s="1"/>
  <c r="J11" i="85"/>
  <c r="I15" i="85"/>
  <c r="I16" i="85"/>
  <c r="I17" i="85"/>
  <c r="I18" i="85"/>
  <c r="I19" i="85"/>
  <c r="B10" i="84"/>
  <c r="D10" i="84"/>
  <c r="B11" i="84"/>
  <c r="D11" i="84"/>
  <c r="B12" i="84"/>
  <c r="D12" i="84"/>
  <c r="B13" i="84"/>
  <c r="D13" i="84"/>
  <c r="B14" i="84"/>
  <c r="D14" i="84"/>
  <c r="B15" i="84"/>
  <c r="D15" i="84"/>
  <c r="B16" i="84"/>
  <c r="D16" i="84"/>
  <c r="B17" i="84"/>
  <c r="D17" i="84"/>
  <c r="B18" i="84"/>
  <c r="D18" i="84"/>
  <c r="B19" i="84"/>
  <c r="D19" i="84"/>
  <c r="N23" i="84"/>
  <c r="N24" i="84" s="1"/>
  <c r="I27" i="84"/>
  <c r="F28" i="84"/>
  <c r="I28" i="84"/>
  <c r="I29" i="84"/>
  <c r="I30" i="84"/>
  <c r="I31" i="84"/>
  <c r="F32" i="84"/>
  <c r="I32" i="84" s="1"/>
  <c r="I33" i="84"/>
  <c r="I34" i="84"/>
  <c r="F35" i="84"/>
  <c r="I35" i="84" s="1"/>
  <c r="I36" i="84"/>
  <c r="I37" i="84"/>
  <c r="I38" i="84"/>
  <c r="I39" i="84"/>
  <c r="I40" i="84"/>
  <c r="I41" i="84"/>
  <c r="I42" i="84"/>
  <c r="J46" i="84"/>
  <c r="J47" i="84"/>
  <c r="J53" i="84" s="1"/>
  <c r="D48" i="84"/>
  <c r="J48" i="84" s="1"/>
  <c r="J49" i="84"/>
  <c r="J50" i="84"/>
  <c r="J51" i="84"/>
  <c r="J52" i="84"/>
  <c r="I56" i="84"/>
  <c r="I57" i="84"/>
  <c r="H40" i="8" l="1"/>
  <c r="H44" i="8"/>
  <c r="E40" i="8"/>
  <c r="E38" i="8"/>
  <c r="E39" i="8"/>
  <c r="E46" i="8"/>
  <c r="E42" i="8"/>
  <c r="E44" i="8"/>
  <c r="E43" i="8"/>
  <c r="E45" i="8"/>
  <c r="H38" i="8"/>
  <c r="N38" i="8" s="1"/>
  <c r="H45" i="8"/>
  <c r="N45" i="8" s="1"/>
  <c r="H37" i="8"/>
  <c r="N37" i="8" s="1"/>
  <c r="H43" i="8"/>
  <c r="N43" i="8" s="1"/>
  <c r="H46" i="8"/>
  <c r="N46" i="8" s="1"/>
  <c r="H42" i="8"/>
  <c r="N42" i="8" s="1"/>
  <c r="N40" i="8"/>
  <c r="N39" i="8"/>
  <c r="N44" i="8"/>
  <c r="N41" i="8"/>
  <c r="E36" i="8"/>
  <c r="E33" i="8"/>
  <c r="E32" i="8"/>
  <c r="H27" i="8"/>
  <c r="N27" i="8" s="1"/>
  <c r="H28" i="8"/>
  <c r="N28" i="8" s="1"/>
  <c r="H31" i="8"/>
  <c r="N31" i="8" s="1"/>
  <c r="H32" i="8"/>
  <c r="N32" i="8" s="1"/>
  <c r="H35" i="8"/>
  <c r="N35" i="8" s="1"/>
  <c r="H36" i="8"/>
  <c r="N36" i="8" s="1"/>
  <c r="E28" i="8"/>
  <c r="E29" i="8"/>
  <c r="E26" i="8"/>
  <c r="E22" i="8"/>
  <c r="H29" i="8"/>
  <c r="N29" i="8" s="1"/>
  <c r="H30" i="8"/>
  <c r="N30" i="8" s="1"/>
  <c r="H33" i="8"/>
  <c r="N33" i="8" s="1"/>
  <c r="H34" i="8"/>
  <c r="N34" i="8" s="1"/>
  <c r="E25" i="8"/>
  <c r="E21" i="8"/>
  <c r="E35" i="8"/>
  <c r="E31" i="8"/>
  <c r="E24" i="8"/>
  <c r="E20" i="8"/>
  <c r="E34" i="8"/>
  <c r="E19" i="8"/>
  <c r="H25" i="8"/>
  <c r="N25" i="8" s="1"/>
  <c r="H19" i="8"/>
  <c r="N19" i="8" s="1"/>
  <c r="H23" i="8"/>
  <c r="N23" i="8" s="1"/>
  <c r="H26" i="8"/>
  <c r="N26" i="8" s="1"/>
  <c r="H18" i="8"/>
  <c r="N18" i="8" s="1"/>
  <c r="H20" i="8"/>
  <c r="N20" i="8" s="1"/>
  <c r="H22" i="8"/>
  <c r="N22" i="8" s="1"/>
  <c r="H24" i="8"/>
  <c r="N24" i="8" s="1"/>
  <c r="H21" i="8"/>
  <c r="N21" i="8" s="1"/>
  <c r="E15" i="8"/>
  <c r="E10" i="8"/>
  <c r="E8" i="8"/>
  <c r="E12" i="8"/>
  <c r="E14" i="8"/>
  <c r="E16" i="8"/>
  <c r="E11" i="8"/>
  <c r="E17" i="8"/>
  <c r="E13" i="8"/>
  <c r="C19" i="84"/>
  <c r="N5" i="96"/>
  <c r="C18" i="84"/>
  <c r="N5" i="95"/>
  <c r="C17" i="84"/>
  <c r="N5" i="94"/>
  <c r="I19" i="93"/>
  <c r="N2" i="93" s="1"/>
  <c r="I19" i="92"/>
  <c r="N2" i="92" s="1"/>
  <c r="N2" i="91"/>
  <c r="N13" i="90"/>
  <c r="N2" i="90" s="1"/>
  <c r="I19" i="89"/>
  <c r="N2" i="89" s="1"/>
  <c r="C11" i="84"/>
  <c r="E11" i="84" s="1"/>
  <c r="N5" i="87"/>
  <c r="C10" i="84"/>
  <c r="E10" i="84" s="1"/>
  <c r="N5" i="85"/>
  <c r="E18" i="84"/>
  <c r="E17" i="84"/>
  <c r="E19" i="84"/>
  <c r="I43" i="84"/>
  <c r="J11" i="83"/>
  <c r="N11" i="83" s="1"/>
  <c r="N12" i="83" s="1"/>
  <c r="N2" i="83" s="1"/>
  <c r="I15" i="83"/>
  <c r="F16" i="83"/>
  <c r="I16" i="83" s="1"/>
  <c r="I21" i="83" s="1"/>
  <c r="I17" i="83"/>
  <c r="F18" i="83"/>
  <c r="I18" i="83"/>
  <c r="I19" i="83"/>
  <c r="I20" i="83"/>
  <c r="J11" i="81"/>
  <c r="N11" i="81" s="1"/>
  <c r="N12" i="81" s="1"/>
  <c r="N2" i="81" s="1"/>
  <c r="K11" i="81"/>
  <c r="I15" i="81"/>
  <c r="I17" i="81" s="1"/>
  <c r="F16" i="81"/>
  <c r="I16" i="81"/>
  <c r="J11" i="79"/>
  <c r="N11" i="79" s="1"/>
  <c r="N12" i="79" s="1"/>
  <c r="N2" i="79" s="1"/>
  <c r="K11" i="79"/>
  <c r="I15" i="79"/>
  <c r="I17" i="79" s="1"/>
  <c r="F16" i="79"/>
  <c r="I16" i="79"/>
  <c r="J11" i="77"/>
  <c r="N11" i="77" s="1"/>
  <c r="N12" i="77" s="1"/>
  <c r="N2" i="77" s="1"/>
  <c r="K11" i="77"/>
  <c r="I15" i="77"/>
  <c r="F16" i="77"/>
  <c r="I16" i="77"/>
  <c r="I17" i="77"/>
  <c r="I18" i="77"/>
  <c r="J11" i="75"/>
  <c r="N11" i="75" s="1"/>
  <c r="N12" i="75" s="1"/>
  <c r="I15" i="75"/>
  <c r="I18" i="75" s="1"/>
  <c r="I16" i="75"/>
  <c r="I17" i="75"/>
  <c r="J11" i="74"/>
  <c r="N11" i="74" s="1"/>
  <c r="N12" i="74" s="1"/>
  <c r="I15" i="74"/>
  <c r="F16" i="74"/>
  <c r="I16" i="74" s="1"/>
  <c r="I19" i="74" s="1"/>
  <c r="I17" i="74"/>
  <c r="I18" i="74"/>
  <c r="D10" i="73"/>
  <c r="D11" i="73"/>
  <c r="D12" i="73"/>
  <c r="D13" i="73"/>
  <c r="D14" i="73"/>
  <c r="D15" i="73"/>
  <c r="N19" i="73"/>
  <c r="E20" i="73"/>
  <c r="N20" i="73"/>
  <c r="N21" i="73" s="1"/>
  <c r="I24" i="73"/>
  <c r="F25" i="73"/>
  <c r="I25" i="73"/>
  <c r="I42" i="73" s="1"/>
  <c r="I26" i="73"/>
  <c r="I27" i="73"/>
  <c r="I28" i="73"/>
  <c r="I29" i="73"/>
  <c r="I30" i="73"/>
  <c r="I31" i="73"/>
  <c r="I32" i="73"/>
  <c r="I33" i="73"/>
  <c r="I34" i="73"/>
  <c r="I35" i="73"/>
  <c r="I36" i="73"/>
  <c r="I37" i="73"/>
  <c r="I38" i="73"/>
  <c r="I39" i="73"/>
  <c r="I40" i="73"/>
  <c r="I41" i="73"/>
  <c r="D45" i="73"/>
  <c r="J45" i="73" s="1"/>
  <c r="D46" i="73"/>
  <c r="J46" i="73" s="1"/>
  <c r="J47" i="73"/>
  <c r="D48" i="73"/>
  <c r="J48" i="73"/>
  <c r="D49" i="73"/>
  <c r="J49" i="73" s="1"/>
  <c r="J50" i="73"/>
  <c r="D51" i="73"/>
  <c r="J51" i="73" s="1"/>
  <c r="D52" i="73"/>
  <c r="J52" i="73" s="1"/>
  <c r="J53" i="73"/>
  <c r="D54" i="73"/>
  <c r="J54" i="73" s="1"/>
  <c r="J55" i="73"/>
  <c r="I59" i="73"/>
  <c r="I60" i="73" s="1"/>
  <c r="J11" i="71"/>
  <c r="N11" i="71" s="1"/>
  <c r="N12" i="71" s="1"/>
  <c r="I15" i="71"/>
  <c r="I17" i="71"/>
  <c r="F18" i="71"/>
  <c r="I18" i="71"/>
  <c r="I19" i="71"/>
  <c r="F20" i="71"/>
  <c r="I20" i="71"/>
  <c r="J11" i="69"/>
  <c r="N11" i="69" s="1"/>
  <c r="N12" i="69" s="1"/>
  <c r="I15" i="69"/>
  <c r="I17" i="69"/>
  <c r="F18" i="69"/>
  <c r="I18" i="69"/>
  <c r="I19" i="69"/>
  <c r="F20" i="69"/>
  <c r="I20" i="69"/>
  <c r="J11" i="68"/>
  <c r="N11" i="68" s="1"/>
  <c r="N12" i="68" s="1"/>
  <c r="N2" i="68" s="1"/>
  <c r="I15" i="68"/>
  <c r="I16" i="68"/>
  <c r="I23" i="68" s="1"/>
  <c r="I17" i="68"/>
  <c r="I18" i="68"/>
  <c r="I19" i="68"/>
  <c r="I20" i="68"/>
  <c r="I21" i="68"/>
  <c r="I22" i="68"/>
  <c r="J11" i="67"/>
  <c r="N11" i="67" s="1"/>
  <c r="N13" i="67" s="1"/>
  <c r="N2" i="67" s="1"/>
  <c r="I16" i="67"/>
  <c r="I17" i="67"/>
  <c r="I22" i="67" s="1"/>
  <c r="I18" i="67"/>
  <c r="I19" i="67"/>
  <c r="I20" i="67"/>
  <c r="I21" i="67"/>
  <c r="D10" i="66"/>
  <c r="D11" i="66"/>
  <c r="D12" i="66"/>
  <c r="D13" i="66"/>
  <c r="N17" i="66"/>
  <c r="N19" i="66" s="1"/>
  <c r="N18" i="66"/>
  <c r="I22" i="66"/>
  <c r="I23" i="66"/>
  <c r="I34" i="66" s="1"/>
  <c r="I24" i="66"/>
  <c r="I25" i="66"/>
  <c r="I26" i="66"/>
  <c r="I27" i="66"/>
  <c r="I28" i="66"/>
  <c r="I29" i="66"/>
  <c r="I30" i="66"/>
  <c r="I31" i="66"/>
  <c r="I32" i="66"/>
  <c r="I33" i="66"/>
  <c r="D37" i="66"/>
  <c r="J37" i="66" s="1"/>
  <c r="D38" i="66"/>
  <c r="E38" i="66"/>
  <c r="J38" i="66"/>
  <c r="E39" i="66"/>
  <c r="D39" i="66" s="1"/>
  <c r="J39" i="66" s="1"/>
  <c r="D40" i="66"/>
  <c r="J40" i="66" s="1"/>
  <c r="J41" i="66"/>
  <c r="J11" i="64"/>
  <c r="E11" i="64" s="1"/>
  <c r="K11" i="64"/>
  <c r="N11" i="64"/>
  <c r="N13" i="64"/>
  <c r="I16" i="64"/>
  <c r="I18" i="64" s="1"/>
  <c r="I17" i="64"/>
  <c r="J11" i="62"/>
  <c r="N11" i="62" s="1"/>
  <c r="N13" i="62" s="1"/>
  <c r="N2" i="62" s="1"/>
  <c r="K11" i="62"/>
  <c r="I16" i="62"/>
  <c r="I18" i="62" s="1"/>
  <c r="I17" i="62"/>
  <c r="J11" i="60"/>
  <c r="N11" i="60" s="1"/>
  <c r="N12" i="60" s="1"/>
  <c r="K11" i="60"/>
  <c r="H15" i="60"/>
  <c r="I15" i="60" s="1"/>
  <c r="I17" i="60" s="1"/>
  <c r="I16" i="60"/>
  <c r="J11" i="58"/>
  <c r="N11" i="58" s="1"/>
  <c r="N12" i="58" s="1"/>
  <c r="N2" i="58" s="1"/>
  <c r="K11" i="58"/>
  <c r="H15" i="58"/>
  <c r="I15" i="58" s="1"/>
  <c r="I17" i="58" s="1"/>
  <c r="I16" i="58"/>
  <c r="J11" i="56"/>
  <c r="N11" i="56" s="1"/>
  <c r="N13" i="56" s="1"/>
  <c r="N2" i="56" s="1"/>
  <c r="K11" i="56"/>
  <c r="I16" i="56"/>
  <c r="I18" i="56" s="1"/>
  <c r="I17" i="56"/>
  <c r="P7" i="54"/>
  <c r="E11" i="54"/>
  <c r="J11" i="54"/>
  <c r="N11" i="54" s="1"/>
  <c r="N13" i="54" s="1"/>
  <c r="N2" i="54" s="1"/>
  <c r="K11" i="54"/>
  <c r="I16" i="54"/>
  <c r="I18" i="54" s="1"/>
  <c r="I17" i="54"/>
  <c r="J11" i="52"/>
  <c r="E11" i="52" s="1"/>
  <c r="N11" i="52" s="1"/>
  <c r="N13" i="52" s="1"/>
  <c r="N2" i="52" s="1"/>
  <c r="I16" i="52"/>
  <c r="I18" i="52" s="1"/>
  <c r="I17" i="52"/>
  <c r="J11" i="50"/>
  <c r="E11" i="50" s="1"/>
  <c r="N11" i="50" s="1"/>
  <c r="N13" i="50" s="1"/>
  <c r="N2" i="50" s="1"/>
  <c r="I16" i="50"/>
  <c r="I18" i="50" s="1"/>
  <c r="I17" i="50"/>
  <c r="J11" i="49"/>
  <c r="N11" i="49" s="1"/>
  <c r="N15" i="49" s="1"/>
  <c r="J12" i="49"/>
  <c r="E12" i="49" s="1"/>
  <c r="N12" i="49"/>
  <c r="J13" i="49"/>
  <c r="E13" i="49" s="1"/>
  <c r="N13" i="49"/>
  <c r="N14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D35" i="49"/>
  <c r="J35" i="49" s="1"/>
  <c r="J36" i="49"/>
  <c r="D37" i="49"/>
  <c r="J37" i="49" s="1"/>
  <c r="J38" i="49"/>
  <c r="D10" i="48"/>
  <c r="D11" i="48"/>
  <c r="D12" i="48"/>
  <c r="D13" i="48"/>
  <c r="D14" i="48"/>
  <c r="D15" i="48"/>
  <c r="D16" i="48"/>
  <c r="D17" i="48"/>
  <c r="D18" i="48"/>
  <c r="D22" i="48"/>
  <c r="N22" i="48"/>
  <c r="N27" i="48" s="1"/>
  <c r="D23" i="48"/>
  <c r="N23" i="48"/>
  <c r="E24" i="48"/>
  <c r="N24" i="48"/>
  <c r="N25" i="48"/>
  <c r="N26" i="48"/>
  <c r="I30" i="48"/>
  <c r="I44" i="48" s="1"/>
  <c r="F31" i="48"/>
  <c r="I31" i="48"/>
  <c r="I32" i="48"/>
  <c r="I33" i="48"/>
  <c r="I34" i="48"/>
  <c r="I35" i="48"/>
  <c r="I36" i="48"/>
  <c r="I37" i="48"/>
  <c r="I38" i="48"/>
  <c r="I39" i="48"/>
  <c r="I40" i="48"/>
  <c r="I41" i="48"/>
  <c r="I42" i="48"/>
  <c r="I43" i="48"/>
  <c r="D47" i="48"/>
  <c r="J47" i="48" s="1"/>
  <c r="J56" i="48" s="1"/>
  <c r="D48" i="48"/>
  <c r="J48" i="48" s="1"/>
  <c r="D49" i="48"/>
  <c r="J49" i="48" s="1"/>
  <c r="D50" i="48"/>
  <c r="J50" i="48" s="1"/>
  <c r="J51" i="48"/>
  <c r="D52" i="48"/>
  <c r="J52" i="48"/>
  <c r="D53" i="48"/>
  <c r="J53" i="48"/>
  <c r="D54" i="48"/>
  <c r="J54" i="48"/>
  <c r="D55" i="48"/>
  <c r="J55" i="48"/>
  <c r="I59" i="48"/>
  <c r="I60" i="48" s="1"/>
  <c r="C16" i="84" l="1"/>
  <c r="E16" i="84" s="1"/>
  <c r="N5" i="93"/>
  <c r="C15" i="84"/>
  <c r="E15" i="84" s="1"/>
  <c r="N5" i="92"/>
  <c r="C14" i="84"/>
  <c r="E14" i="84" s="1"/>
  <c r="N5" i="91"/>
  <c r="C13" i="84"/>
  <c r="E13" i="84" s="1"/>
  <c r="N5" i="90"/>
  <c r="C12" i="84"/>
  <c r="E12" i="84" s="1"/>
  <c r="N5" i="89"/>
  <c r="N5" i="83"/>
  <c r="C10" i="73"/>
  <c r="E10" i="73" s="1"/>
  <c r="E11" i="83"/>
  <c r="N5" i="81"/>
  <c r="C15" i="73"/>
  <c r="E15" i="73" s="1"/>
  <c r="E11" i="81"/>
  <c r="C14" i="73"/>
  <c r="E14" i="73" s="1"/>
  <c r="N5" i="79"/>
  <c r="E11" i="79"/>
  <c r="N5" i="77"/>
  <c r="C13" i="73"/>
  <c r="E13" i="73" s="1"/>
  <c r="E11" i="77"/>
  <c r="N2" i="75"/>
  <c r="E11" i="75"/>
  <c r="N2" i="74"/>
  <c r="E11" i="74"/>
  <c r="J56" i="73"/>
  <c r="E11" i="71"/>
  <c r="F16" i="71"/>
  <c r="I16" i="71" s="1"/>
  <c r="I21" i="71" s="1"/>
  <c r="N2" i="71" s="1"/>
  <c r="E11" i="69"/>
  <c r="F16" i="69"/>
  <c r="I16" i="69" s="1"/>
  <c r="I21" i="69" s="1"/>
  <c r="N2" i="69" s="1"/>
  <c r="N5" i="68"/>
  <c r="C11" i="66"/>
  <c r="E11" i="66" s="1"/>
  <c r="E11" i="68"/>
  <c r="N5" i="67"/>
  <c r="C10" i="66"/>
  <c r="E10" i="66" s="1"/>
  <c r="E11" i="67"/>
  <c r="J42" i="66"/>
  <c r="N2" i="64"/>
  <c r="N5" i="62"/>
  <c r="C17" i="48"/>
  <c r="E17" i="48" s="1"/>
  <c r="E11" i="62"/>
  <c r="N2" i="60"/>
  <c r="E11" i="60"/>
  <c r="C15" i="48"/>
  <c r="E15" i="48" s="1"/>
  <c r="N5" i="58"/>
  <c r="E11" i="58"/>
  <c r="N5" i="56"/>
  <c r="C14" i="48"/>
  <c r="E14" i="48" s="1"/>
  <c r="E11" i="56"/>
  <c r="N5" i="54"/>
  <c r="C13" i="48"/>
  <c r="E13" i="48" s="1"/>
  <c r="C12" i="48"/>
  <c r="E12" i="48" s="1"/>
  <c r="N5" i="52"/>
  <c r="N5" i="50"/>
  <c r="C11" i="48"/>
  <c r="E11" i="48" s="1"/>
  <c r="J39" i="49"/>
  <c r="N2" i="49"/>
  <c r="E11" i="49"/>
  <c r="E20" i="84" l="1"/>
  <c r="N2" i="84" s="1"/>
  <c r="N5" i="84" s="1"/>
  <c r="N5" i="75"/>
  <c r="C12" i="73"/>
  <c r="E12" i="73" s="1"/>
  <c r="N5" i="74"/>
  <c r="C11" i="73"/>
  <c r="E11" i="73" s="1"/>
  <c r="N5" i="71"/>
  <c r="C13" i="66"/>
  <c r="E13" i="66" s="1"/>
  <c r="N5" i="69"/>
  <c r="C12" i="66"/>
  <c r="E12" i="66" s="1"/>
  <c r="N5" i="64"/>
  <c r="C18" i="48"/>
  <c r="E18" i="48" s="1"/>
  <c r="N5" i="60"/>
  <c r="C16" i="48"/>
  <c r="E16" i="48" s="1"/>
  <c r="N5" i="49"/>
  <c r="C10" i="48"/>
  <c r="E10" i="48" s="1"/>
  <c r="E14" i="66" l="1"/>
  <c r="N2" i="66" s="1"/>
  <c r="N5" i="66" s="1"/>
  <c r="E16" i="73"/>
  <c r="N2" i="73" s="1"/>
  <c r="N5" i="73" s="1"/>
  <c r="E19" i="48"/>
  <c r="N2" i="48" s="1"/>
  <c r="N5" i="48" s="1"/>
  <c r="B3" i="46" l="1"/>
  <c r="B4" i="46"/>
  <c r="N11" i="46"/>
  <c r="N12" i="46"/>
  <c r="N2" i="46" s="1"/>
  <c r="I15" i="46"/>
  <c r="I17" i="46" s="1"/>
  <c r="I16" i="46"/>
  <c r="B3" i="45"/>
  <c r="B4" i="45"/>
  <c r="N11" i="45"/>
  <c r="N12" i="45"/>
  <c r="N2" i="45" s="1"/>
  <c r="I15" i="45"/>
  <c r="I17" i="45" s="1"/>
  <c r="I16" i="45"/>
  <c r="B3" i="44"/>
  <c r="B4" i="44"/>
  <c r="N11" i="44"/>
  <c r="N12" i="44"/>
  <c r="N2" i="44" s="1"/>
  <c r="I15" i="44"/>
  <c r="I17" i="44" s="1"/>
  <c r="I16" i="44"/>
  <c r="B3" i="43"/>
  <c r="B4" i="43"/>
  <c r="N11" i="43"/>
  <c r="N12" i="43"/>
  <c r="N2" i="43" s="1"/>
  <c r="I15" i="43"/>
  <c r="I16" i="43"/>
  <c r="I19" i="43" s="1"/>
  <c r="I17" i="43"/>
  <c r="I18" i="43"/>
  <c r="B3" i="42"/>
  <c r="B4" i="42"/>
  <c r="N11" i="42"/>
  <c r="N12" i="42"/>
  <c r="N2" i="42" s="1"/>
  <c r="I15" i="42"/>
  <c r="I16" i="42"/>
  <c r="I19" i="42" s="1"/>
  <c r="I17" i="42"/>
  <c r="I18" i="42"/>
  <c r="B3" i="41"/>
  <c r="B4" i="41"/>
  <c r="N11" i="41"/>
  <c r="N12" i="41"/>
  <c r="N2" i="41" s="1"/>
  <c r="I15" i="41"/>
  <c r="I16" i="41"/>
  <c r="I19" i="41" s="1"/>
  <c r="I17" i="41"/>
  <c r="I18" i="41"/>
  <c r="B3" i="40"/>
  <c r="B4" i="40"/>
  <c r="J11" i="40"/>
  <c r="N11" i="40"/>
  <c r="N12" i="40" s="1"/>
  <c r="I15" i="40"/>
  <c r="I19" i="40" s="1"/>
  <c r="I16" i="40"/>
  <c r="I17" i="40"/>
  <c r="I18" i="40"/>
  <c r="B3" i="39"/>
  <c r="B4" i="39"/>
  <c r="N11" i="39"/>
  <c r="N12" i="39"/>
  <c r="N2" i="39" s="1"/>
  <c r="I15" i="39"/>
  <c r="I19" i="39" s="1"/>
  <c r="I16" i="39"/>
  <c r="I17" i="39"/>
  <c r="I18" i="39"/>
  <c r="B3" i="38"/>
  <c r="B4" i="38"/>
  <c r="J11" i="38"/>
  <c r="N11" i="38"/>
  <c r="N12" i="38" s="1"/>
  <c r="I15" i="38"/>
  <c r="I18" i="38" s="1"/>
  <c r="I16" i="38"/>
  <c r="I17" i="38"/>
  <c r="B10" i="37"/>
  <c r="D10" i="37"/>
  <c r="B11" i="37"/>
  <c r="D11" i="37"/>
  <c r="D12" i="37"/>
  <c r="D13" i="37"/>
  <c r="D14" i="37"/>
  <c r="D15" i="37"/>
  <c r="D16" i="37"/>
  <c r="D17" i="37"/>
  <c r="D18" i="37"/>
  <c r="N22" i="37"/>
  <c r="N23" i="37"/>
  <c r="N24" i="37"/>
  <c r="N30" i="37" s="1"/>
  <c r="N25" i="37"/>
  <c r="N26" i="37"/>
  <c r="N27" i="37"/>
  <c r="N28" i="37"/>
  <c r="N29" i="37"/>
  <c r="I33" i="37"/>
  <c r="I34" i="37"/>
  <c r="I35" i="37"/>
  <c r="I54" i="37" s="1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J57" i="37"/>
  <c r="J64" i="37" s="1"/>
  <c r="J58" i="37"/>
  <c r="J59" i="37"/>
  <c r="J60" i="37"/>
  <c r="J61" i="37"/>
  <c r="J62" i="37"/>
  <c r="J63" i="37"/>
  <c r="C18" i="37" l="1"/>
  <c r="E18" i="37" s="1"/>
  <c r="N5" i="46"/>
  <c r="N5" i="45"/>
  <c r="C17" i="37"/>
  <c r="E17" i="37" s="1"/>
  <c r="C16" i="37"/>
  <c r="E16" i="37" s="1"/>
  <c r="N5" i="44"/>
  <c r="C15" i="37"/>
  <c r="E15" i="37" s="1"/>
  <c r="N5" i="43"/>
  <c r="C14" i="37"/>
  <c r="E14" i="37" s="1"/>
  <c r="N5" i="42"/>
  <c r="N5" i="41"/>
  <c r="C13" i="37"/>
  <c r="E13" i="37" s="1"/>
  <c r="N2" i="40"/>
  <c r="C11" i="37"/>
  <c r="E11" i="37" s="1"/>
  <c r="N5" i="39"/>
  <c r="N2" i="38"/>
  <c r="N5" i="40" l="1"/>
  <c r="C12" i="37"/>
  <c r="E12" i="37" s="1"/>
  <c r="C10" i="37"/>
  <c r="E10" i="37" s="1"/>
  <c r="N5" i="38"/>
  <c r="E19" i="37" l="1"/>
  <c r="N2" i="37" s="1"/>
  <c r="N5" i="37" s="1"/>
  <c r="B1" i="35"/>
  <c r="B3" i="34"/>
  <c r="B4" i="34"/>
  <c r="N11" i="34"/>
  <c r="N12" i="34"/>
  <c r="N2" i="34" s="1"/>
  <c r="I15" i="34"/>
  <c r="I16" i="34"/>
  <c r="I17" i="34" s="1"/>
  <c r="B1" i="33"/>
  <c r="B3" i="32"/>
  <c r="B4" i="32"/>
  <c r="J11" i="32"/>
  <c r="N11" i="32"/>
  <c r="N12" i="32" s="1"/>
  <c r="I15" i="32"/>
  <c r="I18" i="32" s="1"/>
  <c r="I16" i="32"/>
  <c r="I17" i="32"/>
  <c r="B1" i="31"/>
  <c r="B3" i="30"/>
  <c r="B4" i="30"/>
  <c r="J11" i="30"/>
  <c r="N11" i="30"/>
  <c r="N12" i="30"/>
  <c r="I15" i="30"/>
  <c r="I17" i="30" s="1"/>
  <c r="I16" i="30"/>
  <c r="B1" i="29"/>
  <c r="B3" i="28"/>
  <c r="B4" i="28"/>
  <c r="J11" i="28"/>
  <c r="N11" i="28"/>
  <c r="N12" i="28" s="1"/>
  <c r="I15" i="28"/>
  <c r="I17" i="28" s="1"/>
  <c r="I16" i="28"/>
  <c r="B1" i="27"/>
  <c r="B3" i="26"/>
  <c r="B4" i="26"/>
  <c r="J11" i="26"/>
  <c r="N11" i="26"/>
  <c r="N12" i="26"/>
  <c r="N2" i="26" s="1"/>
  <c r="I15" i="26"/>
  <c r="I17" i="26" s="1"/>
  <c r="I16" i="26"/>
  <c r="B3" i="25"/>
  <c r="B4" i="25"/>
  <c r="N11" i="25"/>
  <c r="N12" i="25"/>
  <c r="N2" i="25" s="1"/>
  <c r="I15" i="25"/>
  <c r="I17" i="25" s="1"/>
  <c r="I16" i="25"/>
  <c r="B1" i="24"/>
  <c r="B3" i="23"/>
  <c r="B4" i="23"/>
  <c r="J11" i="23"/>
  <c r="N11" i="23"/>
  <c r="N12" i="23"/>
  <c r="I15" i="23"/>
  <c r="I17" i="23" s="1"/>
  <c r="I16" i="23"/>
  <c r="B3" i="22"/>
  <c r="B4" i="22"/>
  <c r="N11" i="22"/>
  <c r="N12" i="22"/>
  <c r="N2" i="22" s="1"/>
  <c r="I15" i="22"/>
  <c r="I17" i="22" s="1"/>
  <c r="I16" i="22"/>
  <c r="B10" i="21"/>
  <c r="D10" i="21"/>
  <c r="B11" i="21"/>
  <c r="D11" i="21"/>
  <c r="B12" i="21"/>
  <c r="D12" i="21"/>
  <c r="B13" i="21"/>
  <c r="D13" i="21"/>
  <c r="B14" i="21"/>
  <c r="D14" i="21"/>
  <c r="B15" i="21"/>
  <c r="D15" i="21"/>
  <c r="B16" i="21"/>
  <c r="D16" i="21"/>
  <c r="B17" i="21"/>
  <c r="D17" i="21"/>
  <c r="N21" i="21"/>
  <c r="N24" i="21" s="1"/>
  <c r="N22" i="21"/>
  <c r="N23" i="21"/>
  <c r="I27" i="21"/>
  <c r="I57" i="21" s="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D60" i="21"/>
  <c r="J60" i="21"/>
  <c r="D61" i="21"/>
  <c r="J61" i="21" s="1"/>
  <c r="D62" i="21"/>
  <c r="J62" i="21"/>
  <c r="J63" i="21"/>
  <c r="J64" i="21"/>
  <c r="D65" i="21"/>
  <c r="J65" i="21"/>
  <c r="D66" i="21"/>
  <c r="J66" i="21" s="1"/>
  <c r="I70" i="21"/>
  <c r="I71" i="21" s="1"/>
  <c r="N5" i="34" l="1"/>
  <c r="C17" i="21"/>
  <c r="E17" i="21" s="1"/>
  <c r="N2" i="32"/>
  <c r="N2" i="30"/>
  <c r="N2" i="28"/>
  <c r="N5" i="26"/>
  <c r="C13" i="21"/>
  <c r="E13" i="21" s="1"/>
  <c r="C12" i="21"/>
  <c r="E12" i="21" s="1"/>
  <c r="N5" i="25"/>
  <c r="N2" i="23"/>
  <c r="C10" i="21"/>
  <c r="E10" i="21" s="1"/>
  <c r="N5" i="22"/>
  <c r="J67" i="21"/>
  <c r="N5" i="32" l="1"/>
  <c r="C16" i="21"/>
  <c r="E16" i="21" s="1"/>
  <c r="C15" i="21"/>
  <c r="E15" i="21" s="1"/>
  <c r="N5" i="30"/>
  <c r="N5" i="28"/>
  <c r="C14" i="21"/>
  <c r="E14" i="21" s="1"/>
  <c r="N5" i="23"/>
  <c r="C11" i="21"/>
  <c r="E11" i="21" s="1"/>
  <c r="E18" i="21" l="1"/>
  <c r="N2" i="21" s="1"/>
  <c r="N5" i="21" s="1"/>
  <c r="I7" i="8" l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L7" i="8" l="1"/>
  <c r="K7" i="8"/>
  <c r="M7" i="8"/>
  <c r="J7" i="8"/>
  <c r="H7" i="8" l="1"/>
  <c r="N7" i="8" s="1"/>
  <c r="H8" i="8"/>
  <c r="N8" i="8" s="1"/>
  <c r="O1" i="8"/>
</calcChain>
</file>

<file path=xl/sharedStrings.xml><?xml version="1.0" encoding="utf-8"?>
<sst xmlns="http://schemas.openxmlformats.org/spreadsheetml/2006/main" count="4147" uniqueCount="636">
  <si>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</si>
  <si>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</si>
  <si>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</si>
  <si>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</si>
  <si>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</si>
  <si>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</si>
  <si>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</si>
  <si>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</si>
  <si>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</si>
  <si>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</si>
  <si>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</si>
  <si>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</si>
  <si>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</si>
  <si>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</si>
  <si>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</si>
  <si>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</si>
  <si>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</si>
  <si>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</si>
  <si>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</si>
  <si>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</si>
  <si>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</si>
  <si>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</si>
  <si>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</si>
  <si>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</si>
  <si>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</si>
  <si>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</si>
  <si>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</si>
  <si>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</si>
  <si>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</si>
  <si>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</si>
  <si>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</si>
  <si>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</si>
  <si>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</si>
  <si>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</si>
  <si>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</si>
  <si>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</si>
  <si>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</si>
  <si>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</si>
  <si>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</si>
  <si>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</si>
  <si>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</si>
  <si>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</si>
  <si>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</si>
  <si>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</si>
  <si>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</si>
  <si>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</si>
  <si>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</si>
  <si>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</si>
  <si>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</si>
  <si>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</si>
  <si>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</si>
  <si>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</si>
  <si>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</si>
  <si>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</si>
  <si>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</si>
  <si>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</si>
  <si>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</si>
  <si>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</si>
  <si>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</si>
  <si>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</si>
  <si>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</si>
  <si>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</si>
  <si>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</si>
  <si>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</si>
  <si>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</si>
  <si>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</si>
  <si>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</si>
  <si>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</si>
  <si>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</si>
  <si>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</si>
  <si>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</si>
  <si>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</si>
  <si>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</si>
  <si>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</si>
  <si>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</si>
  <si>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</si>
  <si>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</si>
  <si>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</si>
  <si>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</si>
  <si>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</si>
  <si>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</si>
  <si>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</si>
  <si>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</si>
  <si>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</si>
  <si>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</si>
  <si>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</si>
  <si>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</si>
  <si>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</si>
  <si>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</si>
  <si>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</si>
  <si>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</si>
  <si>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</si>
  <si>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</si>
  <si>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</si>
  <si>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</si>
  <si>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</si>
  <si>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</si>
  <si>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</si>
  <si>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</si>
  <si>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</si>
  <si>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</si>
  <si>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</si>
  <si>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</si>
  <si>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</si>
  <si>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</si>
  <si>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</si>
  <si>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</si>
  <si>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</si>
  <si>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Renommer les cases quantité (cellule N3), et sous-totaux de chaque part respectivement code_de_la_part_x avec x = q pour quantité, m pour material, f pour fastener, t pour tooling et p pour process</t>
  </si>
  <si>
    <t>Remplir la quantité, Material, Process, Fastener, Tooling. Dans le cas où une table n'est pas concernée (elle est restée vide), la supprimer complètement.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</si>
  <si>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</si>
  <si>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</si>
  <si>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</si>
  <si>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</si>
  <si>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</si>
  <si>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</si>
  <si>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</si>
  <si>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</si>
  <si>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Renommer l'onglet avec ce même code</t>
  </si>
  <si>
    <t>Viennent ensuite les Parts. Pour chaque Part :</t>
  </si>
  <si>
    <t>FSAEI</t>
  </si>
  <si>
    <t>Back to BOM</t>
  </si>
  <si>
    <t>Petite marche à suivre pour remplir cette merveille qu'est le cost</t>
  </si>
  <si>
    <t>Feuille EN Assembly : Feuille pour 1 assemblage du système EN. Pour un nouvel assemblage, créer un nouveau document à partir du template. 1 document Excel = 1 assemblage</t>
  </si>
  <si>
    <t>ex EN_A0001_q, …</t>
  </si>
  <si>
    <t>Feuille EN Part x : Feuille pour 1 part de l'assemblage. Pour faire une nouvelle part, créer un nouvel onglet à partir du template. 1 onglet = 1 part.</t>
  </si>
  <si>
    <t>Renommer cette cellule du nom du code qu'elle comprend mais avec un _ comme séparateur : ex EN_01001</t>
  </si>
  <si>
    <t>Créer un lien vers l'assemblage : sélectionner la cellule, faites Ctrl+K, il apparait une fenetre, en référence de la cellule (A1 par défaut) indiquez le nom de la cellule renommé de l'assemblage (par ex EN_A0001)</t>
  </si>
  <si>
    <t>ex : EN_01001_q, …</t>
  </si>
  <si>
    <t>Faites une capture d'écran du plan de la part en question et coller l'image dans l'onglet "EN Drawing 1"</t>
  </si>
  <si>
    <t>Renommer la cellule avec le nouveau lien d_code_de_la_part, ex dEN_01001</t>
  </si>
  <si>
    <t>Dans le détail de la part (onglet "EN Part x") écrire à côté de cellule File Link "Drawing" et mettre un lien vers la cellule surplombant le plan ayant le code d_code_de_la_part (ex dEN_01001)</t>
  </si>
  <si>
    <t>sélectionner la cellule, faites Ctrl+K, apparait une fenetre, en référence de la cellule (A1 par défaut) indiquez le nom de la cellule renommé de la Part (par ex EN_01001)</t>
  </si>
  <si>
    <t>Insérer un lien vers la Part sur le plan par clic droit sur l'image. Cible du lien vers la Part (ex EN_01001)</t>
  </si>
  <si>
    <t>Renomme cette cellule du nom du code qu'elle comprend mais avec un _ comme séparateur : ex EN_A0001</t>
  </si>
  <si>
    <t>Engine and Drivetrain</t>
  </si>
  <si>
    <t>Consulter le tutoriel disponible sur GitHub, dans Vulcanix-v1.0/Cost Report, pour plus d'informations sur cette étape.</t>
  </si>
  <si>
    <t>m</t>
  </si>
  <si>
    <t>Weld</t>
  </si>
  <si>
    <t>Assemble, 1 kg, Loose</t>
  </si>
  <si>
    <t>Ratchet &lt;=25,4mm</t>
  </si>
  <si>
    <t>Assemble, 1kg, Interference</t>
  </si>
  <si>
    <t>Ratchet &lt;= 6.35 mm</t>
  </si>
  <si>
    <t>Assemble, 3kg, Line-on-Line</t>
  </si>
  <si>
    <t>kg</t>
  </si>
  <si>
    <t>Machining</t>
  </si>
  <si>
    <t>Machining Setup, Change</t>
  </si>
  <si>
    <t>cm^3</t>
  </si>
  <si>
    <t>Material - Steel</t>
  </si>
  <si>
    <t>Laser Cut</t>
  </si>
  <si>
    <t>bend</t>
  </si>
  <si>
    <t>cut</t>
  </si>
  <si>
    <t>Sheet metal bends</t>
  </si>
  <si>
    <t>cm^2</t>
  </si>
  <si>
    <t>Assemble, 1 kg, Line-on-Line</t>
  </si>
  <si>
    <t>m^2</t>
  </si>
  <si>
    <t>Bolt, Grade 8.8 (SAE 5)</t>
  </si>
  <si>
    <t>EN_0300_013</t>
  </si>
  <si>
    <t>EN_0300_012</t>
  </si>
  <si>
    <t>EN_0300_011</t>
  </si>
  <si>
    <t>EN_0300_010</t>
  </si>
  <si>
    <t>EN_0300_009</t>
  </si>
  <si>
    <t>EN_0300_003</t>
  </si>
  <si>
    <t>EN_0300_002</t>
  </si>
  <si>
    <t>EN_0300_001</t>
  </si>
  <si>
    <t>EN_A0300</t>
  </si>
  <si>
    <t>Intake brackets welding</t>
  </si>
  <si>
    <t>Fastening plenum, plenum plate and intake manifold</t>
  </si>
  <si>
    <t>Fastening brackets</t>
  </si>
  <si>
    <t>Washer, Grade 8,8 (SAE 5)</t>
  </si>
  <si>
    <t>Tightening the intake pipes with the intake manifold</t>
  </si>
  <si>
    <t>Hose Clamp, Worm Drive</t>
  </si>
  <si>
    <t>Fixing the frame brackets on the frame</t>
  </si>
  <si>
    <t>Reaction Tool &lt;= 25,4 mm</t>
  </si>
  <si>
    <t>Wrench &lt;= 25,4 mm</t>
  </si>
  <si>
    <t>Positionning Mount, Vibration-Damping, Sandwich</t>
  </si>
  <si>
    <t>Asemble, 1 kg, Line-onLine</t>
  </si>
  <si>
    <t>Drilling holes inside the frame brackets</t>
  </si>
  <si>
    <t>Drilled holes &lt; 25,4 mm dia.</t>
  </si>
  <si>
    <t>Bending the frame brackets to align with the intake brackets</t>
  </si>
  <si>
    <t>Positionning the frame brackets on the frame</t>
  </si>
  <si>
    <t>Tightening the hose clamps on the intake manifold and the motor</t>
  </si>
  <si>
    <t>Screwdriver &gt; 1 Turn</t>
  </si>
  <si>
    <t>Fixing the PAIR plates to the motor</t>
  </si>
  <si>
    <t>Positionning the intake assembly on the motor</t>
  </si>
  <si>
    <t>Asemble, 3 kg, Loose</t>
  </si>
  <si>
    <t>Fixing the PAIR plates to the motor bracket</t>
  </si>
  <si>
    <t>Positionning the PAIR plates on the motor bracket</t>
  </si>
  <si>
    <t>Drilling holes inside the PAIR plates</t>
  </si>
  <si>
    <t>Positionning the PAIR plates on the motor</t>
  </si>
  <si>
    <t>Asemble, 1 kg, Loose</t>
  </si>
  <si>
    <t>Fixing the motor bracket to the plenum plate</t>
  </si>
  <si>
    <t>Positionning the motor bracket on the plenum plate</t>
  </si>
  <si>
    <t>Fixing the left and right frame bracket on the plenum</t>
  </si>
  <si>
    <t>Positionning the left and right frame bracket</t>
  </si>
  <si>
    <t>Fixing the plenum to the plenum plate</t>
  </si>
  <si>
    <t>Reaction Tool &lt;= 6,35 mm</t>
  </si>
  <si>
    <t>Wrench &lt;= 6,35 mm</t>
  </si>
  <si>
    <t>Positionning the plenum on the plenum seal</t>
  </si>
  <si>
    <t>Positionning the plenum seal on the plenum plate</t>
  </si>
  <si>
    <t>Fixing the plenum plate to the intake manifold</t>
  </si>
  <si>
    <t>Positionning the plenum plate on the manifold seal</t>
  </si>
  <si>
    <t>Positionning the manifold seal on the manifold</t>
  </si>
  <si>
    <t>Welding the intake brackets on the frame</t>
  </si>
  <si>
    <t>Sealing between intake manifold and plenum plate</t>
  </si>
  <si>
    <t>Seal, O-ring, Elastomer</t>
  </si>
  <si>
    <t>Sealing between upper plenum and plenum plate</t>
  </si>
  <si>
    <t>Isolation between throttle and chassis</t>
  </si>
  <si>
    <t>Mount, Vibration-Damping, Sandwich</t>
  </si>
  <si>
    <t>Air Intake Assembly</t>
  </si>
  <si>
    <t>Air Intake System</t>
  </si>
  <si>
    <t>Applying varnish inside the upper plenum</t>
  </si>
  <si>
    <t>Aerosol Aplly</t>
  </si>
  <si>
    <t>Printing the upper plenum</t>
  </si>
  <si>
    <t>Rapid Prototype - Plastic</t>
  </si>
  <si>
    <t>Material for part</t>
  </si>
  <si>
    <t>Plasti, Nylon</t>
  </si>
  <si>
    <t>Made by 3D printing</t>
  </si>
  <si>
    <t>CD</t>
  </si>
  <si>
    <t>Upper plenum</t>
  </si>
  <si>
    <t>Producing the plenum plate</t>
  </si>
  <si>
    <t>Setup for laser cutting</t>
  </si>
  <si>
    <t>Machinnig Setup, Install and remove</t>
  </si>
  <si>
    <t>Rectangular area 200x215 mm</t>
  </si>
  <si>
    <t>Aluminium, Normal</t>
  </si>
  <si>
    <t>Made by laser cutting</t>
  </si>
  <si>
    <t>BA</t>
  </si>
  <si>
    <t>Plenum plate</t>
  </si>
  <si>
    <t>Applying varnish inside the intake manifold</t>
  </si>
  <si>
    <t>DA</t>
  </si>
  <si>
    <t>Intake manifold</t>
  </si>
  <si>
    <t>Producing the left frame bracket</t>
  </si>
  <si>
    <t>Rectangular area 225x16 mm</t>
  </si>
  <si>
    <t>Left frame bracket</t>
  </si>
  <si>
    <t>Producing the right frame bracket</t>
  </si>
  <si>
    <t>Rectangular area 256x16 mm</t>
  </si>
  <si>
    <t>Right frame bracket</t>
  </si>
  <si>
    <t>Producing the PAIR plate</t>
  </si>
  <si>
    <t>Rectangular area 80x55 mm</t>
  </si>
  <si>
    <t>PAIR plate</t>
  </si>
  <si>
    <t>Bending the motor bracket</t>
  </si>
  <si>
    <t>Rectangular area 215x75 mm</t>
  </si>
  <si>
    <t>AB</t>
  </si>
  <si>
    <t>Motor bracket</t>
  </si>
  <si>
    <t>Stock material for part</t>
  </si>
  <si>
    <t>Steel, Mild</t>
  </si>
  <si>
    <t>Intake bracket</t>
  </si>
  <si>
    <t>EN_0400_009</t>
  </si>
  <si>
    <t>EN_0400_008</t>
  </si>
  <si>
    <t>EN_0400_007</t>
  </si>
  <si>
    <t>EN_0400_006</t>
  </si>
  <si>
    <t>EN_0400_005</t>
  </si>
  <si>
    <t>EN_0400_004</t>
  </si>
  <si>
    <t>EN_0400_003</t>
  </si>
  <si>
    <t>EN_0400_002</t>
  </si>
  <si>
    <t>EN_0400_001</t>
  </si>
  <si>
    <t>EN_A0400</t>
  </si>
  <si>
    <t>Process 170</t>
  </si>
  <si>
    <t>Hose Clamp, Miniature Bolt</t>
  </si>
  <si>
    <t>Process 140</t>
  </si>
  <si>
    <t>Process 110</t>
  </si>
  <si>
    <t>Process 70</t>
  </si>
  <si>
    <t>Assemble cable</t>
  </si>
  <si>
    <t>Assemble, 1kg, Loose</t>
  </si>
  <si>
    <t>Tighten cable adjuster</t>
  </si>
  <si>
    <t>Hand, Loose &lt;=6,35mm</t>
  </si>
  <si>
    <t>Assemble cable adjuster</t>
  </si>
  <si>
    <t>Tighten clamp</t>
  </si>
  <si>
    <t>Screwdriver &lt; 1 Turn</t>
  </si>
  <si>
    <t>Assemble air filter and clamp</t>
  </si>
  <si>
    <t>Reaction tool for M6 nut</t>
  </si>
  <si>
    <t>Reaction Tool &lt;=6,35mm</t>
  </si>
  <si>
    <t>Tighten M6 bolt</t>
  </si>
  <si>
    <t>Wrench &lt;= 6,35mm</t>
  </si>
  <si>
    <t>Assemble throttle body on plenum</t>
  </si>
  <si>
    <t>Assemble seal on throttle body</t>
  </si>
  <si>
    <t>Tighten M5 bolt</t>
  </si>
  <si>
    <t>Assemble axle stop</t>
  </si>
  <si>
    <t>Assemble torsion spring</t>
  </si>
  <si>
    <t>Assemble, 1kg, Line-on-line</t>
  </si>
  <si>
    <t>Reaction tool for M5 nut</t>
  </si>
  <si>
    <t>Assemble negative stop</t>
  </si>
  <si>
    <t>Assemble cable housing axle</t>
  </si>
  <si>
    <t>Assemble TPS axle</t>
  </si>
  <si>
    <t>Assemble throttle plate in restrictor</t>
  </si>
  <si>
    <t>Assemble ram pipe on throttle housing</t>
  </si>
  <si>
    <t>Assemble flange on restrictor</t>
  </si>
  <si>
    <t>Assemble throttle housing on restrictor</t>
  </si>
  <si>
    <t>Cable, Adjuster</t>
  </si>
  <si>
    <t>Throttle cable</t>
  </si>
  <si>
    <t>Cable, Pull</t>
  </si>
  <si>
    <t>Sealing with plenum</t>
  </si>
  <si>
    <t>Seal, O-ring Elastomer</t>
  </si>
  <si>
    <t>Sealing with airfilter</t>
  </si>
  <si>
    <t>Hellicoidal spring</t>
  </si>
  <si>
    <t>Spring, Tension (General)</t>
  </si>
  <si>
    <t>Torsion spring</t>
  </si>
  <si>
    <t>Air filter</t>
  </si>
  <si>
    <t>Throttle Plate</t>
  </si>
  <si>
    <t>Ram Pipe</t>
  </si>
  <si>
    <t>Axle Stop</t>
  </si>
  <si>
    <t>Cable Housing</t>
  </si>
  <si>
    <t>TPS Axle</t>
  </si>
  <si>
    <t>Throttle Axle</t>
  </si>
  <si>
    <t>Throttle Housing</t>
  </si>
  <si>
    <t>Throttle Body of the air intake assembly</t>
  </si>
  <si>
    <t>EN_A0600</t>
  </si>
  <si>
    <t>Throttle Body</t>
  </si>
  <si>
    <t>Aluminium</t>
  </si>
  <si>
    <t>hole</t>
  </si>
  <si>
    <t>Drillet holes &lt; 25,4mm dia,</t>
  </si>
  <si>
    <t>Rectangular area, 40x20mm</t>
  </si>
  <si>
    <t>Bought, cost as made</t>
  </si>
  <si>
    <t>Throttle Frange</t>
  </si>
  <si>
    <t>Machining setup, change</t>
  </si>
  <si>
    <t>Cutout shape</t>
  </si>
  <si>
    <t>Round diam 42mm</t>
  </si>
  <si>
    <t>Restrictor</t>
  </si>
  <si>
    <t>Rectangular area, 45x30mm</t>
  </si>
  <si>
    <t>Steel</t>
  </si>
  <si>
    <t>Machining of the back face</t>
  </si>
  <si>
    <t>Setup part for machining the back face</t>
  </si>
  <si>
    <t>Round 10 mm</t>
  </si>
  <si>
    <t>Laser cut</t>
  </si>
  <si>
    <t>Rectangular area 60x2mm</t>
  </si>
  <si>
    <t>Round 25mm diam</t>
  </si>
  <si>
    <t>Round 80mm diam</t>
  </si>
  <si>
    <t>Round 32mm diam</t>
  </si>
  <si>
    <t>Weld tabs to frame</t>
  </si>
  <si>
    <t>Blocking right bearing carrier and right eccentric</t>
  </si>
  <si>
    <t>Nut, Grade 8,8 (SAE 5)</t>
  </si>
  <si>
    <t>Bolt, Grade 8,8 (SAE 5)</t>
  </si>
  <si>
    <t>Assemble right bearing carrier and tabs</t>
  </si>
  <si>
    <t>Blocking eccentric</t>
  </si>
  <si>
    <t>Blocking left bearing carrier and left eccentric</t>
  </si>
  <si>
    <t>Assemble left bearing carrier and tabs</t>
  </si>
  <si>
    <t>Bolt the right bearing carrier to tabs</t>
  </si>
  <si>
    <t>Reaction Tool &lt;=25,4mm</t>
  </si>
  <si>
    <t>Bolt the left bearing carrier to tabs</t>
  </si>
  <si>
    <t>Put two washers on bolt</t>
  </si>
  <si>
    <t>Put the bearing carriers and tabs in place</t>
  </si>
  <si>
    <t>Bolt the bearing carriers to eccentric</t>
  </si>
  <si>
    <t>Ratchet &lt;= 6,35mm</t>
  </si>
  <si>
    <t>Assemble the bearing carriers and the bearings</t>
  </si>
  <si>
    <t>Assemble, 1 kg, Interference</t>
  </si>
  <si>
    <t>Assemble the left bearing and eccentric</t>
  </si>
  <si>
    <t>Assemble the right bearing and eccentric</t>
  </si>
  <si>
    <t>Assemble the housing</t>
  </si>
  <si>
    <t>Assemble, 3 kg, Interference</t>
  </si>
  <si>
    <t>Paint the tabs</t>
  </si>
  <si>
    <t>Aerosol apply</t>
  </si>
  <si>
    <t>Differential Internals, Limited Slip, Salisbury or Powerflow or Clutch Style</t>
  </si>
  <si>
    <t>litre</t>
  </si>
  <si>
    <t>Differential oil</t>
  </si>
  <si>
    <t>Fluid, Oil</t>
  </si>
  <si>
    <t>Paint the brackets</t>
  </si>
  <si>
    <t>Paint</t>
  </si>
  <si>
    <t>Right differential bearing</t>
  </si>
  <si>
    <t>Bearing, Ball, Deep groove</t>
  </si>
  <si>
    <t>Left differential bearing</t>
  </si>
  <si>
    <t>Right Jacking Bar bracket</t>
  </si>
  <si>
    <t>Left Jacking Bar bracket</t>
  </si>
  <si>
    <t>Lower Eccentric Carrier bracket</t>
  </si>
  <si>
    <t>Upper Eccentric Carrier bracket</t>
  </si>
  <si>
    <t>Right Eccentric Carrier</t>
  </si>
  <si>
    <t>Left Eccentric Carrier</t>
  </si>
  <si>
    <t>Right Eccentric</t>
  </si>
  <si>
    <t>Left Eccentric</t>
  </si>
  <si>
    <t>Housing</t>
  </si>
  <si>
    <t>Differential housing and mounting assembly</t>
  </si>
  <si>
    <t>EN_A0900</t>
  </si>
  <si>
    <t>Differential Assembly</t>
  </si>
  <si>
    <t>Engine &amp; Drivetrain</t>
  </si>
  <si>
    <t>Washer, Crush</t>
  </si>
  <si>
    <t>Bolt, Grade 10.9 (SAE 8)</t>
  </si>
  <si>
    <t>Washer, Grade 12.9</t>
  </si>
  <si>
    <t>Assembly of the three parts</t>
  </si>
  <si>
    <t>Bolt, Grade 12.9</t>
  </si>
  <si>
    <t>Bolt the drain</t>
  </si>
  <si>
    <t>Ratchet &lt;= 25.4 mm</t>
  </si>
  <si>
    <t>Assemble the three parts</t>
  </si>
  <si>
    <t>Hole for the diff. Cover</t>
  </si>
  <si>
    <t>Drilled holes &lt; 25.4 mm dia.</t>
  </si>
  <si>
    <t>Material-Aluminium</t>
  </si>
  <si>
    <t>Setup and removal</t>
  </si>
  <si>
    <t>Broach the housing cover</t>
  </si>
  <si>
    <t>Broach, External</t>
  </si>
  <si>
    <t>Hole for the diff. Housing</t>
  </si>
  <si>
    <t>Tapping central holes</t>
  </si>
  <si>
    <t>Tapping holes</t>
  </si>
  <si>
    <t>Tapping lateral holes</t>
  </si>
  <si>
    <t>Seal, O-Ring, Elastomer</t>
  </si>
  <si>
    <t>Round 102mm diam.</t>
  </si>
  <si>
    <t>Aluminium, Premium</t>
  </si>
  <si>
    <t>EN_0900_001</t>
  </si>
  <si>
    <t>Differential</t>
  </si>
  <si>
    <t>Material - Plastic</t>
  </si>
  <si>
    <t>Holes</t>
  </si>
  <si>
    <t>Setup for machining</t>
  </si>
  <si>
    <t>175mm diam</t>
  </si>
  <si>
    <t>Plastic, Polyoxymethylene (POM)</t>
  </si>
  <si>
    <t>EN_0900_002</t>
  </si>
  <si>
    <t>165mm diam</t>
  </si>
  <si>
    <t>EN_0900_003</t>
  </si>
  <si>
    <t>Material - Aluminium</t>
  </si>
  <si>
    <t>Shaping of the differential bearing carrier</t>
  </si>
  <si>
    <t>Setup and removal of the machining of the right bearing carrier</t>
  </si>
  <si>
    <t>Rectangular area 374x130 mm</t>
  </si>
  <si>
    <t>Material for the left bearing carrier</t>
  </si>
  <si>
    <t>EN_0900_004</t>
  </si>
  <si>
    <t>Left Eccentric carrier</t>
  </si>
  <si>
    <t>Rectangular area 374x120 mm</t>
  </si>
  <si>
    <t>EN_0900_005</t>
  </si>
  <si>
    <t>Right Eccentric carrier</t>
  </si>
  <si>
    <t>Material, Steel</t>
  </si>
  <si>
    <t>Shaping of the brackets and holes</t>
  </si>
  <si>
    <t>4 parts cut from a single machine setup</t>
  </si>
  <si>
    <t>Rectangular area 46x34 mm</t>
  </si>
  <si>
    <t>Material for the bracket</t>
  </si>
  <si>
    <t>EN_0900_006</t>
  </si>
  <si>
    <t>Rectangular area 46x29 mm</t>
  </si>
  <si>
    <t>EN_0900_007</t>
  </si>
  <si>
    <t>Rectangular area 60x47 mm</t>
  </si>
  <si>
    <t>EN_0900_008</t>
  </si>
  <si>
    <t>Rectangular area 61x47 mm</t>
  </si>
  <si>
    <t>EN_0900_009</t>
  </si>
  <si>
    <t>Fasten the tripod housing and the hub</t>
  </si>
  <si>
    <t>Assemble the tripod housing to the differential</t>
  </si>
  <si>
    <t>Fasten the boot</t>
  </si>
  <si>
    <t>Snap ring for retaining the tripods</t>
  </si>
  <si>
    <t>Retaining Ring, External</t>
  </si>
  <si>
    <t>Bolt tripod housing to hub</t>
  </si>
  <si>
    <t>Ratchet &lt;= 25,4 mm</t>
  </si>
  <si>
    <t>Assemble a hose clamp and a tripod housing</t>
  </si>
  <si>
    <t>Assemble a hose clamp and an axle</t>
  </si>
  <si>
    <t>Assemble a tripod housing and a hub</t>
  </si>
  <si>
    <t>Assemble a boot and a tripod housing</t>
  </si>
  <si>
    <t>Assemble an axle and a tripod housing</t>
  </si>
  <si>
    <t>Assemble, 3 kg, Loose</t>
  </si>
  <si>
    <t>Assemble an axle and a snap ring</t>
  </si>
  <si>
    <t>Assemble a tripod and an axle</t>
  </si>
  <si>
    <t>Assemble a boot and an axle</t>
  </si>
  <si>
    <t>Fasten the differential and the tripod housing</t>
  </si>
  <si>
    <t>Assemble a tripod housing and the differential</t>
  </si>
  <si>
    <t>Boots for driveshatfts</t>
  </si>
  <si>
    <t>Constant Velocity Joint, Boot</t>
  </si>
  <si>
    <t>Tripods</t>
  </si>
  <si>
    <t>Constant Velocity Joint, Tripod</t>
  </si>
  <si>
    <t>Right axle</t>
  </si>
  <si>
    <t>Left axle</t>
  </si>
  <si>
    <t>Outboard tripod housing</t>
  </si>
  <si>
    <t>Inboard tripod housing</t>
  </si>
  <si>
    <t>Driveshaft</t>
  </si>
  <si>
    <t>EN_A1000</t>
  </si>
  <si>
    <t>Broach of the tripod housing</t>
  </si>
  <si>
    <t>Changing of the broach of the tripod housing</t>
  </si>
  <si>
    <t>Machining the int shape of the tripod housing (milling)</t>
  </si>
  <si>
    <t>Changing of the machining of the tripod housing</t>
  </si>
  <si>
    <t>Machining the ext shape of the tripod housing (turning)</t>
  </si>
  <si>
    <t>Setup and removal of the machining of the tripod housing</t>
  </si>
  <si>
    <t>Round 65.5 mm diam.</t>
  </si>
  <si>
    <t>Material for the housing</t>
  </si>
  <si>
    <t>Steel, Alloy</t>
  </si>
  <si>
    <t>EN_1000_001</t>
  </si>
  <si>
    <t>Threading of the tripod housing</t>
  </si>
  <si>
    <t>Threading, External (machining)</t>
  </si>
  <si>
    <t>Setup and removal of the threading of the tripod housing</t>
  </si>
  <si>
    <t>EN_1000_002</t>
  </si>
  <si>
    <t>Broach of the axle</t>
  </si>
  <si>
    <t>Setup and removal of the broach of the axle</t>
  </si>
  <si>
    <t>Material-Steel</t>
  </si>
  <si>
    <t>Shaping of the int of the axle</t>
  </si>
  <si>
    <t>Cut of the edge of the axle</t>
  </si>
  <si>
    <t>Setup and removal of the machining of the axle</t>
  </si>
  <si>
    <t>Round 22,1 mm diam.</t>
  </si>
  <si>
    <t>Material for driveshaft</t>
  </si>
  <si>
    <t>EN_1000_003</t>
  </si>
  <si>
    <t>Left Axle</t>
  </si>
  <si>
    <t>Drawing of the cut</t>
  </si>
  <si>
    <t>EN_1000_004</t>
  </si>
  <si>
    <t>Right Axle</t>
  </si>
  <si>
    <t>Hold the rear sprocket in place on the differential</t>
  </si>
  <si>
    <t>Retaining ring, External</t>
  </si>
  <si>
    <t>Assemble the front sprocket with the engine</t>
  </si>
  <si>
    <t>Assemble the chain shield with the tab</t>
  </si>
  <si>
    <t>Assemble the rear sprocket with the adapter</t>
  </si>
  <si>
    <t>Bolt lower chain shield to tab</t>
  </si>
  <si>
    <t>Reaction Tool &lt;= 25.4 mm</t>
  </si>
  <si>
    <t>Place bolts and washers</t>
  </si>
  <si>
    <t>Bolt upper chain shield to tab</t>
  </si>
  <si>
    <t>Chain tension</t>
  </si>
  <si>
    <t>Adjustment - Misc.</t>
  </si>
  <si>
    <t>Put chain in place</t>
  </si>
  <si>
    <t>Bolt front sprocket to engine</t>
  </si>
  <si>
    <t>Put the front sprocket in place</t>
  </si>
  <si>
    <t>Bolt rear sprocket to adapter</t>
  </si>
  <si>
    <t>Put the retaining ring in the groove</t>
  </si>
  <si>
    <t>Put the centering pin in the rear sprocket adaptor holes</t>
  </si>
  <si>
    <t>Put the rear sprocket adapter on the differential</t>
  </si>
  <si>
    <t>Tabs and shield painting</t>
  </si>
  <si>
    <t>Weld tab to frame</t>
  </si>
  <si>
    <t>Chain shield and Bracket painting</t>
  </si>
  <si>
    <t>Chain</t>
  </si>
  <si>
    <t>Lower chainshield bracket</t>
  </si>
  <si>
    <t>Upper chainshield bracket</t>
  </si>
  <si>
    <t>Chain shield</t>
  </si>
  <si>
    <t>Rear sprocket adaptor</t>
  </si>
  <si>
    <t>rear sprocket</t>
  </si>
  <si>
    <t>Front sprocket</t>
  </si>
  <si>
    <t>EN_A1100</t>
  </si>
  <si>
    <t>Chain Set</t>
  </si>
  <si>
    <t>Shaping of the sprocket</t>
  </si>
  <si>
    <t>Setup and removal for laser cut of the sprocket</t>
  </si>
  <si>
    <t>Material-steel</t>
  </si>
  <si>
    <t>Gear Shaping (hobbing)</t>
  </si>
  <si>
    <t>Setup and removal of the machining of the sprocket</t>
  </si>
  <si>
    <t>Round 210mm diam.</t>
  </si>
  <si>
    <t>Material for the rear sprocket</t>
  </si>
  <si>
    <t>EN_1100_002</t>
  </si>
  <si>
    <t>Rear sprocket</t>
  </si>
  <si>
    <t>Broach of the adapter</t>
  </si>
  <si>
    <t>Broach, Internal</t>
  </si>
  <si>
    <t>Shaping of the adapter</t>
  </si>
  <si>
    <t>Setup and removal of the machining of the adapter</t>
  </si>
  <si>
    <t>Round 190mm diam.</t>
  </si>
  <si>
    <t>Material for the adapter</t>
  </si>
  <si>
    <t>EN_1100_003</t>
  </si>
  <si>
    <t>Bend to shape</t>
  </si>
  <si>
    <t>Shaping of the chain shield</t>
  </si>
  <si>
    <t>Setup and removal of the machining of the shield</t>
  </si>
  <si>
    <t>Rectangular area 101 x 930 mm</t>
  </si>
  <si>
    <t>Material for the upper chain shield</t>
  </si>
  <si>
    <t>EN_1100_004</t>
  </si>
  <si>
    <t>Rectangular area 30,6x25 mm</t>
  </si>
  <si>
    <t>EN_1100_005</t>
  </si>
  <si>
    <t>Rectangular area 32,3x23 mm</t>
  </si>
  <si>
    <t>EN_1100_006</t>
  </si>
  <si>
    <t>Broach of the sprocket</t>
  </si>
  <si>
    <t>Setup and removal of the broach of the sprocket</t>
  </si>
  <si>
    <t>Hobbing of the sprocket</t>
  </si>
  <si>
    <t>Setup and removal of the hobbing of the sprocket</t>
  </si>
  <si>
    <t>Shaping of the sprocket (turning)</t>
  </si>
  <si>
    <t>Round 81mm diam.</t>
  </si>
  <si>
    <t>Material for front sprocket</t>
  </si>
  <si>
    <t>EN_1100_001</t>
  </si>
  <si>
    <t>Muffler mount bolt</t>
  </si>
  <si>
    <t>Muffler mount nut</t>
  </si>
  <si>
    <t>Muffler collar bolt</t>
  </si>
  <si>
    <t>Muffler collar washers</t>
  </si>
  <si>
    <t>Muffler mount on the frame tube</t>
  </si>
  <si>
    <t>Steel Loop Straps, Rubber-Cushioned</t>
  </si>
  <si>
    <t>Engine washers</t>
  </si>
  <si>
    <t>Headers nuts</t>
  </si>
  <si>
    <t>Exhaust System Ceramic Coating</t>
  </si>
  <si>
    <t>Tighten muffler collar bolt</t>
  </si>
  <si>
    <t>Assemble muffler collar, washers and spacer</t>
  </si>
  <si>
    <t>Tighten muffler mount nut</t>
  </si>
  <si>
    <t>Reaction Tool &lt;= 6.35 mm</t>
  </si>
  <si>
    <t>Assemble muffler mount</t>
  </si>
  <si>
    <t>Assemble muffler to tubing</t>
  </si>
  <si>
    <t>Assemble secondary collector to primary tubing</t>
  </si>
  <si>
    <t>Secondary collector tubing welding on collector</t>
  </si>
  <si>
    <t>Weld - Round Tubing</t>
  </si>
  <si>
    <t>end</t>
  </si>
  <si>
    <t>Preperation for secondary collector welding</t>
  </si>
  <si>
    <t>Tube end preperation for welding</t>
  </si>
  <si>
    <t>Assemble primary collector to headers</t>
  </si>
  <si>
    <t>Assemble,1kg, Interference</t>
  </si>
  <si>
    <t>Primary collector tubing welding on primary collector</t>
  </si>
  <si>
    <t>Preperation for primary collector welding</t>
  </si>
  <si>
    <t>Tighten header's nut</t>
  </si>
  <si>
    <t>Assemble headers to engine</t>
  </si>
  <si>
    <t>Tips welding on headers</t>
  </si>
  <si>
    <t>Assemble flanges to primary collector</t>
  </si>
  <si>
    <t>Spring, Compression (General)</t>
  </si>
  <si>
    <t>EN A0200</t>
  </si>
  <si>
    <t>Exhaust System</t>
  </si>
  <si>
    <t>Outside machining</t>
  </si>
  <si>
    <t>4 parts made from a single machining change</t>
  </si>
  <si>
    <t>Inner machining</t>
  </si>
  <si>
    <t>4 parts made from a single machining setup</t>
  </si>
  <si>
    <t>Round 43mm diam.</t>
  </si>
  <si>
    <t>Raw material</t>
  </si>
  <si>
    <t>Steel, Mild (per kg)</t>
  </si>
  <si>
    <t>EN 02001</t>
  </si>
  <si>
    <t>Exhaust Tip</t>
  </si>
  <si>
    <t>Flange cut</t>
  </si>
  <si>
    <t>Rectangular area 80 x 50mm</t>
  </si>
  <si>
    <t>EN 02002</t>
  </si>
  <si>
    <t>Exhaust Flange</t>
  </si>
  <si>
    <t>FracIncld</t>
  </si>
  <si>
    <t>Tube bends</t>
  </si>
  <si>
    <t>Tube cut</t>
  </si>
  <si>
    <t>Round 34mm*1,2mm</t>
  </si>
  <si>
    <t>Header material</t>
  </si>
  <si>
    <t>Steel, Stainless</t>
  </si>
  <si>
    <t>4 headers in one part</t>
  </si>
  <si>
    <t>EN 02003</t>
  </si>
  <si>
    <t>Exhaust headers</t>
  </si>
  <si>
    <t>Round 42,1mm*1,5mm</t>
  </si>
  <si>
    <t>Collector material</t>
  </si>
  <si>
    <t>1 connector for each pair of headers</t>
  </si>
  <si>
    <t>EN 02004</t>
  </si>
  <si>
    <t>Primary collector</t>
  </si>
  <si>
    <t>Tubing material</t>
  </si>
  <si>
    <t>2 primary collectors in 1 part</t>
  </si>
  <si>
    <t>EN 02005</t>
  </si>
  <si>
    <t>Primary collector tubing</t>
  </si>
  <si>
    <t>Round 49,8mm*1,2mm</t>
  </si>
  <si>
    <t>EN 02006</t>
  </si>
  <si>
    <t>Secondary collector</t>
  </si>
  <si>
    <t>EN 02007</t>
  </si>
  <si>
    <t>Secondary collector tubing</t>
  </si>
  <si>
    <t>Riveting</t>
  </si>
  <si>
    <t>Sheet metal stamping</t>
  </si>
  <si>
    <t>Sheet metal punching</t>
  </si>
  <si>
    <t>Muffler Batting</t>
  </si>
  <si>
    <t>Rectangular area 0.5 x 0.15m</t>
  </si>
  <si>
    <t>Rectangular area 0.5 x 0.4m</t>
  </si>
  <si>
    <t>Material for muffler body</t>
  </si>
  <si>
    <t>Titanium (per kg)</t>
  </si>
  <si>
    <t>Cost as made</t>
  </si>
  <si>
    <t>EN 02008</t>
  </si>
  <si>
    <t>Muffler</t>
  </si>
  <si>
    <t>Lamination - Composite Tool</t>
  </si>
  <si>
    <t>Cure, Oven</t>
  </si>
  <si>
    <t>Lamination, Manual</t>
  </si>
  <si>
    <t>Collar material</t>
  </si>
  <si>
    <t>Carbon Fiber, 1 Ply</t>
  </si>
  <si>
    <t>EN 02009</t>
  </si>
  <si>
    <t>Muffler Collar</t>
  </si>
  <si>
    <t>Round 16mm diameter</t>
  </si>
  <si>
    <t>Spacer material</t>
  </si>
  <si>
    <t>Spacer between the muffler collar and the mount</t>
  </si>
  <si>
    <t>EN 02010</t>
  </si>
  <si>
    <t>Spacer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</si>
</sst>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"/>
    <numFmt numFmtId="173" formatCode="&quot;$&quot;#,##0.00"/>
    <numFmt numFmtId="174" formatCode="0.0"/>
    <numFmt numFmtId="175" formatCode="_(* #,##0.000_);_(* \(#,##0.000\);_(* &quot;-&quot;??_);_(@_)"/>
    <numFmt numFmtId="176" formatCode="\$#,##0.00,;&quot;($&quot;#,##0.00\)"/>
    <numFmt numFmtId="177" formatCode="_-* #,##0.000\ _€_-;\-* #,##0.000\ _€_-;_-* &quot;-&quot;??\ _€_-;_-@_-"/>
    <numFmt numFmtId="178" formatCode="_(* #,##0_);_(* \(#,##0\);_(* &quot;-&quot;??_);_(@_)"/>
    <numFmt numFmtId="179" formatCode="_-[$$-409]* #,##0.00_ ;_-[$$-409]* \-#,##0.00,;_-[$$-409]* \-??_ ;_-@_ "/>
    <numFmt numFmtId="180" formatCode="_(* #,##0.000_);_(* \(#,##0.000\);_(* \-??_);_(@_)"/>
    <numFmt numFmtId="181" formatCode="#,##0.000"/>
    <numFmt numFmtId="182" formatCode="0.0000"/>
    <numFmt numFmtId="183" formatCode="0.00000"/>
    <numFmt numFmtId="184" formatCode="0.0000E+00"/>
    <numFmt numFmtId="185" formatCode="_-* #,##0.000\ _€_-;\-* #,##0.000\ _€_-;_-* &quot;-&quot;???\ _€_-;_-@_-"/>
    <numFmt numFmtId="186" formatCode="0.00000E+00"/>
    <numFmt numFmtId="187" formatCode="_-* #,##0.000_-;\-* #,##0.000_-;_-* &quot;-&quot;??_-;_-@_-"/>
    <numFmt numFmtId="188" formatCode="_(&quot;$&quot;* #,##0_);_(&quot;$&quot;* \(#,##0\);_(&quot;$&quot;* &quot;-&quot;??_);_(@_)"/>
    <numFmt numFmtId="189" formatCode="_-* #,##0\ _€_-;\-* #,##0\ _€_-;_-* &quot;-&quot;??\ _€_-;_-@_-"/>
    <numFmt numFmtId="190" formatCode="_(&quot;$&quot;* #,##0.000_);_(&quot;$&quot;* \(#,##0.00\);_(&quot;$&quot;* &quot;-&quot;??_);_(@_)"/>
  </numFmts>
  <fonts count="4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  <font>
      <b/>
      <sz val="11"/>
      <name val="Calibri"/>
      <family val="2"/>
    </font>
    <font>
      <sz val="11"/>
      <color rgb="FF9C5700"/>
      <name val="Calibri"/>
      <family val="2"/>
      <scheme val="minor"/>
    </font>
    <font>
      <sz val="10"/>
      <name val="MS Sans Serif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CD5B5"/>
      </patternFill>
    </fill>
    <fill>
      <patternFill patternType="solid">
        <fgColor theme="6" tint="0.59999389629810485"/>
        <bgColor rgb="FFFAC090"/>
      </patternFill>
    </fill>
    <fill>
      <patternFill patternType="solid">
        <fgColor rgb="FFFFEB9C"/>
      </patternFill>
    </fill>
    <fill>
      <patternFill patternType="solid">
        <fgColor theme="6" tint="-0.249977111117893"/>
        <bgColor rgb="FFFCD5B5"/>
      </patternFill>
    </fill>
  </fills>
  <borders count="77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04">
    <xf numFmtId="0" fontId="0" fillId="0" borderId="0"/>
    <xf numFmtId="0" fontId="13" fillId="0" borderId="0"/>
    <xf numFmtId="169" fontId="13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12" fillId="2" borderId="6">
      <alignment vertical="center" wrapText="1"/>
    </xf>
    <xf numFmtId="170" fontId="13" fillId="0" borderId="0" applyFont="0" applyFill="0" applyBorder="0" applyAlignment="0" applyProtection="0"/>
    <xf numFmtId="0" fontId="8" fillId="0" borderId="0"/>
    <xf numFmtId="166" fontId="11" fillId="0" borderId="1">
      <alignment vertical="center" wrapText="1"/>
    </xf>
    <xf numFmtId="0" fontId="24" fillId="0" borderId="0" applyNumberFormat="0" applyFill="0" applyBorder="0" applyAlignment="0" applyProtection="0"/>
    <xf numFmtId="0" fontId="31" fillId="0" borderId="0"/>
    <xf numFmtId="0" fontId="11" fillId="0" borderId="0"/>
    <xf numFmtId="0" fontId="6" fillId="0" borderId="0"/>
    <xf numFmtId="43" fontId="1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73" fontId="11" fillId="0" borderId="1">
      <alignment vertical="center" wrapText="1"/>
    </xf>
    <xf numFmtId="44" fontId="1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34" fillId="11" borderId="0" applyNumberFormat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" fillId="0" borderId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0" fontId="6" fillId="0" borderId="0"/>
    <xf numFmtId="165" fontId="21" fillId="0" borderId="0" applyFill="0" applyBorder="0" applyAlignment="0" applyProtection="0"/>
    <xf numFmtId="169" fontId="13" fillId="0" borderId="0" applyFont="0" applyFill="0" applyBorder="0" applyAlignment="0" applyProtection="0"/>
    <xf numFmtId="0" fontId="13" fillId="0" borderId="0"/>
    <xf numFmtId="0" fontId="21" fillId="0" borderId="0"/>
    <xf numFmtId="164" fontId="21" fillId="0" borderId="0" applyFill="0" applyBorder="0" applyAlignment="0" applyProtection="0"/>
    <xf numFmtId="0" fontId="36" fillId="2" borderId="0" applyNumberFormat="0" applyBorder="0" applyAlignment="0" applyProtection="0"/>
    <xf numFmtId="0" fontId="21" fillId="0" borderId="0"/>
    <xf numFmtId="176" fontId="21" fillId="0" borderId="30">
      <alignment vertical="center" wrapText="1"/>
    </xf>
    <xf numFmtId="174" fontId="11" fillId="0" borderId="1">
      <alignment vertical="center" wrapText="1"/>
    </xf>
    <xf numFmtId="43" fontId="21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5" fillId="0" borderId="0"/>
    <xf numFmtId="44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5" fillId="0" borderId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5" fillId="0" borderId="0"/>
    <xf numFmtId="176" fontId="21" fillId="0" borderId="31">
      <alignment vertical="center" wrapText="1"/>
    </xf>
    <xf numFmtId="43" fontId="21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6" fontId="21" fillId="0" borderId="32">
      <alignment vertical="center" wrapText="1"/>
    </xf>
    <xf numFmtId="0" fontId="4" fillId="0" borderId="0"/>
    <xf numFmtId="44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4" fillId="0" borderId="0"/>
    <xf numFmtId="176" fontId="21" fillId="0" borderId="34">
      <alignment vertical="center" wrapText="1"/>
    </xf>
    <xf numFmtId="43" fontId="2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44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/>
    <xf numFmtId="176" fontId="21" fillId="0" borderId="35">
      <alignment vertical="center" wrapText="1"/>
    </xf>
    <xf numFmtId="43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170" fontId="2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2" fillId="2" borderId="0" applyNumberFormat="0" applyBorder="0" applyAlignment="0" applyProtection="0"/>
    <xf numFmtId="0" fontId="38" fillId="11" borderId="0" applyNumberFormat="0" applyBorder="0" applyAlignment="0" applyProtection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633">
    <xf numFmtId="0" fontId="0" fillId="0" borderId="0" xfId="0"/>
    <xf numFmtId="170" fontId="14" fillId="0" borderId="0" xfId="5" applyFont="1"/>
    <xf numFmtId="0" fontId="14" fillId="0" borderId="0" xfId="1" applyFont="1" applyProtection="1">
      <protection locked="0"/>
    </xf>
    <xf numFmtId="170" fontId="13" fillId="0" borderId="0" xfId="5" applyFont="1"/>
    <xf numFmtId="0" fontId="14" fillId="0" borderId="0" xfId="1" applyFont="1"/>
    <xf numFmtId="0" fontId="16" fillId="0" borderId="0" xfId="1" applyFont="1"/>
    <xf numFmtId="0" fontId="13" fillId="0" borderId="0" xfId="1" applyFont="1" applyProtection="1">
      <protection locked="0"/>
    </xf>
    <xf numFmtId="0" fontId="13" fillId="0" borderId="0" xfId="1" applyFont="1" applyFill="1"/>
    <xf numFmtId="0" fontId="13" fillId="0" borderId="0" xfId="1" applyFont="1"/>
    <xf numFmtId="0" fontId="8" fillId="0" borderId="0" xfId="6" applyBorder="1"/>
    <xf numFmtId="0" fontId="8" fillId="0" borderId="0" xfId="6"/>
    <xf numFmtId="0" fontId="10" fillId="0" borderId="0" xfId="0" applyFont="1" applyBorder="1"/>
    <xf numFmtId="0" fontId="0" fillId="0" borderId="0" xfId="0" applyFont="1"/>
    <xf numFmtId="0" fontId="10" fillId="0" borderId="0" xfId="0" applyFont="1" applyBorder="1" applyAlignment="1">
      <alignment horizontal="left"/>
    </xf>
    <xf numFmtId="0" fontId="0" fillId="0" borderId="0" xfId="0" applyAlignment="1"/>
    <xf numFmtId="0" fontId="9" fillId="0" borderId="0" xfId="0" applyFont="1" applyBorder="1"/>
    <xf numFmtId="0" fontId="0" fillId="0" borderId="0" xfId="0" applyAlignment="1">
      <alignment wrapText="1"/>
    </xf>
    <xf numFmtId="49" fontId="10" fillId="0" borderId="0" xfId="0" applyNumberFormat="1" applyFont="1" applyBorder="1" applyAlignment="1">
      <alignment horizontal="left"/>
    </xf>
    <xf numFmtId="0" fontId="9" fillId="0" borderId="4" xfId="0" applyFont="1" applyBorder="1"/>
    <xf numFmtId="0" fontId="18" fillId="0" borderId="0" xfId="1" applyFont="1" applyAlignment="1">
      <alignment horizontal="center"/>
    </xf>
    <xf numFmtId="0" fontId="19" fillId="0" borderId="0" xfId="1" applyFont="1"/>
    <xf numFmtId="0" fontId="22" fillId="0" borderId="0" xfId="6" applyFont="1" applyFill="1" applyBorder="1"/>
    <xf numFmtId="0" fontId="8" fillId="0" borderId="0" xfId="6" applyFill="1"/>
    <xf numFmtId="0" fontId="8" fillId="0" borderId="0" xfId="6" applyFill="1" applyBorder="1"/>
    <xf numFmtId="0" fontId="8" fillId="0" borderId="0" xfId="6" applyFont="1"/>
    <xf numFmtId="0" fontId="8" fillId="0" borderId="0" xfId="6" applyFont="1" applyFill="1" applyBorder="1"/>
    <xf numFmtId="0" fontId="8" fillId="0" borderId="0" xfId="6" applyFont="1" applyFill="1"/>
    <xf numFmtId="0" fontId="15" fillId="0" borderId="0" xfId="1" applyFont="1"/>
    <xf numFmtId="0" fontId="20" fillId="0" borderId="0" xfId="1" applyFont="1"/>
    <xf numFmtId="0" fontId="22" fillId="3" borderId="0" xfId="6" applyFont="1" applyFill="1" applyBorder="1" applyAlignment="1"/>
    <xf numFmtId="170" fontId="13" fillId="0" borderId="0" xfId="1" applyNumberFormat="1" applyFont="1"/>
    <xf numFmtId="0" fontId="18" fillId="0" borderId="7" xfId="1" applyFont="1" applyBorder="1" applyAlignment="1">
      <alignment horizontal="center" wrapText="1"/>
    </xf>
    <xf numFmtId="2" fontId="18" fillId="0" borderId="7" xfId="1" applyNumberFormat="1" applyFont="1" applyBorder="1" applyAlignment="1">
      <alignment horizontal="center" wrapText="1"/>
    </xf>
    <xf numFmtId="170" fontId="18" fillId="0" borderId="7" xfId="5" applyFont="1" applyBorder="1" applyAlignment="1">
      <alignment horizontal="center" wrapText="1"/>
    </xf>
    <xf numFmtId="0" fontId="23" fillId="4" borderId="8" xfId="6" applyFont="1" applyFill="1" applyBorder="1"/>
    <xf numFmtId="0" fontId="23" fillId="4" borderId="10" xfId="6" applyFont="1" applyFill="1" applyBorder="1"/>
    <xf numFmtId="0" fontId="23" fillId="4" borderId="9" xfId="6" applyFont="1" applyFill="1" applyBorder="1"/>
    <xf numFmtId="0" fontId="23" fillId="4" borderId="11" xfId="6" applyFont="1" applyFill="1" applyBorder="1"/>
    <xf numFmtId="0" fontId="8" fillId="5" borderId="13" xfId="6" quotePrefix="1" applyFill="1" applyBorder="1" applyAlignment="1">
      <alignment horizontal="left"/>
    </xf>
    <xf numFmtId="2" fontId="8" fillId="6" borderId="14" xfId="6" quotePrefix="1" applyNumberFormat="1" applyFill="1" applyBorder="1" applyAlignment="1">
      <alignment horizontal="right"/>
    </xf>
    <xf numFmtId="0" fontId="23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0" fillId="0" borderId="19" xfId="7" applyNumberFormat="1" applyFont="1" applyBorder="1" applyAlignment="1"/>
    <xf numFmtId="0" fontId="0" fillId="0" borderId="19" xfId="0" applyFont="1" applyBorder="1"/>
    <xf numFmtId="0" fontId="0" fillId="0" borderId="19" xfId="0" applyBorder="1" applyAlignment="1"/>
    <xf numFmtId="0" fontId="9" fillId="0" borderId="20" xfId="0" applyFont="1" applyBorder="1"/>
    <xf numFmtId="0" fontId="0" fillId="0" borderId="19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0" fillId="0" borderId="15" xfId="0" applyFont="1" applyBorder="1"/>
    <xf numFmtId="165" fontId="10" fillId="0" borderId="15" xfId="7" applyNumberFormat="1" applyFont="1" applyBorder="1" applyAlignment="1" applyProtection="1"/>
    <xf numFmtId="164" fontId="10" fillId="0" borderId="15" xfId="7" applyNumberFormat="1" applyFont="1" applyBorder="1" applyAlignment="1" applyProtection="1"/>
    <xf numFmtId="11" fontId="10" fillId="0" borderId="15" xfId="0" applyNumberFormat="1" applyFont="1" applyBorder="1"/>
    <xf numFmtId="167" fontId="10" fillId="0" borderId="15" xfId="7" applyNumberFormat="1" applyFont="1" applyBorder="1" applyAlignment="1" applyProtection="1"/>
    <xf numFmtId="168" fontId="10" fillId="0" borderId="15" xfId="7" applyNumberFormat="1" applyFont="1" applyBorder="1" applyAlignment="1" applyProtection="1"/>
    <xf numFmtId="0" fontId="0" fillId="0" borderId="15" xfId="0" applyBorder="1"/>
    <xf numFmtId="37" fontId="10" fillId="0" borderId="15" xfId="7" applyNumberFormat="1" applyFont="1" applyBorder="1" applyAlignment="1" applyProtection="1"/>
    <xf numFmtId="0" fontId="10" fillId="0" borderId="15" xfId="0" applyFont="1" applyBorder="1" applyAlignment="1">
      <alignment horizontal="right"/>
    </xf>
    <xf numFmtId="0" fontId="9" fillId="0" borderId="25" xfId="0" applyFont="1" applyBorder="1"/>
    <xf numFmtId="0" fontId="24" fillId="0" borderId="15" xfId="8" applyNumberFormat="1" applyBorder="1" applyAlignment="1" applyProtection="1"/>
    <xf numFmtId="0" fontId="25" fillId="0" borderId="0" xfId="0" applyFont="1"/>
    <xf numFmtId="0" fontId="24" fillId="0" borderId="0" xfId="8" applyBorder="1"/>
    <xf numFmtId="0" fontId="24" fillId="0" borderId="0" xfId="8"/>
    <xf numFmtId="0" fontId="27" fillId="0" borderId="0" xfId="0" applyFont="1"/>
    <xf numFmtId="0" fontId="28" fillId="0" borderId="0" xfId="0" applyFont="1"/>
    <xf numFmtId="0" fontId="8" fillId="5" borderId="13" xfId="6" quotePrefix="1" applyFont="1" applyFill="1" applyBorder="1" applyAlignment="1">
      <alignment horizontal="left"/>
    </xf>
    <xf numFmtId="0" fontId="7" fillId="5" borderId="13" xfId="6" applyFont="1" applyFill="1" applyBorder="1"/>
    <xf numFmtId="0" fontId="7" fillId="5" borderId="12" xfId="6" applyFont="1" applyFill="1" applyBorder="1"/>
    <xf numFmtId="171" fontId="10" fillId="0" borderId="15" xfId="7" applyNumberFormat="1" applyFont="1" applyBorder="1" applyAlignment="1" applyProtection="1"/>
    <xf numFmtId="0" fontId="17" fillId="7" borderId="3" xfId="1" applyFont="1" applyFill="1" applyBorder="1" applyProtection="1">
      <protection locked="0"/>
    </xf>
    <xf numFmtId="0" fontId="17" fillId="7" borderId="3" xfId="1" applyFont="1" applyFill="1" applyBorder="1" applyAlignment="1">
      <alignment horizontal="left"/>
    </xf>
    <xf numFmtId="18" fontId="17" fillId="7" borderId="3" xfId="1" applyNumberFormat="1" applyFont="1" applyFill="1" applyBorder="1" applyAlignment="1" applyProtection="1">
      <protection locked="0"/>
    </xf>
    <xf numFmtId="0" fontId="24" fillId="7" borderId="3" xfId="8" applyFill="1" applyBorder="1" applyAlignment="1">
      <alignment horizontal="left"/>
    </xf>
    <xf numFmtId="171" fontId="17" fillId="7" borderId="3" xfId="5" applyNumberFormat="1" applyFont="1" applyFill="1" applyBorder="1" applyProtection="1">
      <protection locked="0"/>
    </xf>
    <xf numFmtId="37" fontId="17" fillId="7" borderId="3" xfId="1" applyNumberFormat="1" applyFont="1" applyFill="1" applyBorder="1" applyAlignment="1" applyProtection="1">
      <alignment horizontal="center"/>
      <protection locked="0"/>
    </xf>
    <xf numFmtId="171" fontId="17" fillId="7" borderId="3" xfId="1" applyNumberFormat="1" applyFont="1" applyFill="1" applyBorder="1" applyAlignment="1" applyProtection="1">
      <alignment horizontal="center"/>
      <protection locked="0"/>
    </xf>
    <xf numFmtId="171" fontId="17" fillId="7" borderId="3" xfId="1" applyNumberFormat="1" applyFont="1" applyFill="1" applyBorder="1" applyAlignment="1">
      <alignment horizontal="right"/>
    </xf>
    <xf numFmtId="0" fontId="17" fillId="7" borderId="3" xfId="1" applyFont="1" applyFill="1" applyBorder="1" applyAlignment="1">
      <alignment horizontal="center"/>
    </xf>
    <xf numFmtId="0" fontId="17" fillId="8" borderId="3" xfId="1" applyFont="1" applyFill="1" applyBorder="1" applyProtection="1">
      <protection locked="0"/>
    </xf>
    <xf numFmtId="0" fontId="17" fillId="8" borderId="3" xfId="1" applyFont="1" applyFill="1" applyBorder="1" applyAlignment="1">
      <alignment horizontal="left"/>
    </xf>
    <xf numFmtId="18" fontId="17" fillId="8" borderId="3" xfId="1" applyNumberFormat="1" applyFont="1" applyFill="1" applyBorder="1" applyAlignment="1" applyProtection="1">
      <alignment horizontal="right"/>
      <protection locked="0"/>
    </xf>
    <xf numFmtId="18" fontId="17" fillId="8" borderId="3" xfId="1" applyNumberFormat="1" applyFont="1" applyFill="1" applyBorder="1" applyAlignment="1" applyProtection="1">
      <protection locked="0"/>
    </xf>
    <xf numFmtId="0" fontId="24" fillId="8" borderId="3" xfId="8" applyFill="1" applyBorder="1" applyAlignment="1">
      <alignment horizontal="left"/>
    </xf>
    <xf numFmtId="171" fontId="17" fillId="8" borderId="3" xfId="5" applyNumberFormat="1" applyFont="1" applyFill="1" applyBorder="1" applyProtection="1">
      <protection locked="0"/>
    </xf>
    <xf numFmtId="37" fontId="17" fillId="8" borderId="3" xfId="1" applyNumberFormat="1" applyFont="1" applyFill="1" applyBorder="1" applyAlignment="1" applyProtection="1">
      <alignment horizontal="center"/>
      <protection locked="0"/>
    </xf>
    <xf numFmtId="171" fontId="17" fillId="8" borderId="3" xfId="1" applyNumberFormat="1" applyFont="1" applyFill="1" applyBorder="1" applyAlignment="1" applyProtection="1">
      <alignment horizontal="center"/>
      <protection locked="0"/>
    </xf>
    <xf numFmtId="171" fontId="17" fillId="8" borderId="3" xfId="1" applyNumberFormat="1" applyFont="1" applyFill="1" applyBorder="1" applyAlignment="1">
      <alignment horizontal="right"/>
    </xf>
    <xf numFmtId="0" fontId="17" fillId="8" borderId="3" xfId="1" applyFont="1" applyFill="1" applyBorder="1" applyAlignment="1">
      <alignment horizontal="center"/>
    </xf>
    <xf numFmtId="11" fontId="17" fillId="8" borderId="3" xfId="1" applyNumberFormat="1" applyFont="1" applyFill="1" applyBorder="1" applyAlignment="1" applyProtection="1">
      <protection locked="0"/>
    </xf>
    <xf numFmtId="0" fontId="9" fillId="9" borderId="15" xfId="0" applyFont="1" applyFill="1" applyBorder="1"/>
    <xf numFmtId="0" fontId="9" fillId="9" borderId="15" xfId="0" applyFont="1" applyFill="1" applyBorder="1" applyAlignment="1">
      <alignment horizontal="right"/>
    </xf>
    <xf numFmtId="165" fontId="9" fillId="9" borderId="15" xfId="0" applyNumberFormat="1" applyFont="1" applyFill="1" applyBorder="1"/>
    <xf numFmtId="0" fontId="9" fillId="9" borderId="0" xfId="0" applyFont="1" applyFill="1" applyBorder="1"/>
    <xf numFmtId="0" fontId="9" fillId="9" borderId="24" xfId="0" applyFont="1" applyFill="1" applyBorder="1" applyAlignment="1">
      <alignment horizontal="right"/>
    </xf>
    <xf numFmtId="165" fontId="9" fillId="9" borderId="24" xfId="0" applyNumberFormat="1" applyFont="1" applyFill="1" applyBorder="1"/>
    <xf numFmtId="0" fontId="9" fillId="10" borderId="15" xfId="0" applyFont="1" applyFill="1" applyBorder="1"/>
    <xf numFmtId="0" fontId="9" fillId="10" borderId="15" xfId="0" applyFont="1" applyFill="1" applyBorder="1" applyAlignment="1">
      <alignment horizontal="left"/>
    </xf>
    <xf numFmtId="0" fontId="9" fillId="10" borderId="2" xfId="0" applyFont="1" applyFill="1" applyBorder="1"/>
    <xf numFmtId="165" fontId="9" fillId="10" borderId="5" xfId="0" applyNumberFormat="1" applyFont="1" applyFill="1" applyBorder="1"/>
    <xf numFmtId="0" fontId="9" fillId="10" borderId="26" xfId="0" applyFont="1" applyFill="1" applyBorder="1"/>
    <xf numFmtId="0" fontId="9" fillId="10" borderId="5" xfId="0" applyFont="1" applyFill="1" applyBorder="1"/>
    <xf numFmtId="0" fontId="9" fillId="10" borderId="5" xfId="0" applyFont="1" applyFill="1" applyBorder="1" applyAlignment="1">
      <alignment horizontal="right"/>
    </xf>
    <xf numFmtId="0" fontId="24" fillId="0" borderId="15" xfId="8" applyBorder="1"/>
    <xf numFmtId="11" fontId="0" fillId="0" borderId="0" xfId="0" applyNumberFormat="1"/>
    <xf numFmtId="0" fontId="10" fillId="0" borderId="27" xfId="0" applyFont="1" applyBorder="1"/>
    <xf numFmtId="0" fontId="10" fillId="0" borderId="15" xfId="7" applyNumberFormat="1" applyFont="1" applyBorder="1" applyAlignment="1" applyProtection="1">
      <alignment vertical="center" wrapText="1"/>
    </xf>
    <xf numFmtId="179" fontId="10" fillId="0" borderId="15" xfId="0" applyNumberFormat="1" applyFont="1" applyBorder="1"/>
    <xf numFmtId="2" fontId="10" fillId="0" borderId="15" xfId="7" applyNumberFormat="1" applyFont="1" applyBorder="1" applyAlignment="1" applyProtection="1"/>
    <xf numFmtId="11" fontId="10" fillId="0" borderId="15" xfId="7" applyNumberFormat="1" applyFont="1" applyBorder="1" applyAlignment="1" applyProtection="1"/>
    <xf numFmtId="37" fontId="10" fillId="0" borderId="15" xfId="0" applyNumberFormat="1" applyFont="1" applyBorder="1"/>
    <xf numFmtId="165" fontId="9" fillId="0" borderId="0" xfId="0" applyNumberFormat="1" applyFont="1" applyFill="1" applyBorder="1" applyAlignment="1"/>
    <xf numFmtId="0" fontId="9" fillId="0" borderId="0" xfId="0" applyFont="1" applyFill="1" applyBorder="1" applyAlignment="1"/>
    <xf numFmtId="0" fontId="9" fillId="10" borderId="36" xfId="0" applyFont="1" applyFill="1" applyBorder="1"/>
    <xf numFmtId="0" fontId="9" fillId="10" borderId="37" xfId="0" applyFont="1" applyFill="1" applyBorder="1"/>
    <xf numFmtId="0" fontId="9" fillId="10" borderId="36" xfId="0" applyFont="1" applyFill="1" applyBorder="1" applyAlignment="1">
      <alignment horizontal="right"/>
    </xf>
    <xf numFmtId="165" fontId="10" fillId="0" borderId="36" xfId="7" applyNumberFormat="1" applyFont="1" applyBorder="1" applyAlignment="1" applyProtection="1"/>
    <xf numFmtId="2" fontId="10" fillId="0" borderId="36" xfId="7" applyNumberFormat="1" applyFont="1" applyBorder="1" applyAlignment="1" applyProtection="1"/>
    <xf numFmtId="3" fontId="0" fillId="0" borderId="36" xfId="0" applyNumberFormat="1" applyBorder="1" applyAlignment="1"/>
    <xf numFmtId="180" fontId="10" fillId="0" borderId="36" xfId="7" applyNumberFormat="1" applyFont="1" applyBorder="1" applyAlignment="1" applyProtection="1"/>
    <xf numFmtId="172" fontId="10" fillId="0" borderId="36" xfId="7" applyNumberFormat="1" applyFont="1" applyBorder="1" applyAlignment="1" applyProtection="1"/>
    <xf numFmtId="11" fontId="10" fillId="0" borderId="36" xfId="0" applyNumberFormat="1" applyFont="1" applyBorder="1" applyAlignment="1"/>
    <xf numFmtId="164" fontId="10" fillId="0" borderId="36" xfId="7" applyNumberFormat="1" applyFont="1" applyBorder="1" applyAlignment="1" applyProtection="1"/>
    <xf numFmtId="0" fontId="10" fillId="0" borderId="36" xfId="0" applyFont="1" applyBorder="1" applyAlignment="1"/>
    <xf numFmtId="0" fontId="10" fillId="0" borderId="36" xfId="0" applyFont="1" applyBorder="1" applyAlignment="1" applyProtection="1"/>
    <xf numFmtId="0" fontId="10" fillId="0" borderId="37" xfId="0" applyFont="1" applyBorder="1" applyAlignment="1"/>
    <xf numFmtId="0" fontId="24" fillId="0" borderId="16" xfId="8" applyBorder="1"/>
    <xf numFmtId="165" fontId="9" fillId="0" borderId="0" xfId="0" applyNumberFormat="1" applyFont="1" applyFill="1" applyBorder="1"/>
    <xf numFmtId="0" fontId="9" fillId="0" borderId="0" xfId="0" applyFont="1" applyFill="1" applyBorder="1" applyAlignment="1">
      <alignment horizontal="right"/>
    </xf>
    <xf numFmtId="181" fontId="0" fillId="0" borderId="36" xfId="0" applyNumberFormat="1" applyBorder="1" applyAlignment="1"/>
    <xf numFmtId="0" fontId="17" fillId="8" borderId="36" xfId="1" applyFont="1" applyFill="1" applyBorder="1" applyAlignment="1">
      <alignment horizontal="center"/>
    </xf>
    <xf numFmtId="171" fontId="17" fillId="8" borderId="36" xfId="1" applyNumberFormat="1" applyFont="1" applyFill="1" applyBorder="1" applyAlignment="1">
      <alignment horizontal="right"/>
    </xf>
    <xf numFmtId="171" fontId="17" fillId="8" borderId="36" xfId="1" applyNumberFormat="1" applyFont="1" applyFill="1" applyBorder="1" applyAlignment="1" applyProtection="1">
      <alignment horizontal="center"/>
      <protection locked="0"/>
    </xf>
    <xf numFmtId="37" fontId="17" fillId="8" borderId="36" xfId="1" applyNumberFormat="1" applyFont="1" applyFill="1" applyBorder="1" applyAlignment="1" applyProtection="1">
      <alignment horizontal="center"/>
      <protection locked="0"/>
    </xf>
    <xf numFmtId="171" fontId="17" fillId="8" borderId="36" xfId="5" applyNumberFormat="1" applyFont="1" applyFill="1" applyBorder="1" applyProtection="1">
      <protection locked="0"/>
    </xf>
    <xf numFmtId="18" fontId="17" fillId="8" borderId="36" xfId="1" applyNumberFormat="1" applyFont="1" applyFill="1" applyBorder="1" applyAlignment="1" applyProtection="1">
      <protection locked="0"/>
    </xf>
    <xf numFmtId="0" fontId="24" fillId="8" borderId="36" xfId="8" applyFill="1" applyBorder="1" applyAlignment="1">
      <alignment horizontal="left"/>
    </xf>
    <xf numFmtId="18" fontId="17" fillId="8" borderId="36" xfId="1" applyNumberFormat="1" applyFont="1" applyFill="1" applyBorder="1" applyAlignment="1" applyProtection="1">
      <alignment horizontal="right"/>
      <protection locked="0"/>
    </xf>
    <xf numFmtId="0" fontId="17" fillId="8" borderId="36" xfId="1" applyFont="1" applyFill="1" applyBorder="1" applyAlignment="1">
      <alignment horizontal="left"/>
    </xf>
    <xf numFmtId="0" fontId="17" fillId="8" borderId="36" xfId="1" applyFont="1" applyFill="1" applyBorder="1" applyProtection="1">
      <protection locked="0"/>
    </xf>
    <xf numFmtId="11" fontId="17" fillId="8" borderId="36" xfId="1" applyNumberFormat="1" applyFont="1" applyFill="1" applyBorder="1" applyAlignment="1" applyProtection="1">
      <protection locked="0"/>
    </xf>
    <xf numFmtId="0" fontId="17" fillId="7" borderId="36" xfId="1" applyFont="1" applyFill="1" applyBorder="1" applyAlignment="1">
      <alignment horizontal="center"/>
    </xf>
    <xf numFmtId="171" fontId="17" fillId="7" borderId="36" xfId="1" applyNumberFormat="1" applyFont="1" applyFill="1" applyBorder="1" applyAlignment="1">
      <alignment horizontal="right"/>
    </xf>
    <xf numFmtId="171" fontId="17" fillId="7" borderId="36" xfId="1" applyNumberFormat="1" applyFont="1" applyFill="1" applyBorder="1" applyAlignment="1" applyProtection="1">
      <alignment horizontal="center"/>
      <protection locked="0"/>
    </xf>
    <xf numFmtId="37" fontId="17" fillId="7" borderId="36" xfId="1" applyNumberFormat="1" applyFont="1" applyFill="1" applyBorder="1" applyAlignment="1" applyProtection="1">
      <alignment horizontal="center"/>
      <protection locked="0"/>
    </xf>
    <xf numFmtId="171" fontId="17" fillId="7" borderId="36" xfId="5" applyNumberFormat="1" applyFont="1" applyFill="1" applyBorder="1" applyProtection="1">
      <protection locked="0"/>
    </xf>
    <xf numFmtId="18" fontId="17" fillId="7" borderId="36" xfId="1" applyNumberFormat="1" applyFont="1" applyFill="1" applyBorder="1" applyAlignment="1" applyProtection="1">
      <protection locked="0"/>
    </xf>
    <xf numFmtId="0" fontId="24" fillId="7" borderId="36" xfId="8" applyFill="1" applyBorder="1" applyAlignment="1">
      <alignment horizontal="left"/>
    </xf>
    <xf numFmtId="0" fontId="17" fillId="7" borderId="36" xfId="1" applyFont="1" applyFill="1" applyBorder="1" applyAlignment="1">
      <alignment horizontal="left"/>
    </xf>
    <xf numFmtId="0" fontId="17" fillId="7" borderId="36" xfId="1" applyFont="1" applyFill="1" applyBorder="1" applyProtection="1">
      <protection locked="0"/>
    </xf>
    <xf numFmtId="0" fontId="0" fillId="0" borderId="15" xfId="0" applyBorder="1" applyAlignment="1"/>
    <xf numFmtId="180" fontId="10" fillId="0" borderId="15" xfId="7" applyNumberFormat="1" applyFont="1" applyBorder="1" applyAlignment="1" applyProtection="1"/>
    <xf numFmtId="182" fontId="10" fillId="0" borderId="15" xfId="7" applyNumberFormat="1" applyFont="1" applyBorder="1" applyAlignment="1" applyProtection="1"/>
    <xf numFmtId="11" fontId="10" fillId="0" borderId="15" xfId="0" applyNumberFormat="1" applyFont="1" applyBorder="1" applyAlignment="1"/>
    <xf numFmtId="0" fontId="10" fillId="0" borderId="15" xfId="0" applyFont="1" applyBorder="1" applyAlignment="1"/>
    <xf numFmtId="0" fontId="10" fillId="0" borderId="15" xfId="0" applyFont="1" applyBorder="1" applyAlignment="1">
      <alignment horizontal="left" wrapText="1"/>
    </xf>
    <xf numFmtId="182" fontId="10" fillId="0" borderId="36" xfId="7" applyNumberFormat="1" applyFont="1" applyBorder="1" applyAlignment="1" applyProtection="1"/>
    <xf numFmtId="183" fontId="10" fillId="0" borderId="36" xfId="7" applyNumberFormat="1" applyFont="1" applyBorder="1" applyAlignment="1" applyProtection="1"/>
    <xf numFmtId="11" fontId="10" fillId="0" borderId="36" xfId="7" applyNumberFormat="1" applyFont="1" applyBorder="1" applyAlignment="1" applyProtection="1"/>
    <xf numFmtId="0" fontId="10" fillId="0" borderId="36" xfId="0" applyNumberFormat="1" applyFont="1" applyBorder="1" applyAlignment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165" fontId="9" fillId="12" borderId="24" xfId="0" applyNumberFormat="1" applyFont="1" applyFill="1" applyBorder="1"/>
    <xf numFmtId="0" fontId="9" fillId="12" borderId="24" xfId="0" applyFont="1" applyFill="1" applyBorder="1" applyAlignment="1">
      <alignment horizontal="right"/>
    </xf>
    <xf numFmtId="0" fontId="9" fillId="0" borderId="42" xfId="0" applyFont="1" applyBorder="1"/>
    <xf numFmtId="0" fontId="10" fillId="0" borderId="43" xfId="0" applyFont="1" applyBorder="1"/>
    <xf numFmtId="0" fontId="9" fillId="12" borderId="15" xfId="0" applyFont="1" applyFill="1" applyBorder="1"/>
    <xf numFmtId="0" fontId="9" fillId="12" borderId="43" xfId="0" applyFont="1" applyFill="1" applyBorder="1"/>
    <xf numFmtId="0" fontId="0" fillId="0" borderId="42" xfId="0" applyBorder="1"/>
    <xf numFmtId="165" fontId="9" fillId="12" borderId="15" xfId="0" applyNumberFormat="1" applyFont="1" applyFill="1" applyBorder="1"/>
    <xf numFmtId="0" fontId="9" fillId="12" borderId="15" xfId="0" applyFont="1" applyFill="1" applyBorder="1" applyAlignment="1">
      <alignment horizontal="right"/>
    </xf>
    <xf numFmtId="0" fontId="30" fillId="0" borderId="0" xfId="0" applyFont="1" applyFill="1" applyBorder="1"/>
    <xf numFmtId="0" fontId="37" fillId="0" borderId="0" xfId="0" applyFont="1" applyFill="1" applyBorder="1"/>
    <xf numFmtId="169" fontId="30" fillId="0" borderId="44" xfId="3" applyFont="1" applyFill="1" applyBorder="1"/>
    <xf numFmtId="37" fontId="30" fillId="0" borderId="44" xfId="3" applyNumberFormat="1" applyFont="1" applyFill="1" applyBorder="1"/>
    <xf numFmtId="0" fontId="30" fillId="0" borderId="44" xfId="0" applyNumberFormat="1" applyFont="1" applyFill="1" applyBorder="1"/>
    <xf numFmtId="0" fontId="30" fillId="0" borderId="44" xfId="0" applyFont="1" applyFill="1" applyBorder="1"/>
    <xf numFmtId="39" fontId="30" fillId="0" borderId="44" xfId="3" applyNumberFormat="1" applyFont="1" applyFill="1" applyBorder="1"/>
    <xf numFmtId="171" fontId="30" fillId="0" borderId="44" xfId="0" applyNumberFormat="1" applyFont="1" applyFill="1" applyBorder="1"/>
    <xf numFmtId="0" fontId="30" fillId="0" borderId="45" xfId="0" applyFont="1" applyFill="1" applyBorder="1"/>
    <xf numFmtId="0" fontId="0" fillId="0" borderId="41" xfId="0" applyFont="1" applyBorder="1"/>
    <xf numFmtId="0" fontId="21" fillId="0" borderId="44" xfId="9" applyFont="1" applyFill="1" applyBorder="1" applyAlignment="1">
      <alignment wrapText="1"/>
    </xf>
    <xf numFmtId="0" fontId="0" fillId="0" borderId="41" xfId="0" applyBorder="1" applyAlignment="1">
      <alignment wrapText="1"/>
    </xf>
    <xf numFmtId="169" fontId="30" fillId="0" borderId="44" xfId="3" applyNumberFormat="1" applyFont="1" applyFill="1" applyBorder="1"/>
    <xf numFmtId="0" fontId="30" fillId="0" borderId="44" xfId="90" applyNumberFormat="1" applyFont="1" applyFill="1" applyBorder="1"/>
    <xf numFmtId="11" fontId="30" fillId="0" borderId="44" xfId="90" applyNumberFormat="1" applyFont="1" applyFill="1" applyBorder="1"/>
    <xf numFmtId="170" fontId="30" fillId="0" borderId="44" xfId="90" applyFont="1" applyFill="1" applyBorder="1"/>
    <xf numFmtId="178" fontId="30" fillId="0" borderId="44" xfId="90" applyNumberFormat="1" applyFont="1" applyFill="1" applyBorder="1"/>
    <xf numFmtId="2" fontId="30" fillId="0" borderId="44" xfId="3" applyNumberFormat="1" applyFont="1" applyFill="1" applyBorder="1"/>
    <xf numFmtId="0" fontId="30" fillId="0" borderId="44" xfId="0" applyFont="1" applyFill="1" applyBorder="1" applyAlignment="1" applyProtection="1">
      <alignment vertical="center" wrapText="1"/>
    </xf>
    <xf numFmtId="0" fontId="0" fillId="0" borderId="41" xfId="0" applyBorder="1" applyAlignment="1"/>
    <xf numFmtId="11" fontId="30" fillId="0" borderId="44" xfId="0" applyNumberFormat="1" applyFont="1" applyFill="1" applyBorder="1"/>
    <xf numFmtId="0" fontId="10" fillId="0" borderId="41" xfId="7" applyNumberFormat="1" applyFont="1" applyBorder="1" applyAlignment="1"/>
    <xf numFmtId="171" fontId="30" fillId="0" borderId="44" xfId="3" applyNumberFormat="1" applyFont="1" applyFill="1" applyBorder="1"/>
    <xf numFmtId="37" fontId="30" fillId="0" borderId="44" xfId="0" applyNumberFormat="1" applyFont="1" applyFill="1" applyBorder="1"/>
    <xf numFmtId="0" fontId="24" fillId="0" borderId="44" xfId="8" applyBorder="1"/>
    <xf numFmtId="0" fontId="9" fillId="12" borderId="33" xfId="0" applyFont="1" applyFill="1" applyBorder="1"/>
    <xf numFmtId="0" fontId="9" fillId="12" borderId="0" xfId="0" applyFont="1" applyFill="1" applyBorder="1"/>
    <xf numFmtId="0" fontId="30" fillId="0" borderId="0" xfId="0" applyFont="1" applyFill="1" applyBorder="1" applyAlignment="1">
      <alignment horizontal="left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171" fontId="33" fillId="0" borderId="44" xfId="0" applyNumberFormat="1" applyFont="1" applyBorder="1"/>
    <xf numFmtId="37" fontId="33" fillId="0" borderId="44" xfId="0" applyNumberFormat="1" applyFont="1" applyBorder="1"/>
    <xf numFmtId="0" fontId="33" fillId="0" borderId="44" xfId="0" applyFont="1" applyBorder="1"/>
    <xf numFmtId="39" fontId="33" fillId="0" borderId="44" xfId="0" applyNumberFormat="1" applyFont="1" applyBorder="1"/>
    <xf numFmtId="171" fontId="33" fillId="0" borderId="44" xfId="3" applyNumberFormat="1" applyFont="1" applyBorder="1"/>
    <xf numFmtId="0" fontId="9" fillId="10" borderId="44" xfId="0" applyFont="1" applyFill="1" applyBorder="1"/>
    <xf numFmtId="0" fontId="9" fillId="10" borderId="49" xfId="0" applyFont="1" applyFill="1" applyBorder="1"/>
    <xf numFmtId="171" fontId="33" fillId="0" borderId="29" xfId="0" applyNumberFormat="1" applyFont="1" applyBorder="1"/>
    <xf numFmtId="0" fontId="33" fillId="0" borderId="29" xfId="0" applyFont="1" applyBorder="1"/>
    <xf numFmtId="169" fontId="33" fillId="0" borderId="29" xfId="0" applyNumberFormat="1" applyFont="1" applyBorder="1"/>
    <xf numFmtId="0" fontId="33" fillId="0" borderId="5" xfId="0" applyFont="1" applyBorder="1"/>
    <xf numFmtId="0" fontId="9" fillId="10" borderId="44" xfId="0" applyFont="1" applyFill="1" applyBorder="1" applyAlignment="1">
      <alignment horizontal="right"/>
    </xf>
    <xf numFmtId="0" fontId="33" fillId="0" borderId="29" xfId="0" applyNumberFormat="1" applyFont="1" applyBorder="1"/>
    <xf numFmtId="175" fontId="33" fillId="0" borderId="29" xfId="0" applyNumberFormat="1" applyFont="1" applyBorder="1"/>
    <xf numFmtId="178" fontId="33" fillId="0" borderId="29" xfId="0" applyNumberFormat="1" applyFont="1" applyBorder="1"/>
    <xf numFmtId="2" fontId="33" fillId="0" borderId="29" xfId="0" applyNumberFormat="1" applyFont="1" applyBorder="1"/>
    <xf numFmtId="170" fontId="33" fillId="0" borderId="29" xfId="0" applyNumberFormat="1" applyFont="1" applyBorder="1"/>
    <xf numFmtId="11" fontId="33" fillId="0" borderId="29" xfId="0" applyNumberFormat="1" applyFont="1" applyBorder="1"/>
    <xf numFmtId="172" fontId="33" fillId="0" borderId="29" xfId="0" applyNumberFormat="1" applyFont="1" applyBorder="1"/>
    <xf numFmtId="0" fontId="33" fillId="0" borderId="0" xfId="0" applyFont="1"/>
    <xf numFmtId="0" fontId="33" fillId="0" borderId="0" xfId="0" applyFont="1" applyAlignment="1">
      <alignment horizontal="left"/>
    </xf>
    <xf numFmtId="11" fontId="0" fillId="0" borderId="0" xfId="0" applyNumberFormat="1" applyBorder="1"/>
    <xf numFmtId="184" fontId="0" fillId="0" borderId="0" xfId="0" applyNumberFormat="1" applyBorder="1"/>
    <xf numFmtId="171" fontId="30" fillId="0" borderId="44" xfId="7" applyNumberFormat="1" applyFont="1" applyBorder="1" applyAlignment="1" applyProtection="1"/>
    <xf numFmtId="0" fontId="11" fillId="0" borderId="44" xfId="10" applyBorder="1"/>
    <xf numFmtId="2" fontId="30" fillId="0" borderId="44" xfId="10" applyNumberFormat="1" applyFont="1" applyFill="1" applyBorder="1"/>
    <xf numFmtId="0" fontId="30" fillId="0" borderId="44" xfId="10" applyFont="1" applyFill="1" applyBorder="1" applyAlignment="1">
      <alignment horizontal="left" wrapText="1" indent="1"/>
    </xf>
    <xf numFmtId="171" fontId="30" fillId="0" borderId="44" xfId="15" applyNumberFormat="1" applyFont="1" applyFill="1" applyBorder="1" applyAlignment="1">
      <alignment horizontal="left" wrapText="1"/>
    </xf>
    <xf numFmtId="0" fontId="33" fillId="0" borderId="45" xfId="0" applyFont="1" applyBorder="1"/>
    <xf numFmtId="0" fontId="30" fillId="0" borderId="44" xfId="10" applyFont="1" applyFill="1" applyBorder="1"/>
    <xf numFmtId="0" fontId="30" fillId="0" borderId="44" xfId="10" applyFont="1" applyFill="1" applyBorder="1" applyAlignment="1">
      <alignment horizontal="center" wrapText="1"/>
    </xf>
    <xf numFmtId="171" fontId="30" fillId="0" borderId="44" xfId="18" applyNumberFormat="1" applyFont="1" applyFill="1" applyBorder="1" applyAlignment="1">
      <alignment horizontal="left"/>
    </xf>
    <xf numFmtId="0" fontId="30" fillId="0" borderId="44" xfId="10" applyNumberFormat="1" applyFont="1" applyFill="1" applyBorder="1"/>
    <xf numFmtId="0" fontId="30" fillId="0" borderId="44" xfId="9" applyFont="1" applyFill="1" applyBorder="1" applyAlignment="1">
      <alignment wrapText="1"/>
    </xf>
    <xf numFmtId="0" fontId="9" fillId="10" borderId="45" xfId="0" applyFont="1" applyFill="1" applyBorder="1"/>
    <xf numFmtId="165" fontId="10" fillId="0" borderId="5" xfId="7" applyNumberFormat="1" applyFont="1" applyBorder="1" applyAlignment="1" applyProtection="1"/>
    <xf numFmtId="2" fontId="10" fillId="0" borderId="44" xfId="7" applyNumberFormat="1" applyFont="1" applyBorder="1" applyAlignment="1" applyProtection="1"/>
    <xf numFmtId="3" fontId="0" fillId="0" borderId="0" xfId="0" applyNumberFormat="1" applyBorder="1" applyAlignment="1"/>
    <xf numFmtId="180" fontId="10" fillId="0" borderId="0" xfId="7" applyNumberFormat="1" applyFont="1" applyBorder="1" applyAlignment="1" applyProtection="1"/>
    <xf numFmtId="172" fontId="10" fillId="0" borderId="0" xfId="7" applyNumberFormat="1" applyFont="1" applyBorder="1" applyAlignment="1" applyProtection="1"/>
    <xf numFmtId="11" fontId="10" fillId="0" borderId="0" xfId="0" applyNumberFormat="1" applyFont="1" applyBorder="1" applyAlignment="1"/>
    <xf numFmtId="164" fontId="10" fillId="0" borderId="0" xfId="7" applyNumberFormat="1" applyFont="1" applyBorder="1" applyAlignment="1" applyProtection="1"/>
    <xf numFmtId="0" fontId="10" fillId="0" borderId="0" xfId="0" applyFont="1" applyBorder="1" applyAlignment="1"/>
    <xf numFmtId="165" fontId="10" fillId="0" borderId="0" xfId="7" applyNumberFormat="1" applyFont="1" applyBorder="1" applyAlignment="1" applyProtection="1"/>
    <xf numFmtId="0" fontId="10" fillId="0" borderId="0" xfId="0" applyFont="1" applyBorder="1" applyAlignment="1" applyProtection="1"/>
    <xf numFmtId="0" fontId="10" fillId="0" borderId="42" xfId="0" applyFont="1" applyBorder="1" applyAlignment="1"/>
    <xf numFmtId="0" fontId="30" fillId="0" borderId="44" xfId="0" applyFont="1" applyFill="1" applyBorder="1" applyAlignment="1" applyProtection="1">
      <alignment wrapText="1"/>
    </xf>
    <xf numFmtId="0" fontId="33" fillId="0" borderId="50" xfId="0" applyFont="1" applyBorder="1"/>
    <xf numFmtId="0" fontId="9" fillId="10" borderId="50" xfId="0" applyFont="1" applyFill="1" applyBorder="1"/>
    <xf numFmtId="0" fontId="9" fillId="0" borderId="51" xfId="0" applyFont="1" applyBorder="1"/>
    <xf numFmtId="0" fontId="9" fillId="10" borderId="43" xfId="0" applyFont="1" applyFill="1" applyBorder="1"/>
    <xf numFmtId="0" fontId="33" fillId="0" borderId="0" xfId="0" applyFont="1" applyBorder="1"/>
    <xf numFmtId="0" fontId="9" fillId="10" borderId="52" xfId="0" applyFont="1" applyFill="1" applyBorder="1"/>
    <xf numFmtId="0" fontId="33" fillId="0" borderId="0" xfId="0" applyFont="1" applyBorder="1" applyAlignment="1">
      <alignment horizontal="left"/>
    </xf>
    <xf numFmtId="0" fontId="24" fillId="10" borderId="15" xfId="8" applyFill="1" applyBorder="1"/>
    <xf numFmtId="0" fontId="9" fillId="10" borderId="53" xfId="0" applyFont="1" applyFill="1" applyBorder="1"/>
    <xf numFmtId="165" fontId="30" fillId="0" borderId="44" xfId="7" applyNumberFormat="1" applyFont="1" applyBorder="1" applyAlignment="1" applyProtection="1"/>
    <xf numFmtId="0" fontId="30" fillId="0" borderId="44" xfId="10" applyNumberFormat="1" applyFont="1" applyFill="1" applyBorder="1" applyAlignment="1">
      <alignment horizontal="left" wrapText="1"/>
    </xf>
    <xf numFmtId="0" fontId="30" fillId="0" borderId="44" xfId="10" applyFont="1" applyBorder="1"/>
    <xf numFmtId="175" fontId="30" fillId="0" borderId="44" xfId="90" applyNumberFormat="1" applyFont="1" applyFill="1" applyBorder="1"/>
    <xf numFmtId="11" fontId="30" fillId="0" borderId="44" xfId="22" applyNumberFormat="1" applyFont="1" applyFill="1" applyBorder="1"/>
    <xf numFmtId="11" fontId="30" fillId="0" borderId="44" xfId="10" applyNumberFormat="1" applyFont="1" applyFill="1" applyBorder="1" applyAlignment="1">
      <alignment horizontal="left" wrapText="1"/>
    </xf>
    <xf numFmtId="172" fontId="30" fillId="0" borderId="44" xfId="10" applyNumberFormat="1" applyFont="1" applyFill="1" applyBorder="1"/>
    <xf numFmtId="0" fontId="30" fillId="0" borderId="44" xfId="10" applyFont="1" applyFill="1" applyBorder="1" applyAlignment="1">
      <alignment horizontal="left" wrapText="1"/>
    </xf>
    <xf numFmtId="0" fontId="30" fillId="0" borderId="44" xfId="10" applyFont="1" applyFill="1" applyBorder="1" applyAlignment="1" applyProtection="1">
      <alignment wrapText="1"/>
    </xf>
    <xf numFmtId="0" fontId="30" fillId="0" borderId="45" xfId="10" applyFont="1" applyFill="1" applyBorder="1"/>
    <xf numFmtId="0" fontId="24" fillId="0" borderId="0" xfId="8" quotePrefix="1" applyFill="1"/>
    <xf numFmtId="185" fontId="0" fillId="0" borderId="0" xfId="0" applyNumberFormat="1" applyBorder="1"/>
    <xf numFmtId="169" fontId="30" fillId="0" borderId="44" xfId="18" applyFont="1" applyFill="1" applyBorder="1"/>
    <xf numFmtId="0" fontId="30" fillId="0" borderId="54" xfId="9" applyFont="1" applyFill="1" applyBorder="1" applyAlignment="1">
      <alignment wrapText="1"/>
    </xf>
    <xf numFmtId="37" fontId="30" fillId="0" borderId="44" xfId="18" applyNumberFormat="1" applyFont="1" applyFill="1" applyBorder="1"/>
    <xf numFmtId="39" fontId="30" fillId="0" borderId="44" xfId="18" applyNumberFormat="1" applyFont="1" applyFill="1" applyBorder="1"/>
    <xf numFmtId="173" fontId="11" fillId="0" borderId="44" xfId="14" applyBorder="1">
      <alignment vertical="center" wrapText="1"/>
    </xf>
    <xf numFmtId="169" fontId="30" fillId="0" borderId="44" xfId="18" applyNumberFormat="1" applyFont="1" applyFill="1" applyBorder="1"/>
    <xf numFmtId="171" fontId="30" fillId="0" borderId="44" xfId="18" applyNumberFormat="1" applyFont="1" applyFill="1" applyBorder="1"/>
    <xf numFmtId="169" fontId="30" fillId="0" borderId="55" xfId="18" applyFont="1" applyFill="1" applyBorder="1"/>
    <xf numFmtId="0" fontId="24" fillId="0" borderId="44" xfId="8" applyFill="1" applyBorder="1"/>
    <xf numFmtId="0" fontId="30" fillId="0" borderId="56" xfId="0" applyFont="1" applyFill="1" applyBorder="1"/>
    <xf numFmtId="0" fontId="24" fillId="0" borderId="0" xfId="8" applyFill="1"/>
    <xf numFmtId="0" fontId="9" fillId="12" borderId="28" xfId="0" applyFont="1" applyFill="1" applyBorder="1"/>
    <xf numFmtId="0" fontId="9" fillId="12" borderId="44" xfId="0" applyFont="1" applyFill="1" applyBorder="1"/>
    <xf numFmtId="0" fontId="9" fillId="12" borderId="57" xfId="0" applyFont="1" applyFill="1" applyBorder="1"/>
    <xf numFmtId="184" fontId="0" fillId="0" borderId="0" xfId="0" applyNumberFormat="1"/>
    <xf numFmtId="185" fontId="0" fillId="0" borderId="0" xfId="0" applyNumberFormat="1"/>
    <xf numFmtId="165" fontId="9" fillId="10" borderId="44" xfId="0" applyNumberFormat="1" applyFont="1" applyFill="1" applyBorder="1"/>
    <xf numFmtId="165" fontId="30" fillId="0" borderId="58" xfId="7" applyNumberFormat="1" applyFont="1" applyBorder="1" applyAlignment="1" applyProtection="1"/>
    <xf numFmtId="0" fontId="0" fillId="0" borderId="44" xfId="0" applyBorder="1"/>
    <xf numFmtId="169" fontId="30" fillId="0" borderId="44" xfId="3" applyFont="1" applyFill="1" applyBorder="1" applyAlignment="1">
      <alignment wrapText="1"/>
    </xf>
    <xf numFmtId="0" fontId="30" fillId="0" borderId="44" xfId="10" applyFont="1" applyBorder="1" applyAlignment="1">
      <alignment wrapText="1"/>
    </xf>
    <xf numFmtId="0" fontId="0" fillId="0" borderId="59" xfId="0" applyBorder="1"/>
    <xf numFmtId="0" fontId="21" fillId="0" borderId="0" xfId="9" applyFont="1" applyFill="1" applyBorder="1" applyAlignment="1">
      <alignment wrapText="1"/>
    </xf>
    <xf numFmtId="2" fontId="30" fillId="0" borderId="58" xfId="10" applyNumberFormat="1" applyFont="1" applyFill="1" applyBorder="1"/>
    <xf numFmtId="0" fontId="21" fillId="0" borderId="59" xfId="9" applyFont="1" applyFill="1" applyBorder="1" applyAlignment="1">
      <alignment wrapText="1"/>
    </xf>
    <xf numFmtId="0" fontId="30" fillId="0" borderId="58" xfId="10" applyNumberFormat="1" applyFont="1" applyFill="1" applyBorder="1" applyAlignment="1">
      <alignment horizontal="left" wrapText="1"/>
    </xf>
    <xf numFmtId="0" fontId="30" fillId="0" borderId="60" xfId="10" applyFont="1" applyFill="1" applyBorder="1"/>
    <xf numFmtId="0" fontId="30" fillId="0" borderId="45" xfId="10" applyFont="1" applyBorder="1" applyAlignment="1">
      <alignment wrapText="1"/>
    </xf>
    <xf numFmtId="0" fontId="0" fillId="0" borderId="54" xfId="0" applyBorder="1"/>
    <xf numFmtId="0" fontId="21" fillId="0" borderId="54" xfId="9" applyFont="1" applyFill="1" applyBorder="1" applyAlignment="1">
      <alignment wrapText="1"/>
    </xf>
    <xf numFmtId="0" fontId="0" fillId="0" borderId="0" xfId="0" applyFill="1"/>
    <xf numFmtId="0" fontId="24" fillId="0" borderId="0" xfId="8" applyFill="1" applyBorder="1"/>
    <xf numFmtId="0" fontId="0" fillId="0" borderId="0" xfId="0" applyFill="1" applyBorder="1"/>
    <xf numFmtId="186" fontId="0" fillId="0" borderId="0" xfId="0" applyNumberFormat="1" applyBorder="1"/>
    <xf numFmtId="0" fontId="30" fillId="0" borderId="0" xfId="10" applyNumberFormat="1" applyFont="1" applyFill="1" applyBorder="1" applyAlignment="1">
      <alignment horizontal="left" wrapText="1"/>
    </xf>
    <xf numFmtId="0" fontId="30" fillId="0" borderId="44" xfId="10" applyFont="1" applyFill="1" applyBorder="1" applyAlignment="1">
      <alignment wrapText="1"/>
    </xf>
    <xf numFmtId="0" fontId="30" fillId="0" borderId="44" xfId="10" applyFont="1" applyFill="1" applyBorder="1" applyAlignment="1">
      <alignment horizontal="right" wrapText="1" indent="1"/>
    </xf>
    <xf numFmtId="171" fontId="30" fillId="0" borderId="44" xfId="15" applyNumberFormat="1" applyFont="1" applyFill="1" applyBorder="1" applyAlignment="1">
      <alignment horizontal="center" wrapText="1"/>
    </xf>
    <xf numFmtId="0" fontId="30" fillId="0" borderId="45" xfId="10" applyFont="1" applyFill="1" applyBorder="1" applyAlignment="1">
      <alignment wrapText="1"/>
    </xf>
    <xf numFmtId="174" fontId="30" fillId="0" borderId="44" xfId="10" applyNumberFormat="1" applyFont="1" applyFill="1" applyBorder="1" applyAlignment="1">
      <alignment wrapText="1"/>
    </xf>
    <xf numFmtId="174" fontId="30" fillId="0" borderId="44" xfId="10" applyNumberFormat="1" applyFont="1" applyFill="1" applyBorder="1" applyAlignment="1">
      <alignment horizontal="right" wrapText="1" indent="1"/>
    </xf>
    <xf numFmtId="165" fontId="10" fillId="0" borderId="44" xfId="7" applyNumberFormat="1" applyFont="1" applyBorder="1" applyAlignment="1" applyProtection="1"/>
    <xf numFmtId="0" fontId="9" fillId="12" borderId="27" xfId="0" applyFont="1" applyFill="1" applyBorder="1"/>
    <xf numFmtId="165" fontId="30" fillId="0" borderId="15" xfId="7" applyNumberFormat="1" applyFont="1" applyBorder="1" applyAlignment="1" applyProtection="1"/>
    <xf numFmtId="37" fontId="30" fillId="0" borderId="44" xfId="15" applyNumberFormat="1" applyFont="1" applyFill="1" applyBorder="1" applyAlignment="1">
      <alignment horizontal="right" wrapText="1" indent="1"/>
    </xf>
    <xf numFmtId="0" fontId="30" fillId="0" borderId="44" xfId="10" applyNumberFormat="1" applyFont="1" applyFill="1" applyBorder="1" applyAlignment="1">
      <alignment horizontal="left" wrapText="1" indent="1"/>
    </xf>
    <xf numFmtId="39" fontId="30" fillId="0" borderId="44" xfId="15" applyNumberFormat="1" applyFont="1" applyFill="1" applyBorder="1" applyAlignment="1">
      <alignment horizontal="left" wrapText="1" indent="1"/>
    </xf>
    <xf numFmtId="171" fontId="30" fillId="0" borderId="44" xfId="10" applyNumberFormat="1" applyFont="1" applyFill="1" applyBorder="1" applyAlignment="1">
      <alignment horizontal="center" wrapText="1"/>
    </xf>
    <xf numFmtId="165" fontId="30" fillId="0" borderId="24" xfId="7" applyNumberFormat="1" applyFont="1" applyBorder="1" applyAlignment="1" applyProtection="1"/>
    <xf numFmtId="165" fontId="30" fillId="0" borderId="33" xfId="7" applyNumberFormat="1" applyFont="1" applyBorder="1" applyAlignment="1" applyProtection="1"/>
    <xf numFmtId="0" fontId="30" fillId="0" borderId="44" xfId="10" applyNumberFormat="1" applyFont="1" applyFill="1" applyBorder="1" applyAlignment="1">
      <alignment horizontal="right" wrapText="1" indent="1"/>
    </xf>
    <xf numFmtId="0" fontId="30" fillId="0" borderId="44" xfId="10" applyFont="1" applyFill="1" applyBorder="1" applyAlignment="1">
      <alignment horizontal="right" wrapText="1"/>
    </xf>
    <xf numFmtId="171" fontId="30" fillId="0" borderId="55" xfId="15" applyNumberFormat="1" applyFont="1" applyFill="1" applyBorder="1" applyAlignment="1">
      <alignment horizontal="center" wrapText="1"/>
    </xf>
    <xf numFmtId="0" fontId="30" fillId="0" borderId="45" xfId="10" applyFont="1" applyBorder="1"/>
    <xf numFmtId="0" fontId="11" fillId="0" borderId="44" xfId="10" applyBorder="1" applyAlignment="1">
      <alignment horizontal="right"/>
    </xf>
    <xf numFmtId="0" fontId="30" fillId="0" borderId="44" xfId="22" applyNumberFormat="1" applyFont="1" applyFill="1" applyBorder="1" applyAlignment="1">
      <alignment horizontal="right" wrapText="1"/>
    </xf>
    <xf numFmtId="177" fontId="30" fillId="0" borderId="44" xfId="22" applyNumberFormat="1" applyFont="1" applyFill="1" applyBorder="1" applyAlignment="1">
      <alignment horizontal="right" wrapText="1"/>
    </xf>
    <xf numFmtId="11" fontId="30" fillId="0" borderId="44" xfId="22" applyNumberFormat="1" applyFont="1" applyFill="1" applyBorder="1" applyAlignment="1">
      <alignment horizontal="right" wrapText="1"/>
    </xf>
    <xf numFmtId="170" fontId="30" fillId="0" borderId="44" xfId="90" applyFont="1" applyFill="1" applyBorder="1" applyAlignment="1"/>
    <xf numFmtId="0" fontId="30" fillId="0" borderId="44" xfId="10" applyFont="1" applyFill="1" applyBorder="1" applyAlignment="1"/>
    <xf numFmtId="187" fontId="30" fillId="0" borderId="44" xfId="10" applyNumberFormat="1" applyFont="1" applyFill="1" applyBorder="1" applyAlignment="1"/>
    <xf numFmtId="0" fontId="30" fillId="0" borderId="44" xfId="10" applyFont="1" applyFill="1" applyBorder="1" applyAlignment="1" applyProtection="1">
      <alignment horizontal="left" wrapText="1"/>
    </xf>
    <xf numFmtId="0" fontId="30" fillId="0" borderId="44" xfId="10" applyNumberFormat="1" applyFont="1" applyFill="1" applyBorder="1" applyAlignment="1">
      <alignment wrapText="1"/>
    </xf>
    <xf numFmtId="0" fontId="30" fillId="0" borderId="44" xfId="90" applyNumberFormat="1" applyFont="1" applyFill="1" applyBorder="1" applyAlignment="1">
      <alignment horizontal="right"/>
    </xf>
    <xf numFmtId="175" fontId="30" fillId="0" borderId="44" xfId="90" applyNumberFormat="1" applyFont="1" applyFill="1" applyBorder="1" applyAlignment="1">
      <alignment horizontal="right"/>
    </xf>
    <xf numFmtId="11" fontId="30" fillId="0" borderId="44" xfId="22" applyNumberFormat="1" applyFont="1" applyFill="1" applyBorder="1" applyAlignment="1">
      <alignment horizontal="right"/>
    </xf>
    <xf numFmtId="11" fontId="30" fillId="0" borderId="44" xfId="10" applyNumberFormat="1" applyFont="1" applyFill="1" applyBorder="1"/>
    <xf numFmtId="1" fontId="30" fillId="0" borderId="44" xfId="90" applyNumberFormat="1" applyFont="1" applyFill="1" applyBorder="1"/>
    <xf numFmtId="11" fontId="30" fillId="0" borderId="44" xfId="10" applyNumberFormat="1" applyFont="1" applyFill="1" applyBorder="1" applyAlignment="1">
      <alignment wrapText="1"/>
    </xf>
    <xf numFmtId="187" fontId="30" fillId="0" borderId="44" xfId="10" applyNumberFormat="1" applyFont="1" applyFill="1" applyBorder="1"/>
    <xf numFmtId="0" fontId="9" fillId="10" borderId="61" xfId="0" applyFont="1" applyFill="1" applyBorder="1"/>
    <xf numFmtId="0" fontId="30" fillId="0" borderId="61" xfId="10" applyFont="1" applyFill="1" applyBorder="1"/>
    <xf numFmtId="0" fontId="30" fillId="0" borderId="62" xfId="9" applyFont="1" applyFill="1" applyBorder="1" applyAlignment="1">
      <alignment wrapText="1"/>
    </xf>
    <xf numFmtId="0" fontId="9" fillId="10" borderId="63" xfId="0" applyFont="1" applyFill="1" applyBorder="1"/>
    <xf numFmtId="0" fontId="33" fillId="0" borderId="36" xfId="0" applyFont="1" applyBorder="1"/>
    <xf numFmtId="0" fontId="30" fillId="0" borderId="36" xfId="0" applyFont="1" applyFill="1" applyBorder="1" applyAlignment="1" applyProtection="1">
      <alignment vertical="center" wrapText="1"/>
    </xf>
    <xf numFmtId="0" fontId="33" fillId="0" borderId="63" xfId="0" applyFont="1" applyBorder="1"/>
    <xf numFmtId="165" fontId="9" fillId="10" borderId="36" xfId="0" applyNumberFormat="1" applyFont="1" applyFill="1" applyBorder="1"/>
    <xf numFmtId="165" fontId="30" fillId="0" borderId="36" xfId="7" applyNumberFormat="1" applyFont="1" applyBorder="1" applyAlignment="1" applyProtection="1"/>
    <xf numFmtId="0" fontId="30" fillId="0" borderId="36" xfId="10" applyFont="1" applyBorder="1"/>
    <xf numFmtId="0" fontId="30" fillId="0" borderId="36" xfId="9" applyFont="1" applyFill="1" applyBorder="1" applyAlignment="1">
      <alignment wrapText="1"/>
    </xf>
    <xf numFmtId="2" fontId="30" fillId="0" borderId="36" xfId="10" applyNumberFormat="1" applyFont="1" applyFill="1" applyBorder="1"/>
    <xf numFmtId="0" fontId="30" fillId="0" borderId="36" xfId="10" applyFont="1" applyFill="1" applyBorder="1" applyAlignment="1">
      <alignment horizontal="left" wrapText="1" indent="1"/>
    </xf>
    <xf numFmtId="171" fontId="30" fillId="0" borderId="36" xfId="15" applyNumberFormat="1" applyFont="1" applyFill="1" applyBorder="1" applyAlignment="1">
      <alignment horizontal="center" wrapText="1"/>
    </xf>
    <xf numFmtId="0" fontId="30" fillId="0" borderId="36" xfId="10" applyNumberFormat="1" applyFont="1" applyFill="1" applyBorder="1" applyAlignment="1">
      <alignment horizontal="left" wrapText="1"/>
    </xf>
    <xf numFmtId="0" fontId="30" fillId="0" borderId="36" xfId="10" applyFont="1" applyFill="1" applyBorder="1" applyAlignment="1">
      <alignment wrapText="1"/>
    </xf>
    <xf numFmtId="0" fontId="30" fillId="0" borderId="64" xfId="10" applyFont="1" applyFill="1" applyBorder="1" applyAlignment="1">
      <alignment wrapText="1"/>
    </xf>
    <xf numFmtId="165" fontId="30" fillId="0" borderId="64" xfId="7" applyNumberFormat="1" applyFont="1" applyBorder="1" applyAlignment="1" applyProtection="1"/>
    <xf numFmtId="0" fontId="30" fillId="0" borderId="64" xfId="10" applyFont="1" applyBorder="1" applyAlignment="1">
      <alignment wrapText="1"/>
    </xf>
    <xf numFmtId="0" fontId="30" fillId="0" borderId="64" xfId="10" applyFont="1" applyFill="1" applyBorder="1" applyAlignment="1">
      <alignment horizontal="left" wrapText="1" indent="1"/>
    </xf>
    <xf numFmtId="171" fontId="30" fillId="0" borderId="64" xfId="15" applyNumberFormat="1" applyFont="1" applyFill="1" applyBorder="1" applyAlignment="1">
      <alignment horizontal="center" wrapText="1"/>
    </xf>
    <xf numFmtId="0" fontId="30" fillId="0" borderId="64" xfId="10" applyNumberFormat="1" applyFont="1" applyFill="1" applyBorder="1" applyAlignment="1">
      <alignment horizontal="left" wrapText="1"/>
    </xf>
    <xf numFmtId="0" fontId="30" fillId="0" borderId="64" xfId="10" applyFont="1" applyBorder="1"/>
    <xf numFmtId="0" fontId="30" fillId="0" borderId="64" xfId="9" applyFont="1" applyFill="1" applyBorder="1" applyAlignment="1">
      <alignment wrapText="1"/>
    </xf>
    <xf numFmtId="2" fontId="30" fillId="0" borderId="64" xfId="10" applyNumberFormat="1" applyFont="1" applyFill="1" applyBorder="1"/>
    <xf numFmtId="0" fontId="9" fillId="10" borderId="64" xfId="0" applyFont="1" applyFill="1" applyBorder="1"/>
    <xf numFmtId="0" fontId="30" fillId="0" borderId="36" xfId="90" applyNumberFormat="1" applyFont="1" applyFill="1" applyBorder="1" applyAlignment="1">
      <alignment horizontal="right"/>
    </xf>
    <xf numFmtId="0" fontId="11" fillId="0" borderId="36" xfId="10" applyNumberFormat="1" applyBorder="1" applyAlignment="1">
      <alignment horizontal="right"/>
    </xf>
    <xf numFmtId="175" fontId="30" fillId="0" borderId="36" xfId="90" applyNumberFormat="1" applyFont="1" applyFill="1" applyBorder="1" applyAlignment="1">
      <alignment horizontal="right"/>
    </xf>
    <xf numFmtId="11" fontId="30" fillId="0" borderId="36" xfId="22" applyNumberFormat="1" applyFont="1" applyFill="1" applyBorder="1" applyAlignment="1">
      <alignment horizontal="right"/>
    </xf>
    <xf numFmtId="11" fontId="30" fillId="0" borderId="36" xfId="10" applyNumberFormat="1" applyFont="1" applyFill="1" applyBorder="1" applyAlignment="1">
      <alignment horizontal="left" wrapText="1"/>
    </xf>
    <xf numFmtId="170" fontId="30" fillId="0" borderId="36" xfId="90" applyFont="1" applyFill="1" applyBorder="1" applyAlignment="1"/>
    <xf numFmtId="0" fontId="30" fillId="0" borderId="36" xfId="10" applyFont="1" applyFill="1" applyBorder="1" applyAlignment="1"/>
    <xf numFmtId="187" fontId="30" fillId="0" borderId="36" xfId="10" applyNumberFormat="1" applyFont="1" applyFill="1" applyBorder="1" applyAlignment="1"/>
    <xf numFmtId="0" fontId="30" fillId="0" borderId="36" xfId="10" applyFont="1" applyFill="1" applyBorder="1" applyAlignment="1">
      <alignment horizontal="left" wrapText="1"/>
    </xf>
    <xf numFmtId="0" fontId="30" fillId="0" borderId="36" xfId="10" applyFont="1" applyFill="1" applyBorder="1" applyAlignment="1" applyProtection="1">
      <alignment horizontal="left" wrapText="1"/>
    </xf>
    <xf numFmtId="165" fontId="10" fillId="0" borderId="64" xfId="7" applyNumberFormat="1" applyFont="1" applyBorder="1" applyAlignment="1" applyProtection="1"/>
    <xf numFmtId="37" fontId="30" fillId="0" borderId="64" xfId="3" applyNumberFormat="1" applyFont="1" applyFill="1" applyBorder="1"/>
    <xf numFmtId="0" fontId="30" fillId="0" borderId="64" xfId="94" applyNumberFormat="1" applyFont="1" applyFill="1" applyBorder="1"/>
    <xf numFmtId="0" fontId="30" fillId="0" borderId="64" xfId="94" applyFont="1" applyFill="1" applyBorder="1"/>
    <xf numFmtId="39" fontId="30" fillId="0" borderId="64" xfId="3" applyNumberFormat="1" applyFont="1" applyFill="1" applyBorder="1"/>
    <xf numFmtId="169" fontId="30" fillId="0" borderId="64" xfId="18" applyFont="1" applyFill="1" applyBorder="1"/>
    <xf numFmtId="0" fontId="30" fillId="0" borderId="64" xfId="94" applyFont="1" applyFill="1" applyBorder="1" applyAlignment="1" applyProtection="1">
      <alignment vertical="center" wrapText="1"/>
    </xf>
    <xf numFmtId="165" fontId="10" fillId="0" borderId="33" xfId="7" applyNumberFormat="1" applyFont="1" applyBorder="1" applyAlignment="1" applyProtection="1"/>
    <xf numFmtId="37" fontId="30" fillId="0" borderId="58" xfId="3" applyNumberFormat="1" applyFont="1" applyFill="1" applyBorder="1"/>
    <xf numFmtId="0" fontId="30" fillId="0" borderId="58" xfId="94" applyNumberFormat="1" applyFont="1" applyFill="1" applyBorder="1"/>
    <xf numFmtId="0" fontId="30" fillId="0" borderId="58" xfId="94" applyFont="1" applyFill="1" applyBorder="1"/>
    <xf numFmtId="39" fontId="30" fillId="0" borderId="58" xfId="3" applyNumberFormat="1" applyFont="1" applyFill="1" applyBorder="1"/>
    <xf numFmtId="169" fontId="30" fillId="0" borderId="58" xfId="18" applyFont="1" applyFill="1" applyBorder="1"/>
    <xf numFmtId="173" fontId="11" fillId="0" borderId="58" xfId="14" applyBorder="1">
      <alignment vertical="center" wrapText="1"/>
    </xf>
    <xf numFmtId="0" fontId="30" fillId="0" borderId="64" xfId="18" applyNumberFormat="1" applyFont="1" applyFill="1" applyBorder="1"/>
    <xf numFmtId="169" fontId="33" fillId="0" borderId="65" xfId="92" applyNumberFormat="1" applyFont="1" applyFill="1" applyBorder="1"/>
    <xf numFmtId="0" fontId="30" fillId="0" borderId="66" xfId="94" applyFont="1" applyFill="1" applyBorder="1"/>
    <xf numFmtId="0" fontId="30" fillId="0" borderId="66" xfId="94" applyFont="1" applyFill="1" applyBorder="1" applyAlignment="1" applyProtection="1">
      <alignment vertical="center" wrapText="1"/>
    </xf>
    <xf numFmtId="43" fontId="30" fillId="0" borderId="66" xfId="85" applyFont="1" applyFill="1" applyBorder="1"/>
    <xf numFmtId="169" fontId="30" fillId="0" borderId="66" xfId="18" applyFont="1" applyFill="1" applyBorder="1"/>
    <xf numFmtId="165" fontId="10" fillId="0" borderId="66" xfId="7" applyNumberFormat="1" applyFont="1" applyBorder="1" applyAlignment="1" applyProtection="1">
      <alignment wrapText="1"/>
    </xf>
    <xf numFmtId="37" fontId="30" fillId="0" borderId="66" xfId="3" applyNumberFormat="1" applyFont="1" applyFill="1" applyBorder="1" applyAlignment="1">
      <alignment wrapText="1"/>
    </xf>
    <xf numFmtId="0" fontId="30" fillId="0" borderId="66" xfId="94" applyNumberFormat="1" applyFont="1" applyFill="1" applyBorder="1" applyAlignment="1">
      <alignment wrapText="1"/>
    </xf>
    <xf numFmtId="0" fontId="30" fillId="0" borderId="66" xfId="94" applyFont="1" applyFill="1" applyBorder="1" applyAlignment="1">
      <alignment wrapText="1"/>
    </xf>
    <xf numFmtId="39" fontId="30" fillId="0" borderId="66" xfId="3" applyNumberFormat="1" applyFont="1" applyFill="1" applyBorder="1" applyAlignment="1">
      <alignment wrapText="1"/>
    </xf>
    <xf numFmtId="169" fontId="30" fillId="0" borderId="66" xfId="18" applyFont="1" applyFill="1" applyBorder="1" applyAlignment="1">
      <alignment wrapText="1"/>
    </xf>
    <xf numFmtId="0" fontId="30" fillId="0" borderId="66" xfId="95" applyFont="1" applyFill="1" applyBorder="1" applyAlignment="1" applyProtection="1">
      <alignment vertical="center" wrapText="1"/>
    </xf>
    <xf numFmtId="173" fontId="11" fillId="0" borderId="1" xfId="14">
      <alignment vertical="center" wrapText="1"/>
    </xf>
    <xf numFmtId="0" fontId="0" fillId="0" borderId="24" xfId="0" applyBorder="1"/>
    <xf numFmtId="0" fontId="0" fillId="0" borderId="67" xfId="0" applyBorder="1"/>
    <xf numFmtId="0" fontId="30" fillId="0" borderId="66" xfId="9" applyFont="1" applyFill="1" applyBorder="1" applyAlignment="1">
      <alignment wrapText="1"/>
    </xf>
    <xf numFmtId="171" fontId="1" fillId="0" borderId="68" xfId="91" applyNumberFormat="1" applyFont="1" applyBorder="1"/>
    <xf numFmtId="0" fontId="10" fillId="0" borderId="66" xfId="0" applyFont="1" applyBorder="1"/>
    <xf numFmtId="165" fontId="10" fillId="0" borderId="69" xfId="7" applyNumberFormat="1" applyFont="1" applyBorder="1" applyAlignment="1" applyProtection="1"/>
    <xf numFmtId="0" fontId="37" fillId="0" borderId="66" xfId="96" applyFont="1" applyFill="1" applyBorder="1"/>
    <xf numFmtId="0" fontId="30" fillId="0" borderId="66" xfId="96" applyFont="1" applyFill="1" applyBorder="1"/>
    <xf numFmtId="0" fontId="30" fillId="0" borderId="66" xfId="96" applyNumberFormat="1" applyFont="1" applyFill="1" applyBorder="1"/>
    <xf numFmtId="0" fontId="40" fillId="0" borderId="66" xfId="9" applyFont="1" applyFill="1" applyBorder="1" applyAlignment="1">
      <alignment wrapText="1"/>
    </xf>
    <xf numFmtId="0" fontId="30" fillId="0" borderId="66" xfId="96" applyFont="1" applyFill="1" applyBorder="1" applyAlignment="1">
      <alignment wrapText="1"/>
    </xf>
    <xf numFmtId="0" fontId="40" fillId="0" borderId="66" xfId="96" applyNumberFormat="1" applyFont="1" applyFill="1" applyBorder="1"/>
    <xf numFmtId="0" fontId="30" fillId="0" borderId="66" xfId="10" applyFont="1" applyFill="1" applyBorder="1"/>
    <xf numFmtId="0" fontId="30" fillId="0" borderId="66" xfId="10" applyFont="1" applyBorder="1"/>
    <xf numFmtId="169" fontId="30" fillId="0" borderId="55" xfId="3" applyFont="1" applyFill="1" applyBorder="1"/>
    <xf numFmtId="165" fontId="10" fillId="0" borderId="28" xfId="7" applyNumberFormat="1" applyFont="1" applyBorder="1" applyAlignment="1" applyProtection="1"/>
    <xf numFmtId="169" fontId="30" fillId="0" borderId="66" xfId="3" applyFont="1" applyFill="1" applyBorder="1"/>
    <xf numFmtId="0" fontId="30" fillId="0" borderId="58" xfId="10" applyFont="1" applyFill="1" applyBorder="1" applyAlignment="1">
      <alignment wrapText="1" shrinkToFit="1"/>
    </xf>
    <xf numFmtId="0" fontId="30" fillId="0" borderId="58" xfId="9" applyFont="1" applyFill="1" applyBorder="1" applyAlignment="1">
      <alignment wrapText="1"/>
    </xf>
    <xf numFmtId="174" fontId="30" fillId="0" borderId="66" xfId="10" applyNumberFormat="1" applyFont="1" applyBorder="1"/>
    <xf numFmtId="174" fontId="0" fillId="0" borderId="15" xfId="0" applyNumberFormat="1" applyBorder="1"/>
    <xf numFmtId="0" fontId="0" fillId="0" borderId="15" xfId="7" applyNumberFormat="1" applyFont="1" applyBorder="1" applyAlignment="1">
      <alignment wrapText="1"/>
    </xf>
    <xf numFmtId="0" fontId="10" fillId="0" borderId="28" xfId="0" applyFont="1" applyBorder="1"/>
    <xf numFmtId="0" fontId="30" fillId="0" borderId="66" xfId="0" applyFont="1" applyFill="1" applyBorder="1" applyAlignment="1" applyProtection="1">
      <alignment vertical="center" wrapText="1"/>
    </xf>
    <xf numFmtId="0" fontId="9" fillId="9" borderId="33" xfId="0" applyFont="1" applyFill="1" applyBorder="1"/>
    <xf numFmtId="165" fontId="10" fillId="0" borderId="66" xfId="7" applyNumberFormat="1" applyFont="1" applyBorder="1" applyAlignment="1" applyProtection="1"/>
    <xf numFmtId="171" fontId="10" fillId="0" borderId="66" xfId="0" applyNumberFormat="1" applyFont="1" applyBorder="1"/>
    <xf numFmtId="0" fontId="24" fillId="0" borderId="66" xfId="8" applyBorder="1"/>
    <xf numFmtId="0" fontId="10" fillId="0" borderId="33" xfId="0" applyFont="1" applyBorder="1"/>
    <xf numFmtId="171" fontId="10" fillId="0" borderId="33" xfId="0" applyNumberFormat="1" applyFont="1" applyBorder="1"/>
    <xf numFmtId="0" fontId="24" fillId="0" borderId="33" xfId="8" applyBorder="1"/>
    <xf numFmtId="171" fontId="10" fillId="0" borderId="15" xfId="0" applyNumberFormat="1" applyFont="1" applyBorder="1"/>
    <xf numFmtId="171" fontId="10" fillId="0" borderId="15" xfId="91" applyNumberFormat="1" applyFont="1" applyBorder="1"/>
    <xf numFmtId="165" fontId="10" fillId="0" borderId="24" xfId="7" applyNumberFormat="1" applyFont="1" applyBorder="1" applyAlignment="1" applyProtection="1"/>
    <xf numFmtId="0" fontId="10" fillId="0" borderId="24" xfId="0" applyFont="1" applyBorder="1"/>
    <xf numFmtId="171" fontId="10" fillId="0" borderId="24" xfId="7" applyNumberFormat="1" applyFont="1" applyBorder="1" applyAlignment="1" applyProtection="1"/>
    <xf numFmtId="0" fontId="24" fillId="0" borderId="24" xfId="8" applyNumberFormat="1" applyBorder="1" applyAlignment="1" applyProtection="1"/>
    <xf numFmtId="37" fontId="10" fillId="0" borderId="66" xfId="0" applyNumberFormat="1" applyFont="1" applyBorder="1" applyAlignment="1"/>
    <xf numFmtId="171" fontId="0" fillId="0" borderId="66" xfId="0" applyNumberFormat="1" applyBorder="1"/>
    <xf numFmtId="37" fontId="10" fillId="0" borderId="33" xfId="0" applyNumberFormat="1" applyFont="1" applyBorder="1" applyAlignment="1"/>
    <xf numFmtId="171" fontId="10" fillId="0" borderId="33" xfId="7" applyNumberFormat="1" applyFont="1" applyBorder="1" applyAlignment="1" applyProtection="1"/>
    <xf numFmtId="0" fontId="24" fillId="0" borderId="33" xfId="8" applyNumberFormat="1" applyBorder="1" applyAlignment="1" applyProtection="1"/>
    <xf numFmtId="174" fontId="0" fillId="0" borderId="0" xfId="0" applyNumberFormat="1" applyBorder="1"/>
    <xf numFmtId="0" fontId="0" fillId="0" borderId="66" xfId="0" applyBorder="1"/>
    <xf numFmtId="0" fontId="0" fillId="0" borderId="66" xfId="7" applyNumberFormat="1" applyFont="1" applyBorder="1" applyAlignment="1">
      <alignment wrapText="1"/>
    </xf>
    <xf numFmtId="2" fontId="10" fillId="0" borderId="66" xfId="0" applyNumberFormat="1" applyFont="1" applyBorder="1"/>
    <xf numFmtId="0" fontId="33" fillId="0" borderId="66" xfId="94" applyFont="1" applyBorder="1"/>
    <xf numFmtId="169" fontId="33" fillId="0" borderId="66" xfId="94" applyNumberFormat="1" applyFont="1" applyBorder="1"/>
    <xf numFmtId="0" fontId="33" fillId="0" borderId="29" xfId="94" applyFont="1" applyBorder="1"/>
    <xf numFmtId="0" fontId="10" fillId="0" borderId="70" xfId="0" applyFont="1" applyBorder="1"/>
    <xf numFmtId="0" fontId="30" fillId="0" borderId="66" xfId="97" applyFont="1" applyFill="1" applyBorder="1" applyAlignment="1">
      <alignment wrapText="1"/>
    </xf>
    <xf numFmtId="0" fontId="0" fillId="0" borderId="70" xfId="0" applyBorder="1"/>
    <xf numFmtId="0" fontId="0" fillId="0" borderId="66" xfId="0" applyBorder="1" applyAlignment="1">
      <alignment wrapText="1"/>
    </xf>
    <xf numFmtId="174" fontId="10" fillId="0" borderId="66" xfId="0" applyNumberFormat="1" applyFont="1" applyBorder="1" applyAlignment="1">
      <alignment wrapText="1"/>
    </xf>
    <xf numFmtId="169" fontId="33" fillId="0" borderId="29" xfId="94" applyNumberFormat="1" applyFont="1" applyBorder="1"/>
    <xf numFmtId="0" fontId="10" fillId="0" borderId="66" xfId="0" applyFont="1" applyBorder="1" applyAlignment="1">
      <alignment wrapText="1"/>
    </xf>
    <xf numFmtId="0" fontId="33" fillId="0" borderId="29" xfId="94" applyFont="1" applyBorder="1" applyAlignment="1">
      <alignment wrapText="1"/>
    </xf>
    <xf numFmtId="0" fontId="10" fillId="0" borderId="70" xfId="0" applyFont="1" applyBorder="1" applyAlignment="1">
      <alignment wrapText="1"/>
    </xf>
    <xf numFmtId="0" fontId="0" fillId="0" borderId="0" xfId="0" applyBorder="1" applyAlignment="1"/>
    <xf numFmtId="0" fontId="0" fillId="0" borderId="66" xfId="0" applyBorder="1" applyAlignment="1"/>
    <xf numFmtId="0" fontId="0" fillId="0" borderId="66" xfId="7" applyNumberFormat="1" applyFont="1" applyBorder="1" applyAlignment="1"/>
    <xf numFmtId="0" fontId="0" fillId="0" borderId="70" xfId="0" applyBorder="1" applyAlignment="1"/>
    <xf numFmtId="0" fontId="9" fillId="10" borderId="66" xfId="0" applyFont="1" applyFill="1" applyBorder="1"/>
    <xf numFmtId="0" fontId="9" fillId="10" borderId="70" xfId="0" applyFont="1" applyFill="1" applyBorder="1"/>
    <xf numFmtId="0" fontId="9" fillId="10" borderId="66" xfId="0" applyFont="1" applyFill="1" applyBorder="1" applyAlignment="1">
      <alignment horizontal="right"/>
    </xf>
    <xf numFmtId="169" fontId="33" fillId="0" borderId="29" xfId="98" applyNumberFormat="1" applyFont="1" applyBorder="1"/>
    <xf numFmtId="0" fontId="33" fillId="0" borderId="29" xfId="98" applyNumberFormat="1" applyFont="1" applyBorder="1"/>
    <xf numFmtId="175" fontId="33" fillId="0" borderId="29" xfId="98" applyNumberFormat="1" applyFont="1" applyBorder="1"/>
    <xf numFmtId="11" fontId="33" fillId="0" borderId="29" xfId="94" applyNumberFormat="1" applyFont="1" applyBorder="1"/>
    <xf numFmtId="11" fontId="33" fillId="0" borderId="29" xfId="98" applyNumberFormat="1" applyFont="1" applyBorder="1"/>
    <xf numFmtId="43" fontId="33" fillId="0" borderId="29" xfId="98" applyNumberFormat="1" applyFont="1" applyBorder="1"/>
    <xf numFmtId="0" fontId="33" fillId="0" borderId="29" xfId="98" applyFont="1" applyBorder="1"/>
    <xf numFmtId="172" fontId="33" fillId="0" borderId="29" xfId="98" applyNumberFormat="1" applyFont="1" applyBorder="1"/>
    <xf numFmtId="0" fontId="33" fillId="0" borderId="29" xfId="98" applyFont="1" applyFill="1" applyBorder="1"/>
    <xf numFmtId="0" fontId="30" fillId="0" borderId="66" xfId="10" applyFont="1" applyFill="1" applyBorder="1" applyAlignment="1" applyProtection="1">
      <alignment wrapText="1"/>
    </xf>
    <xf numFmtId="0" fontId="33" fillId="0" borderId="5" xfId="98" applyFont="1" applyBorder="1"/>
    <xf numFmtId="0" fontId="0" fillId="0" borderId="0" xfId="0" applyBorder="1" applyAlignment="1">
      <alignment horizontal="right"/>
    </xf>
    <xf numFmtId="174" fontId="10" fillId="0" borderId="66" xfId="0" applyNumberFormat="1" applyFont="1" applyBorder="1"/>
    <xf numFmtId="11" fontId="33" fillId="0" borderId="29" xfId="97" applyNumberFormat="1" applyFont="1" applyBorder="1"/>
    <xf numFmtId="0" fontId="33" fillId="0" borderId="29" xfId="99" applyNumberFormat="1" applyFont="1" applyBorder="1"/>
    <xf numFmtId="0" fontId="10" fillId="0" borderId="70" xfId="0" applyFont="1" applyBorder="1" applyAlignment="1"/>
    <xf numFmtId="188" fontId="30" fillId="0" borderId="66" xfId="100" applyNumberFormat="1" applyFont="1" applyFill="1" applyBorder="1" applyAlignment="1">
      <alignment horizontal="right" wrapText="1"/>
    </xf>
    <xf numFmtId="0" fontId="11" fillId="0" borderId="66" xfId="10" applyBorder="1"/>
    <xf numFmtId="165" fontId="10" fillId="0" borderId="0" xfId="0" applyNumberFormat="1" applyFont="1" applyBorder="1"/>
    <xf numFmtId="0" fontId="10" fillId="0" borderId="0" xfId="0" applyFont="1" applyBorder="1" applyAlignment="1">
      <alignment horizontal="right"/>
    </xf>
    <xf numFmtId="0" fontId="0" fillId="0" borderId="20" xfId="0" applyFont="1" applyBorder="1"/>
    <xf numFmtId="0" fontId="10" fillId="0" borderId="70" xfId="10" applyFont="1" applyBorder="1"/>
    <xf numFmtId="0" fontId="11" fillId="0" borderId="70" xfId="10" applyBorder="1" applyAlignment="1">
      <alignment wrapText="1"/>
    </xf>
    <xf numFmtId="1" fontId="30" fillId="0" borderId="66" xfId="10" applyNumberFormat="1" applyFont="1" applyFill="1" applyBorder="1"/>
    <xf numFmtId="0" fontId="30" fillId="0" borderId="66" xfId="16" applyNumberFormat="1" applyFont="1" applyFill="1" applyBorder="1" applyAlignment="1"/>
    <xf numFmtId="189" fontId="30" fillId="0" borderId="66" xfId="16" applyNumberFormat="1" applyFont="1" applyFill="1" applyBorder="1" applyAlignment="1">
      <alignment horizontal="right"/>
    </xf>
    <xf numFmtId="177" fontId="30" fillId="0" borderId="66" xfId="16" applyNumberFormat="1" applyFont="1" applyFill="1" applyBorder="1" applyAlignment="1"/>
    <xf numFmtId="11" fontId="10" fillId="0" borderId="66" xfId="22" applyNumberFormat="1" applyFont="1" applyBorder="1" applyAlignment="1" applyProtection="1"/>
    <xf numFmtId="11" fontId="30" fillId="0" borderId="66" xfId="10" applyNumberFormat="1" applyFont="1" applyFill="1" applyBorder="1" applyAlignment="1"/>
    <xf numFmtId="43" fontId="30" fillId="0" borderId="66" xfId="16" applyFont="1" applyFill="1" applyBorder="1" applyAlignment="1"/>
    <xf numFmtId="0" fontId="30" fillId="0" borderId="66" xfId="10" applyFont="1" applyFill="1" applyBorder="1" applyAlignment="1"/>
    <xf numFmtId="43" fontId="30" fillId="0" borderId="66" xfId="10" applyNumberFormat="1" applyFont="1" applyFill="1" applyBorder="1" applyAlignment="1"/>
    <xf numFmtId="169" fontId="33" fillId="0" borderId="66" xfId="93" applyNumberFormat="1" applyFont="1" applyFill="1" applyBorder="1" applyAlignment="1"/>
    <xf numFmtId="0" fontId="30" fillId="0" borderId="66" xfId="10" applyFont="1" applyFill="1" applyBorder="1" applyAlignment="1">
      <alignment horizontal="left"/>
    </xf>
    <xf numFmtId="0" fontId="30" fillId="0" borderId="66" xfId="10" applyFont="1" applyFill="1" applyBorder="1" applyAlignment="1" applyProtection="1"/>
    <xf numFmtId="1" fontId="30" fillId="0" borderId="66" xfId="10" applyNumberFormat="1" applyFont="1" applyBorder="1"/>
    <xf numFmtId="0" fontId="0" fillId="0" borderId="70" xfId="0" applyBorder="1" applyAlignment="1">
      <alignment wrapText="1"/>
    </xf>
    <xf numFmtId="0" fontId="30" fillId="0" borderId="66" xfId="16" applyNumberFormat="1" applyFont="1" applyFill="1" applyBorder="1" applyAlignment="1">
      <alignment wrapText="1"/>
    </xf>
    <xf numFmtId="189" fontId="30" fillId="0" borderId="66" xfId="16" applyNumberFormat="1" applyFont="1" applyFill="1" applyBorder="1" applyAlignment="1">
      <alignment wrapText="1"/>
    </xf>
    <xf numFmtId="177" fontId="30" fillId="0" borderId="66" xfId="22" applyNumberFormat="1" applyFont="1" applyFill="1" applyBorder="1" applyAlignment="1">
      <alignment horizontal="right" wrapText="1"/>
    </xf>
    <xf numFmtId="11" fontId="30" fillId="0" borderId="66" xfId="10" applyNumberFormat="1" applyFont="1" applyFill="1" applyBorder="1" applyAlignment="1">
      <alignment wrapText="1"/>
    </xf>
    <xf numFmtId="43" fontId="30" fillId="0" borderId="66" xfId="16" applyFont="1" applyFill="1" applyBorder="1" applyAlignment="1">
      <alignment wrapText="1"/>
    </xf>
    <xf numFmtId="0" fontId="30" fillId="0" borderId="66" xfId="10" applyFont="1" applyFill="1" applyBorder="1" applyAlignment="1">
      <alignment wrapText="1"/>
    </xf>
    <xf numFmtId="169" fontId="33" fillId="0" borderId="66" xfId="93" applyNumberFormat="1" applyFont="1" applyFill="1" applyBorder="1" applyAlignment="1">
      <alignment wrapText="1"/>
    </xf>
    <xf numFmtId="0" fontId="30" fillId="0" borderId="66" xfId="10" applyFont="1" applyFill="1" applyBorder="1" applyAlignment="1">
      <alignment horizontal="left" wrapText="1"/>
    </xf>
    <xf numFmtId="177" fontId="30" fillId="0" borderId="66" xfId="16" applyNumberFormat="1" applyFont="1" applyFill="1" applyBorder="1" applyAlignment="1">
      <alignment horizontal="right" wrapText="1"/>
    </xf>
    <xf numFmtId="174" fontId="10" fillId="0" borderId="66" xfId="10" applyNumberFormat="1" applyFont="1" applyFill="1" applyBorder="1"/>
    <xf numFmtId="0" fontId="10" fillId="0" borderId="66" xfId="10" applyFont="1" applyFill="1" applyBorder="1"/>
    <xf numFmtId="169" fontId="10" fillId="0" borderId="66" xfId="3" applyFont="1" applyFill="1" applyBorder="1"/>
    <xf numFmtId="0" fontId="10" fillId="0" borderId="66" xfId="9" applyFont="1" applyFill="1" applyBorder="1" applyAlignment="1">
      <alignment wrapText="1"/>
    </xf>
    <xf numFmtId="1" fontId="10" fillId="0" borderId="66" xfId="7" applyNumberFormat="1" applyFont="1" applyBorder="1" applyAlignment="1" applyProtection="1"/>
    <xf numFmtId="189" fontId="30" fillId="0" borderId="66" xfId="16" applyNumberFormat="1" applyFont="1" applyFill="1" applyBorder="1" applyAlignment="1"/>
    <xf numFmtId="0" fontId="30" fillId="0" borderId="66" xfId="10" applyFont="1" applyFill="1" applyBorder="1" applyAlignment="1" applyProtection="1">
      <alignment horizontal="left"/>
    </xf>
    <xf numFmtId="0" fontId="10" fillId="0" borderId="0" xfId="10" applyFont="1" applyBorder="1"/>
    <xf numFmtId="0" fontId="9" fillId="0" borderId="0" xfId="0" applyFont="1" applyBorder="1" applyAlignment="1"/>
    <xf numFmtId="1" fontId="10" fillId="0" borderId="66" xfId="7" applyNumberFormat="1" applyFont="1" applyBorder="1" applyAlignment="1" applyProtection="1">
      <alignment wrapText="1"/>
    </xf>
    <xf numFmtId="0" fontId="10" fillId="0" borderId="66" xfId="10" applyFont="1" applyBorder="1"/>
    <xf numFmtId="1" fontId="10" fillId="0" borderId="66" xfId="10" applyNumberFormat="1" applyFont="1" applyFill="1" applyBorder="1"/>
    <xf numFmtId="177" fontId="30" fillId="0" borderId="66" xfId="16" applyNumberFormat="1" applyFont="1" applyFill="1" applyBorder="1" applyAlignment="1">
      <alignment horizontal="right"/>
    </xf>
    <xf numFmtId="11" fontId="30" fillId="0" borderId="66" xfId="10" applyNumberFormat="1" applyFont="1" applyFill="1" applyBorder="1" applyAlignment="1">
      <alignment horizontal="right"/>
    </xf>
    <xf numFmtId="43" fontId="30" fillId="0" borderId="66" xfId="16" applyFont="1" applyFill="1" applyBorder="1" applyAlignment="1">
      <alignment horizontal="right"/>
    </xf>
    <xf numFmtId="0" fontId="30" fillId="0" borderId="66" xfId="10" applyFont="1" applyFill="1" applyBorder="1" applyAlignment="1">
      <alignment horizontal="right"/>
    </xf>
    <xf numFmtId="169" fontId="33" fillId="0" borderId="66" xfId="93" applyNumberFormat="1" applyFont="1" applyFill="1" applyBorder="1" applyAlignment="1">
      <alignment horizontal="right"/>
    </xf>
    <xf numFmtId="0" fontId="30" fillId="0" borderId="66" xfId="101" applyFont="1" applyFill="1" applyBorder="1"/>
    <xf numFmtId="0" fontId="30" fillId="0" borderId="66" xfId="101" applyNumberFormat="1" applyFont="1" applyFill="1" applyBorder="1"/>
    <xf numFmtId="0" fontId="30" fillId="0" borderId="66" xfId="101" applyFont="1" applyFill="1" applyBorder="1" applyAlignment="1"/>
    <xf numFmtId="169" fontId="30" fillId="0" borderId="66" xfId="18" applyFont="1" applyFill="1" applyBorder="1" applyAlignment="1"/>
    <xf numFmtId="0" fontId="30" fillId="0" borderId="66" xfId="101" applyNumberFormat="1" applyFont="1" applyFill="1" applyBorder="1" applyAlignment="1"/>
    <xf numFmtId="0" fontId="30" fillId="0" borderId="66" xfId="9" applyFont="1" applyFill="1" applyBorder="1" applyAlignment="1"/>
    <xf numFmtId="0" fontId="0" fillId="0" borderId="0" xfId="0" applyFont="1" applyAlignment="1">
      <alignment wrapText="1"/>
    </xf>
    <xf numFmtId="0" fontId="0" fillId="0" borderId="19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30" fillId="0" borderId="66" xfId="70" applyNumberFormat="1" applyFont="1" applyFill="1" applyBorder="1"/>
    <xf numFmtId="178" fontId="30" fillId="0" borderId="66" xfId="70" applyNumberFormat="1" applyFont="1" applyFill="1" applyBorder="1"/>
    <xf numFmtId="11" fontId="30" fillId="0" borderId="66" xfId="102" applyNumberFormat="1" applyFont="1" applyFill="1" applyBorder="1"/>
    <xf numFmtId="43" fontId="30" fillId="0" borderId="66" xfId="70" applyFont="1" applyFill="1" applyBorder="1"/>
    <xf numFmtId="0" fontId="30" fillId="0" borderId="66" xfId="102" applyFont="1" applyFill="1" applyBorder="1"/>
    <xf numFmtId="190" fontId="30" fillId="0" borderId="66" xfId="18" applyNumberFormat="1" applyFont="1" applyFill="1" applyBorder="1"/>
    <xf numFmtId="177" fontId="30" fillId="0" borderId="66" xfId="70" applyNumberFormat="1" applyFont="1" applyFill="1" applyBorder="1" applyAlignment="1">
      <alignment horizontal="right" vertical="center"/>
    </xf>
    <xf numFmtId="11" fontId="30" fillId="0" borderId="66" xfId="102" applyNumberFormat="1" applyFont="1" applyFill="1" applyBorder="1" applyAlignment="1">
      <alignment wrapText="1"/>
    </xf>
    <xf numFmtId="172" fontId="30" fillId="0" borderId="66" xfId="102" applyNumberFormat="1" applyFont="1" applyFill="1" applyBorder="1"/>
    <xf numFmtId="0" fontId="30" fillId="0" borderId="58" xfId="10" applyFont="1" applyFill="1" applyBorder="1" applyAlignment="1">
      <alignment wrapText="1"/>
    </xf>
    <xf numFmtId="175" fontId="30" fillId="0" borderId="66" xfId="70" applyNumberFormat="1" applyFont="1" applyFill="1" applyBorder="1" applyAlignment="1">
      <alignment vertical="center"/>
    </xf>
    <xf numFmtId="0" fontId="30" fillId="0" borderId="0" xfId="10" applyFont="1" applyFill="1" applyBorder="1"/>
    <xf numFmtId="188" fontId="40" fillId="0" borderId="66" xfId="3" applyNumberFormat="1" applyFont="1" applyFill="1" applyBorder="1" applyAlignment="1">
      <alignment horizontal="right" wrapText="1"/>
    </xf>
    <xf numFmtId="0" fontId="1" fillId="0" borderId="66" xfId="94" applyBorder="1" applyAlignment="1">
      <alignment wrapText="1"/>
    </xf>
    <xf numFmtId="1" fontId="30" fillId="0" borderId="66" xfId="85" applyNumberFormat="1" applyFont="1" applyFill="1" applyBorder="1" applyAlignment="1">
      <alignment wrapText="1"/>
    </xf>
    <xf numFmtId="189" fontId="30" fillId="0" borderId="66" xfId="85" applyNumberFormat="1" applyFont="1" applyFill="1" applyBorder="1" applyAlignment="1">
      <alignment wrapText="1"/>
    </xf>
    <xf numFmtId="43" fontId="30" fillId="0" borderId="66" xfId="85" applyFont="1" applyFill="1" applyBorder="1" applyAlignment="1">
      <alignment wrapText="1"/>
    </xf>
    <xf numFmtId="178" fontId="30" fillId="0" borderId="66" xfId="85" applyNumberFormat="1" applyFont="1" applyFill="1" applyBorder="1" applyAlignment="1">
      <alignment wrapText="1"/>
    </xf>
    <xf numFmtId="11" fontId="30" fillId="0" borderId="66" xfId="103" applyNumberFormat="1" applyFont="1" applyFill="1" applyBorder="1" applyAlignment="1">
      <alignment wrapText="1"/>
    </xf>
    <xf numFmtId="0" fontId="30" fillId="0" borderId="66" xfId="103" applyFont="1" applyFill="1" applyBorder="1" applyAlignment="1">
      <alignment wrapText="1"/>
    </xf>
    <xf numFmtId="172" fontId="0" fillId="0" borderId="66" xfId="0" applyNumberFormat="1" applyBorder="1"/>
    <xf numFmtId="171" fontId="30" fillId="0" borderId="66" xfId="91" applyNumberFormat="1" applyFont="1" applyFill="1" applyBorder="1" applyAlignment="1">
      <alignment wrapText="1"/>
    </xf>
    <xf numFmtId="0" fontId="30" fillId="0" borderId="66" xfId="103" applyFont="1" applyFill="1" applyBorder="1" applyAlignment="1" applyProtection="1">
      <alignment vertical="center" wrapText="1"/>
    </xf>
    <xf numFmtId="2" fontId="30" fillId="0" borderId="66" xfId="94" applyNumberFormat="1" applyFont="1" applyFill="1" applyBorder="1" applyAlignment="1">
      <alignment wrapText="1"/>
    </xf>
    <xf numFmtId="0" fontId="9" fillId="0" borderId="0" xfId="0" applyFont="1" applyBorder="1" applyAlignment="1">
      <alignment wrapText="1"/>
    </xf>
    <xf numFmtId="1" fontId="30" fillId="0" borderId="66" xfId="85" applyNumberFormat="1" applyFont="1" applyFill="1" applyBorder="1" applyAlignment="1"/>
    <xf numFmtId="189" fontId="30" fillId="0" borderId="66" xfId="85" applyNumberFormat="1" applyFont="1" applyFill="1" applyBorder="1" applyAlignment="1"/>
    <xf numFmtId="177" fontId="30" fillId="0" borderId="66" xfId="85" applyNumberFormat="1" applyFont="1" applyFill="1" applyBorder="1" applyAlignment="1"/>
    <xf numFmtId="11" fontId="30" fillId="0" borderId="66" xfId="85" applyNumberFormat="1" applyFont="1" applyFill="1" applyBorder="1" applyAlignment="1"/>
    <xf numFmtId="11" fontId="30" fillId="0" borderId="66" xfId="103" applyNumberFormat="1" applyFont="1" applyFill="1" applyBorder="1" applyAlignment="1"/>
    <xf numFmtId="43" fontId="30" fillId="0" borderId="66" xfId="85" applyFont="1" applyFill="1" applyBorder="1" applyAlignment="1"/>
    <xf numFmtId="0" fontId="30" fillId="0" borderId="66" xfId="103" applyFont="1" applyFill="1" applyBorder="1" applyAlignment="1"/>
    <xf numFmtId="172" fontId="0" fillId="0" borderId="66" xfId="0" applyNumberFormat="1" applyBorder="1" applyAlignment="1"/>
    <xf numFmtId="171" fontId="30" fillId="0" borderId="66" xfId="91" applyNumberFormat="1" applyFont="1" applyFill="1" applyBorder="1" applyAlignment="1"/>
    <xf numFmtId="0" fontId="30" fillId="0" borderId="66" xfId="103" applyFont="1" applyFill="1" applyBorder="1" applyAlignment="1" applyProtection="1">
      <alignment vertical="center"/>
    </xf>
    <xf numFmtId="0" fontId="17" fillId="8" borderId="71" xfId="1" applyFont="1" applyFill="1" applyBorder="1" applyAlignment="1">
      <alignment horizontal="left"/>
    </xf>
    <xf numFmtId="18" fontId="17" fillId="8" borderId="71" xfId="1" applyNumberFormat="1" applyFont="1" applyFill="1" applyBorder="1" applyAlignment="1" applyProtection="1">
      <alignment horizontal="right"/>
      <protection locked="0"/>
    </xf>
    <xf numFmtId="18" fontId="17" fillId="8" borderId="71" xfId="1" applyNumberFormat="1" applyFont="1" applyFill="1" applyBorder="1" applyAlignment="1" applyProtection="1">
      <protection locked="0"/>
    </xf>
    <xf numFmtId="0" fontId="24" fillId="8" borderId="71" xfId="8" applyFill="1" applyBorder="1" applyAlignment="1">
      <alignment horizontal="left"/>
    </xf>
    <xf numFmtId="171" fontId="17" fillId="8" borderId="71" xfId="5" applyNumberFormat="1" applyFont="1" applyFill="1" applyBorder="1" applyProtection="1">
      <protection locked="0"/>
    </xf>
    <xf numFmtId="37" fontId="17" fillId="8" borderId="71" xfId="1" applyNumberFormat="1" applyFont="1" applyFill="1" applyBorder="1" applyAlignment="1" applyProtection="1">
      <alignment horizontal="center"/>
      <protection locked="0"/>
    </xf>
    <xf numFmtId="171" fontId="17" fillId="8" borderId="71" xfId="1" applyNumberFormat="1" applyFont="1" applyFill="1" applyBorder="1" applyAlignment="1" applyProtection="1">
      <alignment horizontal="center"/>
      <protection locked="0"/>
    </xf>
    <xf numFmtId="171" fontId="17" fillId="8" borderId="71" xfId="1" applyNumberFormat="1" applyFont="1" applyFill="1" applyBorder="1" applyAlignment="1">
      <alignment horizontal="right"/>
    </xf>
    <xf numFmtId="0" fontId="17" fillId="8" borderId="66" xfId="1" applyFont="1" applyFill="1" applyBorder="1" applyProtection="1">
      <protection locked="0"/>
    </xf>
    <xf numFmtId="0" fontId="17" fillId="8" borderId="66" xfId="1" applyFont="1" applyFill="1" applyBorder="1" applyAlignment="1">
      <alignment horizontal="left"/>
    </xf>
    <xf numFmtId="18" fontId="17" fillId="8" borderId="66" xfId="1" applyNumberFormat="1" applyFont="1" applyFill="1" applyBorder="1" applyAlignment="1" applyProtection="1">
      <alignment horizontal="right"/>
      <protection locked="0"/>
    </xf>
    <xf numFmtId="18" fontId="17" fillId="8" borderId="66" xfId="1" applyNumberFormat="1" applyFont="1" applyFill="1" applyBorder="1" applyAlignment="1" applyProtection="1">
      <protection locked="0"/>
    </xf>
    <xf numFmtId="0" fontId="24" fillId="8" borderId="66" xfId="8" applyFill="1" applyBorder="1" applyAlignment="1">
      <alignment horizontal="left"/>
    </xf>
    <xf numFmtId="171" fontId="17" fillId="8" borderId="66" xfId="5" applyNumberFormat="1" applyFont="1" applyFill="1" applyBorder="1" applyProtection="1">
      <protection locked="0"/>
    </xf>
    <xf numFmtId="37" fontId="17" fillId="8" borderId="66" xfId="1" applyNumberFormat="1" applyFont="1" applyFill="1" applyBorder="1" applyAlignment="1" applyProtection="1">
      <alignment horizontal="center"/>
      <protection locked="0"/>
    </xf>
    <xf numFmtId="171" fontId="17" fillId="8" borderId="66" xfId="1" applyNumberFormat="1" applyFont="1" applyFill="1" applyBorder="1" applyAlignment="1" applyProtection="1">
      <alignment horizontal="center"/>
      <protection locked="0"/>
    </xf>
    <xf numFmtId="171" fontId="17" fillId="8" borderId="66" xfId="1" applyNumberFormat="1" applyFont="1" applyFill="1" applyBorder="1" applyAlignment="1">
      <alignment horizontal="right"/>
    </xf>
    <xf numFmtId="0" fontId="17" fillId="8" borderId="66" xfId="1" applyFont="1" applyFill="1" applyBorder="1" applyAlignment="1">
      <alignment horizontal="center"/>
    </xf>
    <xf numFmtId="0" fontId="17" fillId="8" borderId="58" xfId="1" applyFont="1" applyFill="1" applyBorder="1" applyProtection="1">
      <protection locked="0"/>
    </xf>
    <xf numFmtId="0" fontId="17" fillId="8" borderId="58" xfId="1" applyFont="1" applyFill="1" applyBorder="1" applyAlignment="1">
      <alignment horizontal="left"/>
    </xf>
    <xf numFmtId="18" fontId="17" fillId="8" borderId="58" xfId="1" applyNumberFormat="1" applyFont="1" applyFill="1" applyBorder="1" applyAlignment="1" applyProtection="1">
      <alignment horizontal="right"/>
      <protection locked="0"/>
    </xf>
    <xf numFmtId="18" fontId="17" fillId="8" borderId="58" xfId="1" applyNumberFormat="1" applyFont="1" applyFill="1" applyBorder="1" applyAlignment="1" applyProtection="1">
      <protection locked="0"/>
    </xf>
    <xf numFmtId="0" fontId="24" fillId="8" borderId="58" xfId="8" applyFill="1" applyBorder="1" applyAlignment="1">
      <alignment horizontal="left"/>
    </xf>
    <xf numFmtId="171" fontId="17" fillId="8" borderId="58" xfId="5" applyNumberFormat="1" applyFont="1" applyFill="1" applyBorder="1" applyProtection="1">
      <protection locked="0"/>
    </xf>
    <xf numFmtId="37" fontId="17" fillId="8" borderId="58" xfId="1" applyNumberFormat="1" applyFont="1" applyFill="1" applyBorder="1" applyAlignment="1" applyProtection="1">
      <alignment horizontal="center"/>
      <protection locked="0"/>
    </xf>
    <xf numFmtId="171" fontId="17" fillId="8" borderId="58" xfId="1" applyNumberFormat="1" applyFont="1" applyFill="1" applyBorder="1" applyAlignment="1" applyProtection="1">
      <alignment horizontal="center"/>
      <protection locked="0"/>
    </xf>
    <xf numFmtId="171" fontId="17" fillId="8" borderId="58" xfId="1" applyNumberFormat="1" applyFont="1" applyFill="1" applyBorder="1" applyAlignment="1">
      <alignment horizontal="right"/>
    </xf>
    <xf numFmtId="0" fontId="17" fillId="8" borderId="58" xfId="1" applyFont="1" applyFill="1" applyBorder="1" applyAlignment="1">
      <alignment horizontal="center"/>
    </xf>
    <xf numFmtId="0" fontId="17" fillId="0" borderId="72" xfId="1" applyFont="1" applyFill="1" applyBorder="1" applyProtection="1">
      <protection locked="0"/>
    </xf>
    <xf numFmtId="0" fontId="17" fillId="0" borderId="73" xfId="1" applyFont="1" applyFill="1" applyBorder="1" applyAlignment="1">
      <alignment horizontal="left"/>
    </xf>
    <xf numFmtId="18" fontId="17" fillId="0" borderId="73" xfId="1" applyNumberFormat="1" applyFont="1" applyFill="1" applyBorder="1" applyAlignment="1" applyProtection="1">
      <protection locked="0"/>
    </xf>
    <xf numFmtId="170" fontId="17" fillId="0" borderId="73" xfId="5" applyFont="1" applyFill="1" applyBorder="1" applyProtection="1">
      <protection locked="0"/>
    </xf>
    <xf numFmtId="0" fontId="17" fillId="0" borderId="73" xfId="1" applyFont="1" applyFill="1" applyBorder="1" applyAlignment="1" applyProtection="1">
      <alignment horizontal="center"/>
      <protection locked="0"/>
    </xf>
    <xf numFmtId="171" fontId="17" fillId="0" borderId="73" xfId="1" applyNumberFormat="1" applyFont="1" applyFill="1" applyBorder="1" applyAlignment="1">
      <alignment horizontal="right"/>
    </xf>
    <xf numFmtId="0" fontId="17" fillId="0" borderId="74" xfId="1" applyFont="1" applyFill="1" applyBorder="1" applyAlignment="1">
      <alignment horizontal="center"/>
    </xf>
    <xf numFmtId="0" fontId="17" fillId="7" borderId="66" xfId="1" applyFont="1" applyFill="1" applyBorder="1" applyProtection="1">
      <protection locked="0"/>
    </xf>
    <xf numFmtId="0" fontId="17" fillId="7" borderId="66" xfId="1" applyFont="1" applyFill="1" applyBorder="1" applyAlignment="1">
      <alignment horizontal="left"/>
    </xf>
    <xf numFmtId="18" fontId="17" fillId="7" borderId="66" xfId="1" applyNumberFormat="1" applyFont="1" applyFill="1" applyBorder="1" applyAlignment="1" applyProtection="1">
      <alignment horizontal="right"/>
      <protection locked="0"/>
    </xf>
    <xf numFmtId="18" fontId="17" fillId="7" borderId="66" xfId="1" applyNumberFormat="1" applyFont="1" applyFill="1" applyBorder="1" applyAlignment="1" applyProtection="1">
      <protection locked="0"/>
    </xf>
    <xf numFmtId="0" fontId="24" fillId="7" borderId="66" xfId="8" applyFill="1" applyBorder="1" applyAlignment="1">
      <alignment horizontal="left"/>
    </xf>
    <xf numFmtId="171" fontId="17" fillId="7" borderId="66" xfId="5" applyNumberFormat="1" applyFont="1" applyFill="1" applyBorder="1" applyProtection="1">
      <protection locked="0"/>
    </xf>
    <xf numFmtId="37" fontId="17" fillId="7" borderId="66" xfId="1" applyNumberFormat="1" applyFont="1" applyFill="1" applyBorder="1" applyAlignment="1" applyProtection="1">
      <alignment horizontal="center"/>
      <protection locked="0"/>
    </xf>
    <xf numFmtId="171" fontId="17" fillId="7" borderId="66" xfId="1" applyNumberFormat="1" applyFont="1" applyFill="1" applyBorder="1" applyAlignment="1" applyProtection="1">
      <alignment horizontal="center"/>
      <protection locked="0"/>
    </xf>
    <xf numFmtId="171" fontId="17" fillId="7" borderId="66" xfId="1" applyNumberFormat="1" applyFont="1" applyFill="1" applyBorder="1" applyAlignment="1">
      <alignment horizontal="right"/>
    </xf>
    <xf numFmtId="0" fontId="17" fillId="7" borderId="66" xfId="1" applyFont="1" applyFill="1" applyBorder="1" applyAlignment="1">
      <alignment horizontal="center"/>
    </xf>
    <xf numFmtId="18" fontId="17" fillId="7" borderId="66" xfId="1" applyNumberFormat="1" applyFont="1" applyFill="1" applyBorder="1" applyAlignment="1" applyProtection="1">
      <alignment horizontal="left"/>
      <protection locked="0"/>
    </xf>
    <xf numFmtId="0" fontId="17" fillId="8" borderId="75" xfId="1" applyFont="1" applyFill="1" applyBorder="1" applyProtection="1">
      <protection locked="0"/>
    </xf>
    <xf numFmtId="0" fontId="17" fillId="8" borderId="76" xfId="1" applyFont="1" applyFill="1" applyBorder="1" applyAlignment="1">
      <alignment horizontal="center"/>
    </xf>
  </cellXfs>
  <cellStyles count="104">
    <cellStyle name="Comma 2" xfId="5" xr:uid="{00000000-0005-0000-0000-000000000000}"/>
    <cellStyle name="Comma 2 2" xfId="21" xr:uid="{00000000-0005-0000-0000-000001000000}"/>
    <cellStyle name="Comma 2 2 2" xfId="47" xr:uid="{00000000-0005-0000-0000-000001000000}"/>
    <cellStyle name="Comma 2 2 3" xfId="63" xr:uid="{00000000-0005-0000-0000-000001000000}"/>
    <cellStyle name="Comma 2 2 4" xfId="78" xr:uid="{00000000-0005-0000-0000-000001000000}"/>
    <cellStyle name="Comma 2 3" xfId="12" xr:uid="{00000000-0005-0000-0000-000000000000}"/>
    <cellStyle name="Cost_Green" xfId="4" xr:uid="{00000000-0005-0000-0000-000001000000}"/>
    <cellStyle name="Currency 2" xfId="2" xr:uid="{00000000-0005-0000-0000-000002000000}"/>
    <cellStyle name="Currency 2 2" xfId="30" xr:uid="{00000000-0005-0000-0000-000006000000}"/>
    <cellStyle name="Excel Built-in Explanatory Text" xfId="36" xr:uid="{00000000-0005-0000-0000-000007000000}"/>
    <cellStyle name="Excel Built-in Explanatory Text 2" xfId="53" xr:uid="{00000000-0005-0000-0000-000007000000}"/>
    <cellStyle name="Excel Built-in Explanatory Text 3" xfId="58" xr:uid="{00000000-0005-0000-0000-000007000000}"/>
    <cellStyle name="Excel Built-in Explanatory Text 4" xfId="69" xr:uid="{00000000-0005-0000-0000-000007000000}"/>
    <cellStyle name="Excel Built-in Explanatory Text 5" xfId="84" xr:uid="{00000000-0005-0000-0000-000007000000}"/>
    <cellStyle name="Lien hypertexte" xfId="8" builtinId="8"/>
    <cellStyle name="Lien hypertexte 2" xfId="13" xr:uid="{00000000-0005-0000-0000-000041000000}"/>
    <cellStyle name="Milliers 2" xfId="16" xr:uid="{00000000-0005-0000-0000-000022000000}"/>
    <cellStyle name="Milliers 2 2" xfId="38" xr:uid="{00000000-0005-0000-0000-000023000000}"/>
    <cellStyle name="Milliers 2 2 2" xfId="54" xr:uid="{00000000-0005-0000-0000-000023000000}"/>
    <cellStyle name="Milliers 2 2 3" xfId="70" xr:uid="{00000000-0005-0000-0000-000023000000}"/>
    <cellStyle name="Milliers 2 2 4" xfId="85" xr:uid="{00000000-0005-0000-0000-000023000000}"/>
    <cellStyle name="Milliers 2 3" xfId="90" xr:uid="{B350DDDE-3AA2-483D-A36D-2D5D54FD402D}"/>
    <cellStyle name="Milliers 3" xfId="22" xr:uid="{00000000-0005-0000-0000-000024000000}"/>
    <cellStyle name="Milliers 3 2" xfId="20" xr:uid="{00000000-0005-0000-0000-000025000000}"/>
    <cellStyle name="Milliers 3 2 2" xfId="46" xr:uid="{00000000-0005-0000-0000-000025000000}"/>
    <cellStyle name="Milliers 3 2 3" xfId="62" xr:uid="{00000000-0005-0000-0000-000025000000}"/>
    <cellStyle name="Milliers 3 2 4" xfId="77" xr:uid="{00000000-0005-0000-0000-000025000000}"/>
    <cellStyle name="Milliers 3 3" xfId="48" xr:uid="{00000000-0005-0000-0000-000024000000}"/>
    <cellStyle name="Milliers 3 4" xfId="64" xr:uid="{00000000-0005-0000-0000-000024000000}"/>
    <cellStyle name="Milliers 3 5" xfId="79" xr:uid="{00000000-0005-0000-0000-000024000000}"/>
    <cellStyle name="Milliers 4" xfId="33" xr:uid="{00000000-0005-0000-0000-000026000000}"/>
    <cellStyle name="Milliers 5" xfId="17" xr:uid="{00000000-0005-0000-0000-000042000000}"/>
    <cellStyle name="Milliers 6" xfId="45" xr:uid="{00000000-0005-0000-0000-00005F000000}"/>
    <cellStyle name="Milliers 7" xfId="61" xr:uid="{00000000-0005-0000-0000-00006F000000}"/>
    <cellStyle name="Milliers 8" xfId="76" xr:uid="{00000000-0005-0000-0000-00007E000000}"/>
    <cellStyle name="Monétaire" xfId="91" builtinId="4"/>
    <cellStyle name="Monétaire 10" xfId="18" xr:uid="{00000000-0005-0000-0000-000028000000}"/>
    <cellStyle name="Monétaire 10 2" xfId="29" xr:uid="{00000000-0005-0000-0000-000029000000}"/>
    <cellStyle name="Monétaire 2" xfId="3" xr:uid="{00000000-0005-0000-0000-000004000000}"/>
    <cellStyle name="Monétaire 2 3" xfId="25" xr:uid="{00000000-0005-0000-0000-00002B000000}"/>
    <cellStyle name="Monétaire 2 3 2" xfId="51" xr:uid="{00000000-0005-0000-0000-00002B000000}"/>
    <cellStyle name="Monétaire 2 3 3" xfId="40" xr:uid="{00000000-0005-0000-0000-00002C000000}"/>
    <cellStyle name="Monétaire 2 3 3 2" xfId="56" xr:uid="{00000000-0005-0000-0000-00002C000000}"/>
    <cellStyle name="Monétaire 2 3 3 3" xfId="72" xr:uid="{00000000-0005-0000-0000-00002C000000}"/>
    <cellStyle name="Monétaire 2 3 3 4" xfId="87" xr:uid="{00000000-0005-0000-0000-00002C000000}"/>
    <cellStyle name="Monétaire 2 3 4" xfId="67" xr:uid="{00000000-0005-0000-0000-00002B000000}"/>
    <cellStyle name="Monétaire 2 3 5" xfId="82" xr:uid="{00000000-0005-0000-0000-00002B000000}"/>
    <cellStyle name="Monétaire 2 3 6" xfId="100" xr:uid="{F0F17C7A-5AC4-44B8-B2CD-3276C0BC76C5}"/>
    <cellStyle name="Monétaire 3" xfId="15" xr:uid="{00000000-0005-0000-0000-00002D000000}"/>
    <cellStyle name="Monétaire 3 2" xfId="44" xr:uid="{00000000-0005-0000-0000-00002D000000}"/>
    <cellStyle name="Monétaire 3 3" xfId="60" xr:uid="{00000000-0005-0000-0000-00002D000000}"/>
    <cellStyle name="Monétaire 3 4" xfId="75" xr:uid="{00000000-0005-0000-0000-00002D000000}"/>
    <cellStyle name="Monétaire 35" xfId="27" xr:uid="{00000000-0005-0000-0000-00002E000000}"/>
    <cellStyle name="Monétaire 4 3" xfId="39" xr:uid="{00000000-0005-0000-0000-00002F000000}"/>
    <cellStyle name="Monétaire 4 3 2" xfId="55" xr:uid="{00000000-0005-0000-0000-00002F000000}"/>
    <cellStyle name="Monétaire 4 3 3" xfId="71" xr:uid="{00000000-0005-0000-0000-00002F000000}"/>
    <cellStyle name="Monétaire 4 3 4" xfId="86" xr:uid="{00000000-0005-0000-0000-00002F000000}"/>
    <cellStyle name="Monétaire 7" xfId="24" xr:uid="{00000000-0005-0000-0000-000030000000}"/>
    <cellStyle name="Monétaire 7 2" xfId="50" xr:uid="{00000000-0005-0000-0000-000030000000}"/>
    <cellStyle name="Monétaire 7 3" xfId="66" xr:uid="{00000000-0005-0000-0000-000030000000}"/>
    <cellStyle name="Monétaire 7 4" xfId="81" xr:uid="{00000000-0005-0000-0000-000030000000}"/>
    <cellStyle name="Neutre" xfId="93" builtinId="28"/>
    <cellStyle name="Neutre 2" xfId="19" xr:uid="{00000000-0005-0000-0000-000050000000}"/>
    <cellStyle name="Normal" xfId="0" builtinId="0"/>
    <cellStyle name="Normal 10" xfId="35" xr:uid="{00000000-0005-0000-0000-000033000000}"/>
    <cellStyle name="Normal 11" xfId="95" xr:uid="{78BFE6F8-C311-4CC5-AB09-9696AE2BDE35}"/>
    <cellStyle name="Normal 12" xfId="96" xr:uid="{5DF9A322-380A-472B-A766-C7EA9263D420}"/>
    <cellStyle name="Normal 2" xfId="1" xr:uid="{00000000-0005-0000-0000-000006000000}"/>
    <cellStyle name="Normal 2 2" xfId="31" xr:uid="{00000000-0005-0000-0000-000035000000}"/>
    <cellStyle name="Normal 2 2 4" xfId="28" xr:uid="{00000000-0005-0000-0000-000036000000}"/>
    <cellStyle name="Normal 2 2 4 2" xfId="52" xr:uid="{00000000-0005-0000-0000-000036000000}"/>
    <cellStyle name="Normal 2 2 4 2 2" xfId="97" xr:uid="{C0B2436F-CAD9-4811-AB82-FD3242B13D56}"/>
    <cellStyle name="Normal 2 2 4 3" xfId="68" xr:uid="{00000000-0005-0000-0000-000036000000}"/>
    <cellStyle name="Normal 2 2 4 3 2" xfId="101" xr:uid="{3C1DB2FF-3DAB-4C03-8416-6B4D02624791}"/>
    <cellStyle name="Normal 2 2 4 4" xfId="23" xr:uid="{00000000-0005-0000-0000-000037000000}"/>
    <cellStyle name="Normal 2 2 4 4 2" xfId="49" xr:uid="{00000000-0005-0000-0000-000037000000}"/>
    <cellStyle name="Normal 2 2 4 4 3" xfId="65" xr:uid="{00000000-0005-0000-0000-000037000000}"/>
    <cellStyle name="Normal 2 2 4 4 4" xfId="80" xr:uid="{00000000-0005-0000-0000-000037000000}"/>
    <cellStyle name="Normal 2 2 4 4 4 2" xfId="94" xr:uid="{57935CA3-111B-41B0-9143-97DB15BFD585}"/>
    <cellStyle name="Normal 2 2 4 5" xfId="83" xr:uid="{00000000-0005-0000-0000-000036000000}"/>
    <cellStyle name="Normal 3" xfId="6" xr:uid="{00000000-0005-0000-0000-000007000000}"/>
    <cellStyle name="Normal 3 2" xfId="32" xr:uid="{00000000-0005-0000-0000-000038000000}"/>
    <cellStyle name="Normal 3 3" xfId="42" xr:uid="{00000000-0005-0000-0000-000007000000}"/>
    <cellStyle name="Normal 3 4" xfId="89" xr:uid="{A591439E-2A27-4FE3-A23B-6ACCA1405A9F}"/>
    <cellStyle name="Normal 4" xfId="10" xr:uid="{1D7D3878-167F-45A6-945C-8A730F98CCEE}"/>
    <cellStyle name="Normal 5" xfId="11" xr:uid="{00000000-0005-0000-0000-000051000000}"/>
    <cellStyle name="Normal 5 2" xfId="98" xr:uid="{500C2758-06AD-4506-88C0-498A6AA3B701}"/>
    <cellStyle name="Normal 6" xfId="26" xr:uid="{00000000-0005-0000-0000-00003A000000}"/>
    <cellStyle name="Normal 7" xfId="43" xr:uid="{00000000-0005-0000-0000-000068000000}"/>
    <cellStyle name="Normal 7 2" xfId="99" xr:uid="{6DDD4171-1001-4C10-8227-CA240FF2A8DD}"/>
    <cellStyle name="Normal 8" xfId="59" xr:uid="{00000000-0005-0000-0000-000078000000}"/>
    <cellStyle name="Normal 8 2" xfId="102" xr:uid="{8C9F702C-9A7B-4A1F-A12E-0AF8A6FF3C9B}"/>
    <cellStyle name="Normal 9" xfId="74" xr:uid="{00000000-0005-0000-0000-000087000000}"/>
    <cellStyle name="Normal 9 2" xfId="103" xr:uid="{AD141027-FC9D-482B-AD07-43426F773400}"/>
    <cellStyle name="Normal_Sheet1" xfId="9" xr:uid="{8CAAA1D9-F6E2-4393-B789-EEC26D2639D7}"/>
    <cellStyle name="Pourcentage 2" xfId="41" xr:uid="{00000000-0005-0000-0000-000058000000}"/>
    <cellStyle name="Pourcentage 3" xfId="57" xr:uid="{00000000-0005-0000-0000-00006B000000}"/>
    <cellStyle name="Pourcentage 4" xfId="73" xr:uid="{00000000-0005-0000-0000-00007B000000}"/>
    <cellStyle name="Pourcentage 5" xfId="88" xr:uid="{00000000-0005-0000-0000-00008A000000}"/>
    <cellStyle name="Satisfaisant" xfId="92" builtinId="26"/>
    <cellStyle name="Satisfaisant 2" xfId="34" xr:uid="{00000000-0005-0000-0000-000059000000}"/>
    <cellStyle name="Style 1" xfId="14" xr:uid="{00000000-0005-0000-0000-00003E000000}"/>
    <cellStyle name="Style 1 2" xfId="37" xr:uid="{00000000-0005-0000-0000-00003F000000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hyperlink" Target="#EN_0300_002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hyperlink" Target="#EN_0300_009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hyperlink" Target="#EN_0300_010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hyperlink" Target="#EN_0300_01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hyperlink" Target="#EN_0300_012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hyperlink" Target="#EN_0300_013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EN_0200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hyperlink" Target="#EN_02002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5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jpe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7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0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226668</xdr:colOff>
      <xdr:row>29</xdr:row>
      <xdr:rowOff>81643</xdr:rowOff>
    </xdr:from>
    <xdr:ext cx="3405506" cy="1646464"/>
    <xdr:pic>
      <xdr:nvPicPr>
        <xdr:cNvPr id="2" name="Image 1">
          <a:extLst>
            <a:ext uri="{FF2B5EF4-FFF2-40B4-BE49-F238E27FC236}">
              <a16:creationId xmlns:a16="http://schemas.microsoft.com/office/drawing/2014/main" id="{D7717832-EA69-49A6-99A0-55B582907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13025" y="5606143"/>
          <a:ext cx="3405506" cy="164646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317500</xdr:colOff>
      <xdr:row>13</xdr:row>
      <xdr:rowOff>114300</xdr:rowOff>
    </xdr:from>
    <xdr:ext cx="1586499" cy="2160170"/>
    <xdr:pic>
      <xdr:nvPicPr>
        <xdr:cNvPr id="2" name="Image 1">
          <a:extLst>
            <a:ext uri="{FF2B5EF4-FFF2-40B4-BE49-F238E27FC236}">
              <a16:creationId xmlns:a16="http://schemas.microsoft.com/office/drawing/2014/main" id="{A3E65309-0AC8-4C14-891A-515FD722F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00" y="2590800"/>
          <a:ext cx="1586499" cy="216017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104175</xdr:colOff>
      <xdr:row>16</xdr:row>
      <xdr:rowOff>82718</xdr:rowOff>
    </xdr:from>
    <xdr:ext cx="2837463" cy="780593"/>
    <xdr:pic>
      <xdr:nvPicPr>
        <xdr:cNvPr id="2" name="Image 1">
          <a:extLst>
            <a:ext uri="{FF2B5EF4-FFF2-40B4-BE49-F238E27FC236}">
              <a16:creationId xmlns:a16="http://schemas.microsoft.com/office/drawing/2014/main" id="{818C1059-83FA-430E-8898-5144AD800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4543469">
          <a:off x="6619010" y="2102283"/>
          <a:ext cx="780593" cy="283746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495301</xdr:colOff>
      <xdr:row>12</xdr:row>
      <xdr:rowOff>152400</xdr:rowOff>
    </xdr:from>
    <xdr:ext cx="1078409" cy="1600200"/>
    <xdr:pic>
      <xdr:nvPicPr>
        <xdr:cNvPr id="2" name="Image 1">
          <a:extLst>
            <a:ext uri="{FF2B5EF4-FFF2-40B4-BE49-F238E27FC236}">
              <a16:creationId xmlns:a16="http://schemas.microsoft.com/office/drawing/2014/main" id="{C57445A6-736F-4265-941A-19BD1CAE8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00901" y="2438400"/>
          <a:ext cx="1078409" cy="1600200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274914</xdr:colOff>
      <xdr:row>12</xdr:row>
      <xdr:rowOff>138769</xdr:rowOff>
    </xdr:from>
    <xdr:ext cx="2481918" cy="877230"/>
    <xdr:pic>
      <xdr:nvPicPr>
        <xdr:cNvPr id="2" name="Image 1">
          <a:extLst>
            <a:ext uri="{FF2B5EF4-FFF2-40B4-BE49-F238E27FC236}">
              <a16:creationId xmlns:a16="http://schemas.microsoft.com/office/drawing/2014/main" id="{8D788448-A191-421B-A603-3590B4461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6563658" y="1622425"/>
          <a:ext cx="877230" cy="2481918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259773</xdr:colOff>
      <xdr:row>32</xdr:row>
      <xdr:rowOff>64248</xdr:rowOff>
    </xdr:from>
    <xdr:ext cx="3203864" cy="3676479"/>
    <xdr:pic>
      <xdr:nvPicPr>
        <xdr:cNvPr id="2" name="Image 1">
          <a:extLst>
            <a:ext uri="{FF2B5EF4-FFF2-40B4-BE49-F238E27FC236}">
              <a16:creationId xmlns:a16="http://schemas.microsoft.com/office/drawing/2014/main" id="{00458804-B61C-41A9-97D7-6B80C9674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0" y="6160248"/>
          <a:ext cx="3203864" cy="3676479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317502</xdr:colOff>
      <xdr:row>12</xdr:row>
      <xdr:rowOff>140144</xdr:rowOff>
    </xdr:from>
    <xdr:ext cx="1447798" cy="1443524"/>
    <xdr:pic>
      <xdr:nvPicPr>
        <xdr:cNvPr id="2" name="Image 1">
          <a:extLst>
            <a:ext uri="{FF2B5EF4-FFF2-40B4-BE49-F238E27FC236}">
              <a16:creationId xmlns:a16="http://schemas.microsoft.com/office/drawing/2014/main" id="{F4D6E9EE-5B21-4E30-88C1-57B63037C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02" y="2426144"/>
          <a:ext cx="1447798" cy="144352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235324</xdr:colOff>
      <xdr:row>13</xdr:row>
      <xdr:rowOff>26671</xdr:rowOff>
    </xdr:from>
    <xdr:ext cx="2635226" cy="1551673"/>
    <xdr:pic>
      <xdr:nvPicPr>
        <xdr:cNvPr id="2" name="Image 1">
          <a:extLst>
            <a:ext uri="{FF2B5EF4-FFF2-40B4-BE49-F238E27FC236}">
              <a16:creationId xmlns:a16="http://schemas.microsoft.com/office/drawing/2014/main" id="{9FDD89CF-9309-4A70-9599-A46C61023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1724" y="2503171"/>
          <a:ext cx="2635226" cy="1551673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</xdr:row>
      <xdr:rowOff>99601</xdr:rowOff>
    </xdr:from>
    <xdr:ext cx="7762875" cy="551926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249772-5238-4BC4-98BC-D11F6E809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290101"/>
          <a:ext cx="7762875" cy="5519269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309255</xdr:colOff>
      <xdr:row>11</xdr:row>
      <xdr:rowOff>98962</xdr:rowOff>
    </xdr:from>
    <xdr:ext cx="1431365" cy="1533896"/>
    <xdr:pic>
      <xdr:nvPicPr>
        <xdr:cNvPr id="2" name="Image 1">
          <a:extLst>
            <a:ext uri="{FF2B5EF4-FFF2-40B4-BE49-F238E27FC236}">
              <a16:creationId xmlns:a16="http://schemas.microsoft.com/office/drawing/2014/main" id="{FA5BED34-2DD1-455C-952F-E7FAAD036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5655" y="2194462"/>
          <a:ext cx="1431365" cy="1533896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390821</xdr:colOff>
      <xdr:row>12</xdr:row>
      <xdr:rowOff>85725</xdr:rowOff>
    </xdr:from>
    <xdr:ext cx="1142256" cy="1561488"/>
    <xdr:pic>
      <xdr:nvPicPr>
        <xdr:cNvPr id="2" name="Image 1">
          <a:extLst>
            <a:ext uri="{FF2B5EF4-FFF2-40B4-BE49-F238E27FC236}">
              <a16:creationId xmlns:a16="http://schemas.microsoft.com/office/drawing/2014/main" id="{8866B2EB-4B85-4F4F-995E-E020FF492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7221" y="2371725"/>
          <a:ext cx="1142256" cy="156148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76201</xdr:colOff>
      <xdr:row>12</xdr:row>
      <xdr:rowOff>101600</xdr:rowOff>
    </xdr:from>
    <xdr:ext cx="2501363" cy="1943100"/>
    <xdr:pic>
      <xdr:nvPicPr>
        <xdr:cNvPr id="2" name="Image 1">
          <a:extLst>
            <a:ext uri="{FF2B5EF4-FFF2-40B4-BE49-F238E27FC236}">
              <a16:creationId xmlns:a16="http://schemas.microsoft.com/office/drawing/2014/main" id="{653ADBDC-7A1A-469B-88E9-04CA872D3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1" y="2387600"/>
          <a:ext cx="2501363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247652</xdr:colOff>
      <xdr:row>2</xdr:row>
      <xdr:rowOff>8911</xdr:rowOff>
    </xdr:from>
    <xdr:ext cx="7534274" cy="5333741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919EC4-1443-412A-98E6-25BC32C73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2" y="389911"/>
          <a:ext cx="7534274" cy="5333741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12</xdr:row>
      <xdr:rowOff>76940</xdr:rowOff>
    </xdr:from>
    <xdr:ext cx="1294909" cy="1694068"/>
    <xdr:pic>
      <xdr:nvPicPr>
        <xdr:cNvPr id="2" name="Image 1">
          <a:extLst>
            <a:ext uri="{FF2B5EF4-FFF2-40B4-BE49-F238E27FC236}">
              <a16:creationId xmlns:a16="http://schemas.microsoft.com/office/drawing/2014/main" id="{69327DA0-A6F8-40D3-BC6B-DD2E911A8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7875" y="2362940"/>
          <a:ext cx="1294909" cy="1694068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152402</xdr:colOff>
      <xdr:row>1</xdr:row>
      <xdr:rowOff>172690</xdr:rowOff>
    </xdr:from>
    <xdr:ext cx="6931249" cy="489461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B05175-EC83-4817-8397-E8802C011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2" y="363190"/>
          <a:ext cx="6931249" cy="4894610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142874</xdr:colOff>
      <xdr:row>12</xdr:row>
      <xdr:rowOff>140249</xdr:rowOff>
    </xdr:from>
    <xdr:ext cx="2247901" cy="1699711"/>
    <xdr:pic>
      <xdr:nvPicPr>
        <xdr:cNvPr id="2" name="Image 1">
          <a:extLst>
            <a:ext uri="{FF2B5EF4-FFF2-40B4-BE49-F238E27FC236}">
              <a16:creationId xmlns:a16="http://schemas.microsoft.com/office/drawing/2014/main" id="{5C3D4184-3119-4992-A87A-5E1177318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4" y="2426249"/>
          <a:ext cx="2247901" cy="1699711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2</xdr:row>
      <xdr:rowOff>161480</xdr:rowOff>
    </xdr:from>
    <xdr:ext cx="6124575" cy="432392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E281D2-55BF-4FB2-AA37-8294E3D9B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542480"/>
          <a:ext cx="6124575" cy="4323926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216807</xdr:colOff>
      <xdr:row>12</xdr:row>
      <xdr:rowOff>76200</xdr:rowOff>
    </xdr:from>
    <xdr:ext cx="1487641" cy="1837674"/>
    <xdr:pic>
      <xdr:nvPicPr>
        <xdr:cNvPr id="2" name="Image 1">
          <a:extLst>
            <a:ext uri="{FF2B5EF4-FFF2-40B4-BE49-F238E27FC236}">
              <a16:creationId xmlns:a16="http://schemas.microsoft.com/office/drawing/2014/main" id="{8B43D47F-A97B-4436-831D-E4A5C4FB1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3207" y="2362200"/>
          <a:ext cx="1487641" cy="1837674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174396</xdr:rowOff>
    </xdr:from>
    <xdr:ext cx="7315200" cy="517777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727AE9-0F6D-4AC8-9BA9-B5E892765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364896"/>
          <a:ext cx="7315200" cy="5177779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12</xdr:row>
      <xdr:rowOff>173215</xdr:rowOff>
    </xdr:from>
    <xdr:ext cx="1914525" cy="1598074"/>
    <xdr:pic>
      <xdr:nvPicPr>
        <xdr:cNvPr id="2" name="Image 1">
          <a:extLst>
            <a:ext uri="{FF2B5EF4-FFF2-40B4-BE49-F238E27FC236}">
              <a16:creationId xmlns:a16="http://schemas.microsoft.com/office/drawing/2014/main" id="{3C6D55F5-FC0A-4480-89F1-B5AE84F09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2459215"/>
          <a:ext cx="1914525" cy="1598074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1</xdr:row>
      <xdr:rowOff>142874</xdr:rowOff>
    </xdr:from>
    <xdr:ext cx="7200899" cy="511661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8C346C-D749-4861-9F82-28142DD3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333374"/>
          <a:ext cx="7200899" cy="5116612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153681</xdr:colOff>
      <xdr:row>36</xdr:row>
      <xdr:rowOff>159004</xdr:rowOff>
    </xdr:from>
    <xdr:ext cx="1560819" cy="3349477"/>
    <xdr:pic>
      <xdr:nvPicPr>
        <xdr:cNvPr id="2" name="Image 1">
          <a:extLst>
            <a:ext uri="{FF2B5EF4-FFF2-40B4-BE49-F238E27FC236}">
              <a16:creationId xmlns:a16="http://schemas.microsoft.com/office/drawing/2014/main" id="{A89B3C3C-361B-41D8-BDA4-90A4E019D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9281" y="7017004"/>
          <a:ext cx="1560819" cy="334947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</xdr:row>
      <xdr:rowOff>161924</xdr:rowOff>
    </xdr:from>
    <xdr:ext cx="7597588" cy="538960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3C7C46-2B5A-40E1-90D1-A2C25B740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52424"/>
          <a:ext cx="7597588" cy="5389602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412216</xdr:colOff>
      <xdr:row>18</xdr:row>
      <xdr:rowOff>174493</xdr:rowOff>
    </xdr:from>
    <xdr:ext cx="3125641" cy="1972900"/>
    <xdr:pic>
      <xdr:nvPicPr>
        <xdr:cNvPr id="2" name="Image 1" descr="https://murmotorsports.eng.unimelb.edu.au/__data/assets/image/0005/2367968/varieties/medium.jpg">
          <a:extLst>
            <a:ext uri="{FF2B5EF4-FFF2-40B4-BE49-F238E27FC236}">
              <a16:creationId xmlns:a16="http://schemas.microsoft.com/office/drawing/2014/main" id="{7121E79E-A1D4-4B5C-A041-4807F990D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8616" y="3603493"/>
          <a:ext cx="3125641" cy="197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71467</xdr:colOff>
      <xdr:row>14</xdr:row>
      <xdr:rowOff>104775</xdr:rowOff>
    </xdr:from>
    <xdr:ext cx="2518187" cy="2057400"/>
    <xdr:pic>
      <xdr:nvPicPr>
        <xdr:cNvPr id="2" name="Image 1">
          <a:extLst>
            <a:ext uri="{FF2B5EF4-FFF2-40B4-BE49-F238E27FC236}">
              <a16:creationId xmlns:a16="http://schemas.microsoft.com/office/drawing/2014/main" id="{EB15707B-1E2A-41E4-B1C3-D4A195B14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1467" y="2771775"/>
          <a:ext cx="2518187" cy="2057400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2</xdr:row>
      <xdr:rowOff>28575</xdr:rowOff>
    </xdr:from>
    <xdr:ext cx="9901400" cy="7000000"/>
    <xdr:pic>
      <xdr:nvPicPr>
        <xdr:cNvPr id="2" name="Image 1">
          <a:extLst>
            <a:ext uri="{FF2B5EF4-FFF2-40B4-BE49-F238E27FC236}">
              <a16:creationId xmlns:a16="http://schemas.microsoft.com/office/drawing/2014/main" id="{67660EF1-3C57-4BF8-8EFB-8FCB2F688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09575"/>
          <a:ext cx="9901400" cy="7000000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58419</xdr:colOff>
      <xdr:row>14</xdr:row>
      <xdr:rowOff>104775</xdr:rowOff>
    </xdr:from>
    <xdr:ext cx="2056131" cy="2245977"/>
    <xdr:pic>
      <xdr:nvPicPr>
        <xdr:cNvPr id="2" name="Image 1">
          <a:extLst>
            <a:ext uri="{FF2B5EF4-FFF2-40B4-BE49-F238E27FC236}">
              <a16:creationId xmlns:a16="http://schemas.microsoft.com/office/drawing/2014/main" id="{CE564B42-9F23-4717-AFD9-CE8B3F7A9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8419" y="2771775"/>
          <a:ext cx="2056131" cy="2245977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</xdr:row>
      <xdr:rowOff>171450</xdr:rowOff>
    </xdr:from>
    <xdr:ext cx="9866667" cy="6971428"/>
    <xdr:pic>
      <xdr:nvPicPr>
        <xdr:cNvPr id="2" name="Image 1">
          <a:extLst>
            <a:ext uri="{FF2B5EF4-FFF2-40B4-BE49-F238E27FC236}">
              <a16:creationId xmlns:a16="http://schemas.microsoft.com/office/drawing/2014/main" id="{555C61F1-E3B4-4E9B-BE3C-777B21A32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61950"/>
          <a:ext cx="9866667" cy="6971428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314325</xdr:colOff>
      <xdr:row>12</xdr:row>
      <xdr:rowOff>117426</xdr:rowOff>
    </xdr:from>
    <xdr:ext cx="1495425" cy="2939284"/>
    <xdr:pic>
      <xdr:nvPicPr>
        <xdr:cNvPr id="2" name="Image 1">
          <a:extLst>
            <a:ext uri="{FF2B5EF4-FFF2-40B4-BE49-F238E27FC236}">
              <a16:creationId xmlns:a16="http://schemas.microsoft.com/office/drawing/2014/main" id="{2815808E-3E47-4455-803D-FB33C2B1E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2403426"/>
          <a:ext cx="1495425" cy="2939284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38100</xdr:rowOff>
    </xdr:from>
    <xdr:ext cx="12123809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2736A0FC-9801-4E14-8102-31D8A6F06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28600"/>
          <a:ext cx="12123809" cy="8571428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314325</xdr:colOff>
      <xdr:row>12</xdr:row>
      <xdr:rowOff>19787</xdr:rowOff>
    </xdr:from>
    <xdr:ext cx="1581150" cy="3139048"/>
    <xdr:pic>
      <xdr:nvPicPr>
        <xdr:cNvPr id="2" name="Image 1">
          <a:extLst>
            <a:ext uri="{FF2B5EF4-FFF2-40B4-BE49-F238E27FC236}">
              <a16:creationId xmlns:a16="http://schemas.microsoft.com/office/drawing/2014/main" id="{00B7288F-D58E-442C-B469-390C9C4A1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2305787"/>
          <a:ext cx="1581150" cy="3139048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1</xdr:row>
      <xdr:rowOff>95250</xdr:rowOff>
    </xdr:from>
    <xdr:ext cx="12104762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21DBAA6B-2956-4038-9686-678848D05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285750"/>
          <a:ext cx="12104762" cy="8571428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393872</xdr:colOff>
      <xdr:row>14</xdr:row>
      <xdr:rowOff>9524</xdr:rowOff>
    </xdr:from>
    <xdr:ext cx="2824645" cy="2266201"/>
    <xdr:pic>
      <xdr:nvPicPr>
        <xdr:cNvPr id="2" name="Image 1">
          <a:extLst>
            <a:ext uri="{FF2B5EF4-FFF2-40B4-BE49-F238E27FC236}">
              <a16:creationId xmlns:a16="http://schemas.microsoft.com/office/drawing/2014/main" id="{D621A9C9-A74F-4B40-BD1F-1B1D06EA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1872" y="2676524"/>
          <a:ext cx="2824645" cy="2266201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228601</xdr:colOff>
      <xdr:row>0</xdr:row>
      <xdr:rowOff>38100</xdr:rowOff>
    </xdr:from>
    <xdr:ext cx="1727200" cy="1606239"/>
    <xdr:pic>
      <xdr:nvPicPr>
        <xdr:cNvPr id="2" name="Image 1">
          <a:extLst>
            <a:ext uri="{FF2B5EF4-FFF2-40B4-BE49-F238E27FC236}">
              <a16:creationId xmlns:a16="http://schemas.microsoft.com/office/drawing/2014/main" id="{D175257E-067A-47B8-8170-49F148BF3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1" y="38100"/>
          <a:ext cx="1727200" cy="1606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3</xdr:row>
      <xdr:rowOff>28575</xdr:rowOff>
    </xdr:from>
    <xdr:ext cx="12114286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F7F7B279-4BE4-4DA2-8DB8-4C3D1D607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00075"/>
          <a:ext cx="12114286" cy="8571428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13</xdr:row>
      <xdr:rowOff>66675</xdr:rowOff>
    </xdr:from>
    <xdr:ext cx="2351926" cy="2313867"/>
    <xdr:pic>
      <xdr:nvPicPr>
        <xdr:cNvPr id="2" name="Image 1">
          <a:extLst>
            <a:ext uri="{FF2B5EF4-FFF2-40B4-BE49-F238E27FC236}">
              <a16:creationId xmlns:a16="http://schemas.microsoft.com/office/drawing/2014/main" id="{4E3290B9-BD1D-4054-AC0A-D9A5C70B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9525" y="2543175"/>
          <a:ext cx="2351926" cy="2313867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1</xdr:row>
      <xdr:rowOff>142875</xdr:rowOff>
    </xdr:from>
    <xdr:ext cx="12104762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4C29C42B-D1DA-430B-9E55-C6AA00BFD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33375"/>
          <a:ext cx="12104762" cy="8571428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419922</xdr:colOff>
      <xdr:row>13</xdr:row>
      <xdr:rowOff>152399</xdr:rowOff>
    </xdr:from>
    <xdr:ext cx="1836849" cy="2285187"/>
    <xdr:pic>
      <xdr:nvPicPr>
        <xdr:cNvPr id="2" name="Image 1">
          <a:extLst>
            <a:ext uri="{FF2B5EF4-FFF2-40B4-BE49-F238E27FC236}">
              <a16:creationId xmlns:a16="http://schemas.microsoft.com/office/drawing/2014/main" id="{27769444-DF0E-49F4-BEDA-4B32769A6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922" y="2628899"/>
          <a:ext cx="1836849" cy="2285187"/>
        </a:xfrm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12123809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4204DD05-5BEC-4ABE-A788-DAD95C651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123809" cy="8571428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477148</xdr:colOff>
      <xdr:row>13</xdr:row>
      <xdr:rowOff>133349</xdr:rowOff>
    </xdr:from>
    <xdr:ext cx="1637401" cy="2145775"/>
    <xdr:pic>
      <xdr:nvPicPr>
        <xdr:cNvPr id="2" name="Image 1">
          <a:extLst>
            <a:ext uri="{FF2B5EF4-FFF2-40B4-BE49-F238E27FC236}">
              <a16:creationId xmlns:a16="http://schemas.microsoft.com/office/drawing/2014/main" id="{1A526F43-7413-485C-B959-73B210A94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5148" y="2609849"/>
          <a:ext cx="1637401" cy="2145775"/>
        </a:xfrm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95250</xdr:rowOff>
    </xdr:from>
    <xdr:ext cx="12123809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B1BE3B44-5E08-4529-9B39-9AFBC41F4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"/>
          <a:ext cx="12123809" cy="8571428"/>
        </a:xfrm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458372</xdr:colOff>
      <xdr:row>14</xdr:row>
      <xdr:rowOff>0</xdr:rowOff>
    </xdr:from>
    <xdr:ext cx="3483391" cy="2722790"/>
    <xdr:pic>
      <xdr:nvPicPr>
        <xdr:cNvPr id="2" name="Image 1">
          <a:extLst>
            <a:ext uri="{FF2B5EF4-FFF2-40B4-BE49-F238E27FC236}">
              <a16:creationId xmlns:a16="http://schemas.microsoft.com/office/drawing/2014/main" id="{24C54DCC-9AC8-466D-A2E5-E0AD8DD88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6372" y="2667000"/>
          <a:ext cx="3483391" cy="2722790"/>
        </a:xfrm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591792</xdr:colOff>
      <xdr:row>13</xdr:row>
      <xdr:rowOff>180975</xdr:rowOff>
    </xdr:from>
    <xdr:ext cx="3121967" cy="2532846"/>
    <xdr:pic>
      <xdr:nvPicPr>
        <xdr:cNvPr id="2" name="Image 1">
          <a:extLst>
            <a:ext uri="{FF2B5EF4-FFF2-40B4-BE49-F238E27FC236}">
              <a16:creationId xmlns:a16="http://schemas.microsoft.com/office/drawing/2014/main" id="{7D324629-6B91-42EA-9C84-D543D888D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792" y="2657475"/>
          <a:ext cx="3121967" cy="2532846"/>
        </a:xfrm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584864</xdr:colOff>
      <xdr:row>12</xdr:row>
      <xdr:rowOff>142875</xdr:rowOff>
    </xdr:from>
    <xdr:ext cx="3043053" cy="1970957"/>
    <xdr:pic>
      <xdr:nvPicPr>
        <xdr:cNvPr id="2" name="Image 1">
          <a:extLst>
            <a:ext uri="{FF2B5EF4-FFF2-40B4-BE49-F238E27FC236}">
              <a16:creationId xmlns:a16="http://schemas.microsoft.com/office/drawing/2014/main" id="{C7401841-7B9C-4B19-9F83-8366062B0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2864" y="2428875"/>
          <a:ext cx="3043053" cy="197095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57149</xdr:rowOff>
    </xdr:from>
    <xdr:ext cx="6329099" cy="448627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D25314-B2D7-44C7-8CDF-B65BD62B7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247649"/>
          <a:ext cx="6329099" cy="4486275"/>
        </a:xfrm>
        <a:prstGeom prst="rect">
          <a:avLst/>
        </a:prstGeom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142875</xdr:rowOff>
    </xdr:from>
    <xdr:ext cx="9876190" cy="6971428"/>
    <xdr:pic>
      <xdr:nvPicPr>
        <xdr:cNvPr id="2" name="Image 1">
          <a:extLst>
            <a:ext uri="{FF2B5EF4-FFF2-40B4-BE49-F238E27FC236}">
              <a16:creationId xmlns:a16="http://schemas.microsoft.com/office/drawing/2014/main" id="{BF8DFD42-2BC5-41C0-A1DE-CB553C05D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9876190" cy="6971428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485775</xdr:colOff>
      <xdr:row>13</xdr:row>
      <xdr:rowOff>152400</xdr:rowOff>
    </xdr:from>
    <xdr:ext cx="3342701" cy="2180526"/>
    <xdr:pic>
      <xdr:nvPicPr>
        <xdr:cNvPr id="2" name="Image 1">
          <a:extLst>
            <a:ext uri="{FF2B5EF4-FFF2-40B4-BE49-F238E27FC236}">
              <a16:creationId xmlns:a16="http://schemas.microsoft.com/office/drawing/2014/main" id="{AED61CE6-71FC-4FC7-861D-49E7A5CCA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3775" y="2628900"/>
          <a:ext cx="3342701" cy="2180526"/>
        </a:xfrm>
        <a:prstGeom prst="rect">
          <a:avLst/>
        </a:prstGeom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95250</xdr:rowOff>
    </xdr:from>
    <xdr:ext cx="9885714" cy="6971428"/>
    <xdr:pic>
      <xdr:nvPicPr>
        <xdr:cNvPr id="2" name="Image 1">
          <a:extLst>
            <a:ext uri="{FF2B5EF4-FFF2-40B4-BE49-F238E27FC236}">
              <a16:creationId xmlns:a16="http://schemas.microsoft.com/office/drawing/2014/main" id="{EF83FBD2-A333-4ADB-996C-714F5737E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85750"/>
          <a:ext cx="9885714" cy="6971428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657225</xdr:colOff>
      <xdr:row>13</xdr:row>
      <xdr:rowOff>85725</xdr:rowOff>
    </xdr:from>
    <xdr:ext cx="3027831" cy="2427601"/>
    <xdr:pic>
      <xdr:nvPicPr>
        <xdr:cNvPr id="2" name="Image 1">
          <a:extLst>
            <a:ext uri="{FF2B5EF4-FFF2-40B4-BE49-F238E27FC236}">
              <a16:creationId xmlns:a16="http://schemas.microsoft.com/office/drawing/2014/main" id="{9D167E36-2B43-47C4-8916-9C4C1069D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15225" y="2562225"/>
          <a:ext cx="3027831" cy="2427601"/>
        </a:xfrm>
        <a:prstGeom prst="rect">
          <a:avLst/>
        </a:prstGeom>
      </xdr:spPr>
    </xdr:pic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619125</xdr:colOff>
      <xdr:row>13</xdr:row>
      <xdr:rowOff>95251</xdr:rowOff>
    </xdr:from>
    <xdr:ext cx="2562225" cy="1893574"/>
    <xdr:pic>
      <xdr:nvPicPr>
        <xdr:cNvPr id="2" name="Image 1">
          <a:extLst>
            <a:ext uri="{FF2B5EF4-FFF2-40B4-BE49-F238E27FC236}">
              <a16:creationId xmlns:a16="http://schemas.microsoft.com/office/drawing/2014/main" id="{6350FC4E-B73F-41AA-9FA2-60E6654C7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77125" y="2571751"/>
          <a:ext cx="2562225" cy="1893574"/>
        </a:xfrm>
        <a:prstGeom prst="rect">
          <a:avLst/>
        </a:prstGeom>
      </xdr:spPr>
    </xdr:pic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161925</xdr:colOff>
      <xdr:row>14</xdr:row>
      <xdr:rowOff>200025</xdr:rowOff>
    </xdr:from>
    <xdr:ext cx="2690187" cy="2420053"/>
    <xdr:pic>
      <xdr:nvPicPr>
        <xdr:cNvPr id="2" name="Image 1">
          <a:extLst>
            <a:ext uri="{FF2B5EF4-FFF2-40B4-BE49-F238E27FC236}">
              <a16:creationId xmlns:a16="http://schemas.microsoft.com/office/drawing/2014/main" id="{7CA983D2-0FA8-4F43-B44A-B1ACA3FB6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81925" y="2857500"/>
          <a:ext cx="2690187" cy="2420053"/>
        </a:xfrm>
        <a:prstGeom prst="rect">
          <a:avLst/>
        </a:prstGeom>
      </xdr:spPr>
    </xdr:pic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</xdr:row>
      <xdr:rowOff>161925</xdr:rowOff>
    </xdr:from>
    <xdr:ext cx="9905238" cy="7559040"/>
    <xdr:pic>
      <xdr:nvPicPr>
        <xdr:cNvPr id="2" name="Image 1">
          <a:extLst>
            <a:ext uri="{FF2B5EF4-FFF2-40B4-BE49-F238E27FC236}">
              <a16:creationId xmlns:a16="http://schemas.microsoft.com/office/drawing/2014/main" id="{B0A951FD-3D86-404F-90E2-EA11E9DDA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050" y="352425"/>
          <a:ext cx="9905238" cy="7559040"/>
        </a:xfrm>
        <a:prstGeom prst="rect">
          <a:avLst/>
        </a:prstGeom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48527</xdr:colOff>
      <xdr:row>13</xdr:row>
      <xdr:rowOff>95250</xdr:rowOff>
    </xdr:from>
    <xdr:ext cx="2208898" cy="1934216"/>
    <xdr:pic>
      <xdr:nvPicPr>
        <xdr:cNvPr id="2" name="Image 1">
          <a:extLst>
            <a:ext uri="{FF2B5EF4-FFF2-40B4-BE49-F238E27FC236}">
              <a16:creationId xmlns:a16="http://schemas.microsoft.com/office/drawing/2014/main" id="{640B6DF8-259D-4790-A98E-1C81F173C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8527" y="2571750"/>
          <a:ext cx="2208898" cy="1934216"/>
        </a:xfrm>
        <a:prstGeom prst="rect">
          <a:avLst/>
        </a:prstGeom>
      </xdr:spPr>
    </xdr:pic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104774</xdr:colOff>
      <xdr:row>1</xdr:row>
      <xdr:rowOff>188868</xdr:rowOff>
    </xdr:from>
    <xdr:ext cx="9871819" cy="6973932"/>
    <xdr:pic>
      <xdr:nvPicPr>
        <xdr:cNvPr id="2" name="Image 1">
          <a:extLst>
            <a:ext uri="{FF2B5EF4-FFF2-40B4-BE49-F238E27FC236}">
              <a16:creationId xmlns:a16="http://schemas.microsoft.com/office/drawing/2014/main" id="{741E0F06-FB97-4FD8-B147-693B70DE2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4" y="379368"/>
          <a:ext cx="9871819" cy="6973932"/>
        </a:xfrm>
        <a:prstGeom prst="rect">
          <a:avLst/>
        </a:prstGeom>
      </xdr:spPr>
    </xdr:pic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313765</xdr:colOff>
      <xdr:row>12</xdr:row>
      <xdr:rowOff>67235</xdr:rowOff>
    </xdr:from>
    <xdr:ext cx="1934964" cy="1924139"/>
    <xdr:pic>
      <xdr:nvPicPr>
        <xdr:cNvPr id="2" name="Image 1">
          <a:extLst>
            <a:ext uri="{FF2B5EF4-FFF2-40B4-BE49-F238E27FC236}">
              <a16:creationId xmlns:a16="http://schemas.microsoft.com/office/drawing/2014/main" id="{499B04DC-A3A7-4D2D-95F6-865A95712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1765" y="2353235"/>
          <a:ext cx="1934964" cy="1924139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609601</xdr:colOff>
      <xdr:row>12</xdr:row>
      <xdr:rowOff>71807</xdr:rowOff>
    </xdr:from>
    <xdr:ext cx="2565400" cy="2514554"/>
    <xdr:pic>
      <xdr:nvPicPr>
        <xdr:cNvPr id="2" name="Image 1">
          <a:extLst>
            <a:ext uri="{FF2B5EF4-FFF2-40B4-BE49-F238E27FC236}">
              <a16:creationId xmlns:a16="http://schemas.microsoft.com/office/drawing/2014/main" id="{70F04541-9126-4463-9A9B-8139116B1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96001" y="2357807"/>
          <a:ext cx="2565400" cy="2514554"/>
        </a:xfrm>
        <a:prstGeom prst="rect">
          <a:avLst/>
        </a:prstGeom>
      </xdr:spPr>
    </xdr:pic>
    <xdr:clientData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152400</xdr:rowOff>
    </xdr:from>
    <xdr:ext cx="9885714" cy="6942857"/>
    <xdr:pic>
      <xdr:nvPicPr>
        <xdr:cNvPr id="2" name="Image 1">
          <a:extLst>
            <a:ext uri="{FF2B5EF4-FFF2-40B4-BE49-F238E27FC236}">
              <a16:creationId xmlns:a16="http://schemas.microsoft.com/office/drawing/2014/main" id="{D109DE8B-489F-45B1-A94F-307F5C158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342900"/>
          <a:ext cx="9885714" cy="6942857"/>
        </a:xfrm>
        <a:prstGeom prst="rect">
          <a:avLst/>
        </a:prstGeom>
      </xdr:spPr>
    </xdr:pic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238904</xdr:colOff>
      <xdr:row>12</xdr:row>
      <xdr:rowOff>47625</xdr:rowOff>
    </xdr:from>
    <xdr:ext cx="1732268" cy="1866900"/>
    <xdr:pic>
      <xdr:nvPicPr>
        <xdr:cNvPr id="2" name="Image 1">
          <a:extLst>
            <a:ext uri="{FF2B5EF4-FFF2-40B4-BE49-F238E27FC236}">
              <a16:creationId xmlns:a16="http://schemas.microsoft.com/office/drawing/2014/main" id="{7F3B621F-CDC1-41D1-B997-E90CC6780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904" y="2333625"/>
          <a:ext cx="1732268" cy="1866900"/>
        </a:xfrm>
        <a:prstGeom prst="rect">
          <a:avLst/>
        </a:prstGeom>
      </xdr:spPr>
    </xdr:pic>
    <xdr:clientData/>
  </xdr:one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152400</xdr:rowOff>
    </xdr:from>
    <xdr:ext cx="10163175" cy="7180930"/>
    <xdr:pic>
      <xdr:nvPicPr>
        <xdr:cNvPr id="2" name="Image 1">
          <a:extLst>
            <a:ext uri="{FF2B5EF4-FFF2-40B4-BE49-F238E27FC236}">
              <a16:creationId xmlns:a16="http://schemas.microsoft.com/office/drawing/2014/main" id="{5CAC66FE-F66E-4D97-8601-0E2D66CB2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342900"/>
          <a:ext cx="10163175" cy="718093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224117</xdr:colOff>
      <xdr:row>14</xdr:row>
      <xdr:rowOff>78443</xdr:rowOff>
    </xdr:from>
    <xdr:ext cx="2803393" cy="1624852"/>
    <xdr:pic>
      <xdr:nvPicPr>
        <xdr:cNvPr id="2" name="Image 1">
          <a:extLst>
            <a:ext uri="{FF2B5EF4-FFF2-40B4-BE49-F238E27FC236}">
              <a16:creationId xmlns:a16="http://schemas.microsoft.com/office/drawing/2014/main" id="{A29CE7FA-9B3C-4861-9AA2-F5DF08F90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10517" y="2745443"/>
          <a:ext cx="2803393" cy="1624852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38099</xdr:colOff>
      <xdr:row>2</xdr:row>
      <xdr:rowOff>165100</xdr:rowOff>
    </xdr:from>
    <xdr:ext cx="2598065" cy="977900"/>
    <xdr:pic>
      <xdr:nvPicPr>
        <xdr:cNvPr id="2" name="Image 1">
          <a:extLst>
            <a:ext uri="{FF2B5EF4-FFF2-40B4-BE49-F238E27FC236}">
              <a16:creationId xmlns:a16="http://schemas.microsoft.com/office/drawing/2014/main" id="{4EB7FE6D-C4B4-490A-9684-84CF266F0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86099" y="546100"/>
          <a:ext cx="2598065" cy="9779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444500</xdr:colOff>
      <xdr:row>13</xdr:row>
      <xdr:rowOff>108776</xdr:rowOff>
    </xdr:from>
    <xdr:ext cx="2590800" cy="2059354"/>
    <xdr:pic>
      <xdr:nvPicPr>
        <xdr:cNvPr id="2" name="Image 1">
          <a:extLst>
            <a:ext uri="{FF2B5EF4-FFF2-40B4-BE49-F238E27FC236}">
              <a16:creationId xmlns:a16="http://schemas.microsoft.com/office/drawing/2014/main" id="{9B12FD5A-C300-4E8C-978B-9103856B3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2585276"/>
          <a:ext cx="2590800" cy="205935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pha&#235;l/Desktop/ECL/2A/EPSA/Cost_Report_Vulcanix/template_cost_engine_lecture_se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EN Assembly"/>
      <sheetName val="EN Part 1"/>
      <sheetName val="EN Drawing Part 1"/>
    </sheetNames>
    <sheetDataSet>
      <sheetData sheetId="0"/>
      <sheetData sheetId="1"/>
      <sheetData sheetId="2">
        <row r="3">
          <cell r="B3" t="str">
            <v>Engine and Drivetrain</v>
          </cell>
          <cell r="N3">
            <v>1</v>
          </cell>
        </row>
        <row r="5">
          <cell r="B5" t="str">
            <v>EN A0001</v>
          </cell>
        </row>
        <row r="16">
          <cell r="E16">
            <v>6.8615487933333332</v>
          </cell>
        </row>
        <row r="24">
          <cell r="N24">
            <v>176.88978594062499</v>
          </cell>
        </row>
        <row r="33">
          <cell r="I33">
            <v>1.32</v>
          </cell>
        </row>
        <row r="43">
          <cell r="J43">
            <v>0.66</v>
          </cell>
        </row>
        <row r="48">
          <cell r="I48">
            <v>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workbookViewId="0">
      <selection activeCell="D36" sqref="D36"/>
    </sheetView>
  </sheetViews>
  <sheetFormatPr baseColWidth="10" defaultRowHeight="15" x14ac:dyDescent="0.25"/>
  <sheetData>
    <row r="1" spans="1:2" x14ac:dyDescent="0.25">
      <c r="A1" s="72" t="s">
        <v>122</v>
      </c>
    </row>
    <row r="3" spans="1:2" x14ac:dyDescent="0.25">
      <c r="A3" s="71" t="s">
        <v>66</v>
      </c>
      <c r="B3" s="68" t="s">
        <v>67</v>
      </c>
    </row>
    <row r="5" spans="1:2" x14ac:dyDescent="0.25">
      <c r="A5" t="s">
        <v>123</v>
      </c>
    </row>
    <row r="6" spans="1:2" x14ac:dyDescent="0.25">
      <c r="A6" t="s">
        <v>100</v>
      </c>
    </row>
    <row r="7" spans="1:2" x14ac:dyDescent="0.25">
      <c r="A7" t="s">
        <v>106</v>
      </c>
    </row>
    <row r="8" spans="1:2" x14ac:dyDescent="0.25">
      <c r="A8" t="s">
        <v>104</v>
      </c>
    </row>
    <row r="9" spans="1:2" x14ac:dyDescent="0.25">
      <c r="A9" t="s">
        <v>68</v>
      </c>
    </row>
    <row r="10" spans="1:2" x14ac:dyDescent="0.25">
      <c r="A10" s="68" t="s">
        <v>97</v>
      </c>
    </row>
    <row r="11" spans="1:2" x14ac:dyDescent="0.25">
      <c r="A11" t="s">
        <v>134</v>
      </c>
    </row>
    <row r="12" spans="1:2" x14ac:dyDescent="0.25">
      <c r="A12" t="s">
        <v>69</v>
      </c>
    </row>
    <row r="14" spans="1:2" x14ac:dyDescent="0.25">
      <c r="A14" t="s">
        <v>99</v>
      </c>
    </row>
    <row r="15" spans="1:2" x14ac:dyDescent="0.25">
      <c r="A15" t="s">
        <v>124</v>
      </c>
    </row>
    <row r="16" spans="1:2" x14ac:dyDescent="0.25">
      <c r="A16" t="s">
        <v>110</v>
      </c>
    </row>
    <row r="18" spans="1:3" x14ac:dyDescent="0.25">
      <c r="A18" s="71" t="s">
        <v>70</v>
      </c>
      <c r="B18" s="68" t="s">
        <v>102</v>
      </c>
      <c r="C18" s="68"/>
    </row>
    <row r="20" spans="1:3" x14ac:dyDescent="0.25">
      <c r="A20" t="s">
        <v>109</v>
      </c>
    </row>
    <row r="21" spans="1:3" x14ac:dyDescent="0.25">
      <c r="A21" t="s">
        <v>136</v>
      </c>
    </row>
    <row r="23" spans="1:3" x14ac:dyDescent="0.25">
      <c r="A23" s="71" t="s">
        <v>72</v>
      </c>
      <c r="B23" s="68" t="s">
        <v>73</v>
      </c>
    </row>
    <row r="25" spans="1:3" x14ac:dyDescent="0.25">
      <c r="A25" t="s">
        <v>125</v>
      </c>
    </row>
    <row r="26" spans="1:3" x14ac:dyDescent="0.25">
      <c r="A26" t="s">
        <v>79</v>
      </c>
    </row>
    <row r="27" spans="1:3" x14ac:dyDescent="0.25">
      <c r="A27" t="s">
        <v>74</v>
      </c>
    </row>
    <row r="28" spans="1:3" x14ac:dyDescent="0.25">
      <c r="A28" t="s">
        <v>107</v>
      </c>
    </row>
    <row r="29" spans="1:3" x14ac:dyDescent="0.25">
      <c r="A29" t="s">
        <v>105</v>
      </c>
    </row>
    <row r="30" spans="1:3" x14ac:dyDescent="0.25">
      <c r="A30" t="s">
        <v>75</v>
      </c>
    </row>
    <row r="31" spans="1:3" x14ac:dyDescent="0.25">
      <c r="A31" s="68" t="s">
        <v>97</v>
      </c>
    </row>
    <row r="32" spans="1:3" x14ac:dyDescent="0.25">
      <c r="A32" t="s">
        <v>126</v>
      </c>
    </row>
    <row r="33" spans="1:2" x14ac:dyDescent="0.25">
      <c r="A33" t="s">
        <v>127</v>
      </c>
    </row>
    <row r="35" spans="1:2" x14ac:dyDescent="0.25">
      <c r="A35" t="s">
        <v>108</v>
      </c>
    </row>
    <row r="36" spans="1:2" x14ac:dyDescent="0.25">
      <c r="A36" t="s">
        <v>128</v>
      </c>
    </row>
    <row r="37" spans="1:2" x14ac:dyDescent="0.25">
      <c r="A37" t="s">
        <v>111</v>
      </c>
    </row>
    <row r="39" spans="1:2" x14ac:dyDescent="0.25">
      <c r="A39" s="71" t="s">
        <v>76</v>
      </c>
      <c r="B39" s="68" t="s">
        <v>71</v>
      </c>
    </row>
    <row r="41" spans="1:2" x14ac:dyDescent="0.25">
      <c r="A41" t="s">
        <v>116</v>
      </c>
    </row>
    <row r="42" spans="1:2" x14ac:dyDescent="0.25">
      <c r="A42" t="s">
        <v>117</v>
      </c>
    </row>
    <row r="43" spans="1:2" x14ac:dyDescent="0.25">
      <c r="A43" t="s">
        <v>101</v>
      </c>
    </row>
    <row r="45" spans="1:2" x14ac:dyDescent="0.25">
      <c r="A45" s="71" t="s">
        <v>77</v>
      </c>
      <c r="B45" s="68" t="s">
        <v>94</v>
      </c>
    </row>
    <row r="47" spans="1:2" x14ac:dyDescent="0.25">
      <c r="A47" t="s">
        <v>129</v>
      </c>
    </row>
    <row r="48" spans="1:2" x14ac:dyDescent="0.25">
      <c r="A48" t="s">
        <v>95</v>
      </c>
    </row>
    <row r="49" spans="1:2" x14ac:dyDescent="0.25">
      <c r="A49" t="s">
        <v>96</v>
      </c>
    </row>
    <row r="50" spans="1:2" x14ac:dyDescent="0.25">
      <c r="A50" t="s">
        <v>130</v>
      </c>
    </row>
    <row r="51" spans="1:2" x14ac:dyDescent="0.25">
      <c r="A51" t="s">
        <v>118</v>
      </c>
    </row>
    <row r="52" spans="1:2" x14ac:dyDescent="0.25">
      <c r="A52" t="s">
        <v>131</v>
      </c>
    </row>
    <row r="53" spans="1:2" x14ac:dyDescent="0.25">
      <c r="A53" t="s">
        <v>133</v>
      </c>
    </row>
    <row r="55" spans="1:2" x14ac:dyDescent="0.25">
      <c r="A55" t="s">
        <v>112</v>
      </c>
    </row>
    <row r="57" spans="1:2" x14ac:dyDescent="0.25">
      <c r="A57" s="71" t="s">
        <v>81</v>
      </c>
      <c r="B57" s="68" t="s">
        <v>78</v>
      </c>
    </row>
    <row r="59" spans="1:2" x14ac:dyDescent="0.25">
      <c r="A59" t="s">
        <v>80</v>
      </c>
    </row>
    <row r="60" spans="1:2" x14ac:dyDescent="0.25">
      <c r="A60" t="s">
        <v>113</v>
      </c>
    </row>
    <row r="61" spans="1:2" x14ac:dyDescent="0.25">
      <c r="A61" t="s">
        <v>132</v>
      </c>
    </row>
    <row r="63" spans="1:2" x14ac:dyDescent="0.25">
      <c r="A63" s="71" t="s">
        <v>93</v>
      </c>
      <c r="B63" s="68" t="s">
        <v>82</v>
      </c>
    </row>
    <row r="65" spans="1:1" x14ac:dyDescent="0.25">
      <c r="A65" t="s">
        <v>83</v>
      </c>
    </row>
    <row r="66" spans="1:1" x14ac:dyDescent="0.25">
      <c r="A66" t="s">
        <v>85</v>
      </c>
    </row>
    <row r="67" spans="1:1" x14ac:dyDescent="0.25">
      <c r="A67" t="s">
        <v>84</v>
      </c>
    </row>
    <row r="68" spans="1:1" x14ac:dyDescent="0.25">
      <c r="A68" t="s">
        <v>86</v>
      </c>
    </row>
    <row r="69" spans="1:1" x14ac:dyDescent="0.25">
      <c r="A69" t="s">
        <v>87</v>
      </c>
    </row>
    <row r="70" spans="1:1" x14ac:dyDescent="0.25">
      <c r="A70" t="s">
        <v>88</v>
      </c>
    </row>
    <row r="71" spans="1:1" x14ac:dyDescent="0.25">
      <c r="A71" t="s">
        <v>114</v>
      </c>
    </row>
    <row r="72" spans="1:1" x14ac:dyDescent="0.25">
      <c r="A72" t="s">
        <v>115</v>
      </c>
    </row>
    <row r="74" spans="1:1" x14ac:dyDescent="0.25">
      <c r="A74" t="s">
        <v>119</v>
      </c>
    </row>
    <row r="75" spans="1:1" x14ac:dyDescent="0.25">
      <c r="A75" t="s">
        <v>89</v>
      </c>
    </row>
    <row r="76" spans="1:1" x14ac:dyDescent="0.25">
      <c r="A76" t="s">
        <v>90</v>
      </c>
    </row>
    <row r="77" spans="1:1" x14ac:dyDescent="0.25">
      <c r="A77" t="s">
        <v>114</v>
      </c>
    </row>
    <row r="78" spans="1:1" x14ac:dyDescent="0.25">
      <c r="A78" t="s">
        <v>115</v>
      </c>
    </row>
    <row r="80" spans="1:1" x14ac:dyDescent="0.25">
      <c r="A80" s="68" t="s">
        <v>98</v>
      </c>
    </row>
    <row r="82" spans="1:1" x14ac:dyDescent="0.25">
      <c r="A82" s="72" t="s">
        <v>103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F81C-AD7A-4382-874D-3AA39F75CCF4}">
  <sheetPr>
    <tabColor theme="6" tint="0.39997558519241921"/>
    <pageSetUpPr fitToPage="1"/>
  </sheetPr>
  <dimension ref="A1:O17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10.42578125" customWidth="1"/>
    <col min="2" max="2" width="23.42578125" customWidth="1"/>
    <col min="3" max="3" width="15" customWidth="1"/>
    <col min="4" max="4" width="10.28515625" customWidth="1"/>
    <col min="5" max="5" width="5.85546875" customWidth="1"/>
    <col min="6" max="6" width="8" customWidth="1"/>
    <col min="7" max="7" width="5.5703125" customWidth="1"/>
    <col min="8" max="8" width="9.85546875" customWidth="1"/>
    <col min="9" max="9" width="21.7109375" customWidth="1"/>
    <col min="10" max="10" width="9.7109375" customWidth="1"/>
    <col min="12" max="12" width="9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EN_02005_m+EN_02005_p</f>
        <v>1.2217583384506194</v>
      </c>
      <c r="O2" s="47"/>
    </row>
    <row r="3" spans="1:15" x14ac:dyDescent="0.25">
      <c r="A3" s="103" t="s">
        <v>3</v>
      </c>
      <c r="B3" s="11" t="str">
        <f>'[1]EN Assembly'!B3</f>
        <v>Engine and Drivetrain</v>
      </c>
      <c r="C3" s="41"/>
      <c r="D3" s="103" t="s">
        <v>6</v>
      </c>
      <c r="E3" s="70"/>
      <c r="F3" s="41"/>
      <c r="G3" s="41"/>
      <c r="H3" s="41"/>
      <c r="I3" s="41"/>
      <c r="J3" s="41"/>
      <c r="K3" s="41"/>
      <c r="L3" s="41"/>
      <c r="M3" s="103" t="s">
        <v>4</v>
      </c>
      <c r="N3" s="64">
        <v>2</v>
      </c>
      <c r="O3" s="47"/>
    </row>
    <row r="4" spans="1:15" x14ac:dyDescent="0.25">
      <c r="A4" s="103" t="s">
        <v>5</v>
      </c>
      <c r="B4" s="69" t="str">
        <f>'EN A0200'!B4</f>
        <v>Exhaust System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607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2.4435166769012389</v>
      </c>
      <c r="O5" s="47"/>
    </row>
    <row r="6" spans="1:15" x14ac:dyDescent="0.25">
      <c r="A6" s="103" t="s">
        <v>7</v>
      </c>
      <c r="B6" s="17" t="s">
        <v>606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531" t="s">
        <v>605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475" t="s">
        <v>23</v>
      </c>
      <c r="G10" s="475" t="s">
        <v>24</v>
      </c>
      <c r="H10" s="475" t="s">
        <v>25</v>
      </c>
      <c r="I10" s="475" t="s">
        <v>26</v>
      </c>
      <c r="J10" s="475" t="s">
        <v>27</v>
      </c>
      <c r="K10" s="475" t="s">
        <v>28</v>
      </c>
      <c r="L10" s="475" t="s">
        <v>29</v>
      </c>
      <c r="M10" s="475" t="s">
        <v>17</v>
      </c>
      <c r="N10" s="475" t="s">
        <v>18</v>
      </c>
      <c r="O10" s="47"/>
    </row>
    <row r="11" spans="1:15" s="14" customFormat="1" x14ac:dyDescent="0.25">
      <c r="A11" s="493">
        <v>10</v>
      </c>
      <c r="B11" s="530" t="s">
        <v>595</v>
      </c>
      <c r="C11" s="511" t="s">
        <v>604</v>
      </c>
      <c r="D11" s="510">
        <v>2.25</v>
      </c>
      <c r="E11" s="508"/>
      <c r="F11" s="508" t="s">
        <v>144</v>
      </c>
      <c r="G11" s="508"/>
      <c r="H11" s="507"/>
      <c r="I11" s="506" t="s">
        <v>599</v>
      </c>
      <c r="J11" s="505">
        <f>PI()*((0.0421+0.0015)*(0.0421+0.0015)-0.0421*0.0421)/4</f>
        <v>1.0096293390474202E-4</v>
      </c>
      <c r="K11" s="507">
        <f>0.331</f>
        <v>0.33100000000000002</v>
      </c>
      <c r="L11" s="529">
        <v>7850</v>
      </c>
      <c r="M11" s="528">
        <v>1</v>
      </c>
      <c r="N11" s="438">
        <f>IF(J11="",D11*M11,D11*J11*K11*L11*M11)</f>
        <v>0.59025833845061948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7" t="s">
        <v>18</v>
      </c>
      <c r="N12" s="106">
        <f>SUM(N11:N11)</f>
        <v>0.59025833845061948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6" t="s">
        <v>14</v>
      </c>
      <c r="B14" s="475" t="s">
        <v>31</v>
      </c>
      <c r="C14" s="475" t="s">
        <v>20</v>
      </c>
      <c r="D14" s="475" t="s">
        <v>21</v>
      </c>
      <c r="E14" s="475" t="s">
        <v>32</v>
      </c>
      <c r="F14" s="475" t="s">
        <v>17</v>
      </c>
      <c r="G14" s="475" t="s">
        <v>33</v>
      </c>
      <c r="H14" s="475" t="s">
        <v>34</v>
      </c>
      <c r="I14" s="475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14">
        <v>10</v>
      </c>
      <c r="B15" s="527" t="s">
        <v>592</v>
      </c>
      <c r="C15" s="525"/>
      <c r="D15" s="526">
        <v>0.15</v>
      </c>
      <c r="E15" s="525" t="s">
        <v>46</v>
      </c>
      <c r="F15" s="524">
        <f>4.21</f>
        <v>4.21</v>
      </c>
      <c r="G15" s="457"/>
      <c r="H15" s="456"/>
      <c r="I15" s="438">
        <f>IF(H15="",D15*F15,D15*F15*H15)</f>
        <v>0.63149999999999995</v>
      </c>
      <c r="J15" s="43"/>
      <c r="K15" s="43"/>
      <c r="L15" s="43"/>
      <c r="M15" s="43"/>
      <c r="N15" s="43"/>
      <c r="O15" s="53"/>
    </row>
    <row r="16" spans="1:15" x14ac:dyDescent="0.25">
      <c r="A16" s="52"/>
      <c r="B16" s="15"/>
      <c r="C16" s="15"/>
      <c r="D16" s="15"/>
      <c r="E16" s="15"/>
      <c r="F16" s="15"/>
      <c r="G16" s="15"/>
      <c r="H16" s="109" t="s">
        <v>18</v>
      </c>
      <c r="I16" s="106">
        <f>I15</f>
        <v>0.63149999999999995</v>
      </c>
      <c r="J16" s="15"/>
      <c r="K16" s="15"/>
      <c r="L16" s="15"/>
      <c r="M16" s="15"/>
      <c r="N16" s="15"/>
      <c r="O16" s="47"/>
    </row>
    <row r="17" spans="1:15" ht="15.75" thickBot="1" x14ac:dyDescent="0.3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6"/>
    </row>
  </sheetData>
  <hyperlinks>
    <hyperlink ref="B4" location="EN_A0200" display="EN_A0200" xr:uid="{AA640BE3-D9BD-4402-BFCC-C2B702EAB95B}"/>
    <hyperlink ref="G2" location="EN_A0200_BOM" display="Back to BOM" xr:uid="{1967B35A-5285-4F68-A9FF-44B17880EB28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7" max="16383" man="1"/>
    <brk id="51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55F9-1D37-49AD-9E43-73418E7ACAE5}">
  <sheetPr>
    <tabColor theme="6" tint="0.39997558519241921"/>
    <pageSetUpPr fitToPage="1"/>
  </sheetPr>
  <dimension ref="A1:O24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7.5703125" customWidth="1"/>
    <col min="4" max="4" width="10.28515625" customWidth="1"/>
    <col min="5" max="5" width="5.85546875" customWidth="1"/>
    <col min="6" max="6" width="8.85546875" customWidth="1"/>
    <col min="7" max="7" width="5.85546875" customWidth="1"/>
    <col min="8" max="8" width="8.85546875" customWidth="1"/>
    <col min="9" max="9" width="21.7109375" customWidth="1"/>
    <col min="10" max="10" width="9.140625" customWidth="1"/>
    <col min="12" max="12" width="9.570312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EN_02006_m+EN_02006_p+EN_02006_t</f>
        <v>22.466496278906856</v>
      </c>
      <c r="O2" s="47"/>
    </row>
    <row r="3" spans="1:15" x14ac:dyDescent="0.25">
      <c r="A3" s="103" t="s">
        <v>3</v>
      </c>
      <c r="B3" s="11" t="str">
        <f>'[1]EN Assembly'!B3</f>
        <v>Engine and Drivetrain</v>
      </c>
      <c r="C3" s="41"/>
      <c r="D3" s="103" t="s">
        <v>6</v>
      </c>
      <c r="E3" s="70"/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47"/>
    </row>
    <row r="4" spans="1:15" x14ac:dyDescent="0.25">
      <c r="A4" s="103" t="s">
        <v>5</v>
      </c>
      <c r="B4" s="69" t="str">
        <f>'EN A0200'!B4</f>
        <v>Exhaust System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610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22.466496278906856</v>
      </c>
      <c r="O5" s="47"/>
    </row>
    <row r="6" spans="1:15" x14ac:dyDescent="0.25">
      <c r="A6" s="103" t="s">
        <v>7</v>
      </c>
      <c r="B6" s="17" t="s">
        <v>609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475" t="s">
        <v>23</v>
      </c>
      <c r="G10" s="475" t="s">
        <v>24</v>
      </c>
      <c r="H10" s="475" t="s">
        <v>25</v>
      </c>
      <c r="I10" s="475" t="s">
        <v>26</v>
      </c>
      <c r="J10" s="475" t="s">
        <v>27</v>
      </c>
      <c r="K10" s="475" t="s">
        <v>28</v>
      </c>
      <c r="L10" s="475" t="s">
        <v>29</v>
      </c>
      <c r="M10" s="475" t="s">
        <v>17</v>
      </c>
      <c r="N10" s="475" t="s">
        <v>18</v>
      </c>
      <c r="O10" s="47"/>
    </row>
    <row r="11" spans="1:15" s="14" customFormat="1" x14ac:dyDescent="0.25">
      <c r="A11" s="493">
        <v>10</v>
      </c>
      <c r="B11" s="512" t="s">
        <v>595</v>
      </c>
      <c r="C11" s="511" t="s">
        <v>600</v>
      </c>
      <c r="D11" s="510">
        <v>2.25</v>
      </c>
      <c r="E11" s="508"/>
      <c r="F11" s="508" t="s">
        <v>144</v>
      </c>
      <c r="G11" s="508"/>
      <c r="H11" s="507"/>
      <c r="I11" s="506" t="s">
        <v>599</v>
      </c>
      <c r="J11" s="505">
        <f>PI()*((0.0421+0.0015)*(0.0421+0.0015)-0.0421*0.0421)/4</f>
        <v>1.0096293390474202E-4</v>
      </c>
      <c r="K11" s="504">
        <f>2*(0.0836+0.02)</f>
        <v>0.2072</v>
      </c>
      <c r="L11" s="529">
        <v>7850</v>
      </c>
      <c r="M11" s="528">
        <v>1</v>
      </c>
      <c r="N11" s="438">
        <f>IF(J11="",D11*M11,D11*J11*K11*L11*M11)</f>
        <v>0.36949102032316722</v>
      </c>
      <c r="O11" s="51"/>
    </row>
    <row r="12" spans="1:15" s="16" customFormat="1" x14ac:dyDescent="0.25">
      <c r="A12" s="468">
        <v>20</v>
      </c>
      <c r="B12" s="487" t="s">
        <v>595</v>
      </c>
      <c r="C12" s="511" t="s">
        <v>600</v>
      </c>
      <c r="D12" s="521">
        <v>2.25</v>
      </c>
      <c r="E12" s="520"/>
      <c r="F12" s="520" t="s">
        <v>144</v>
      </c>
      <c r="G12" s="520"/>
      <c r="H12" s="519"/>
      <c r="I12" s="518" t="s">
        <v>608</v>
      </c>
      <c r="J12" s="505">
        <f>PI()*(0.051*0.051-0.0498*0.0498)/4</f>
        <v>9.5001761844555195E-5</v>
      </c>
      <c r="K12" s="517">
        <v>0.01</v>
      </c>
      <c r="L12" s="516">
        <v>7850</v>
      </c>
      <c r="M12" s="533">
        <v>1</v>
      </c>
      <c r="N12" s="438">
        <f>IF(J12="",D12*M12,D12*J12*K12*L12*M12)</f>
        <v>1.6779686185794559E-2</v>
      </c>
      <c r="O12" s="53"/>
    </row>
    <row r="13" spans="1:15" x14ac:dyDescent="0.25">
      <c r="A13" s="52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477" t="s">
        <v>18</v>
      </c>
      <c r="N13" s="106">
        <f>SUM(N11:N12)</f>
        <v>0.38627070650896178</v>
      </c>
      <c r="O13" s="47"/>
    </row>
    <row r="14" spans="1:15" x14ac:dyDescent="0.25">
      <c r="A14" s="48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7"/>
    </row>
    <row r="15" spans="1:15" x14ac:dyDescent="0.25">
      <c r="A15" s="476" t="s">
        <v>14</v>
      </c>
      <c r="B15" s="475" t="s">
        <v>31</v>
      </c>
      <c r="C15" s="475" t="s">
        <v>20</v>
      </c>
      <c r="D15" s="475" t="s">
        <v>21</v>
      </c>
      <c r="E15" s="475" t="s">
        <v>32</v>
      </c>
      <c r="F15" s="475" t="s">
        <v>17</v>
      </c>
      <c r="G15" s="475" t="s">
        <v>33</v>
      </c>
      <c r="H15" s="475" t="s">
        <v>34</v>
      </c>
      <c r="I15" s="475" t="s">
        <v>18</v>
      </c>
      <c r="J15" s="15"/>
      <c r="K15" s="15"/>
      <c r="L15" s="532"/>
      <c r="M15" s="15"/>
      <c r="N15" s="15"/>
      <c r="O15" s="47"/>
    </row>
    <row r="16" spans="1:15" s="16" customFormat="1" x14ac:dyDescent="0.25">
      <c r="A16" s="514">
        <v>10</v>
      </c>
      <c r="B16" s="415" t="s">
        <v>592</v>
      </c>
      <c r="C16" s="425"/>
      <c r="D16" s="429">
        <v>0.15</v>
      </c>
      <c r="E16" s="425" t="s">
        <v>46</v>
      </c>
      <c r="F16" s="501">
        <f>6*4.21+1*4.98</f>
        <v>30.24</v>
      </c>
      <c r="G16" s="465"/>
      <c r="H16" s="465"/>
      <c r="I16" s="405">
        <f>IF(H16="",D16*F16,D16*F16*H16)</f>
        <v>4.5359999999999996</v>
      </c>
      <c r="J16" s="43"/>
      <c r="K16" s="43"/>
      <c r="L16" s="43"/>
      <c r="M16" s="43"/>
      <c r="N16" s="43"/>
      <c r="O16" s="53"/>
    </row>
    <row r="17" spans="1:15" ht="30" x14ac:dyDescent="0.25">
      <c r="A17" s="462">
        <v>20</v>
      </c>
      <c r="B17" s="415" t="s">
        <v>565</v>
      </c>
      <c r="C17" s="426"/>
      <c r="D17" s="429">
        <v>0.75</v>
      </c>
      <c r="E17" s="415" t="s">
        <v>563</v>
      </c>
      <c r="F17" s="426">
        <v>9</v>
      </c>
      <c r="G17" s="457"/>
      <c r="H17" s="456"/>
      <c r="I17" s="438">
        <f>IF(H17="",D17*F17,D17*F17*H17)</f>
        <v>6.75</v>
      </c>
      <c r="J17" s="41"/>
      <c r="K17" s="41"/>
      <c r="L17" s="41"/>
      <c r="M17" s="41"/>
      <c r="N17" s="41"/>
      <c r="O17" s="47"/>
    </row>
    <row r="18" spans="1:15" s="12" customFormat="1" x14ac:dyDescent="0.25">
      <c r="A18" s="464">
        <v>30</v>
      </c>
      <c r="B18" s="415" t="s">
        <v>562</v>
      </c>
      <c r="C18" s="426"/>
      <c r="D18" s="429">
        <v>0.5</v>
      </c>
      <c r="E18" s="415" t="s">
        <v>46</v>
      </c>
      <c r="F18" s="513">
        <f>2*4.21+1*4.98+16.3/PI()</f>
        <v>18.588451144795791</v>
      </c>
      <c r="G18" s="456"/>
      <c r="H18" s="456"/>
      <c r="I18" s="438">
        <f>IF(H18="",D18*F18,D18*F18*H18)</f>
        <v>9.2942255723978953</v>
      </c>
      <c r="J18" s="42"/>
      <c r="K18" s="42"/>
      <c r="L18" s="42"/>
      <c r="M18" s="42"/>
      <c r="N18" s="42"/>
      <c r="O18" s="50"/>
    </row>
    <row r="19" spans="1:15" x14ac:dyDescent="0.25">
      <c r="A19" s="52"/>
      <c r="B19" s="15"/>
      <c r="C19" s="15"/>
      <c r="D19" s="15"/>
      <c r="E19" s="15"/>
      <c r="F19" s="15"/>
      <c r="G19" s="15"/>
      <c r="H19" s="109" t="s">
        <v>18</v>
      </c>
      <c r="I19" s="106">
        <f>SUM(I16:I18)</f>
        <v>20.580225572397893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76" t="s">
        <v>14</v>
      </c>
      <c r="B21" s="475" t="s">
        <v>39</v>
      </c>
      <c r="C21" s="475" t="s">
        <v>20</v>
      </c>
      <c r="D21" s="475" t="s">
        <v>21</v>
      </c>
      <c r="E21" s="475" t="s">
        <v>32</v>
      </c>
      <c r="F21" s="475" t="s">
        <v>17</v>
      </c>
      <c r="G21" s="475" t="s">
        <v>40</v>
      </c>
      <c r="H21" s="475" t="s">
        <v>590</v>
      </c>
      <c r="I21" s="475" t="s">
        <v>18</v>
      </c>
      <c r="J21" s="15"/>
      <c r="K21" s="41"/>
      <c r="L21" s="41"/>
      <c r="M21" s="41"/>
      <c r="N21" s="41"/>
      <c r="O21" s="47"/>
    </row>
    <row r="22" spans="1:15" s="12" customFormat="1" x14ac:dyDescent="0.25">
      <c r="A22" s="462">
        <v>10</v>
      </c>
      <c r="B22" s="417" t="s">
        <v>42</v>
      </c>
      <c r="C22" s="417"/>
      <c r="D22" s="438">
        <v>500</v>
      </c>
      <c r="E22" s="417" t="s">
        <v>43</v>
      </c>
      <c r="F22" s="417">
        <v>9</v>
      </c>
      <c r="G22" s="417">
        <v>3000</v>
      </c>
      <c r="H22" s="417">
        <v>1</v>
      </c>
      <c r="I22" s="438">
        <f>D22*F22/G22*H22</f>
        <v>1.5</v>
      </c>
      <c r="J22" s="42"/>
      <c r="K22" s="42"/>
      <c r="L22" s="42"/>
      <c r="M22" s="42"/>
      <c r="N22" s="42"/>
      <c r="O22" s="50"/>
    </row>
    <row r="23" spans="1:15" x14ac:dyDescent="0.25">
      <c r="A23" s="52"/>
      <c r="B23" s="15"/>
      <c r="C23" s="15"/>
      <c r="D23" s="15"/>
      <c r="E23" s="15"/>
      <c r="F23" s="15"/>
      <c r="G23" s="15"/>
      <c r="H23" s="109" t="s">
        <v>18</v>
      </c>
      <c r="I23" s="106">
        <f>SUM(I22:I22)</f>
        <v>1.5</v>
      </c>
      <c r="J23" s="15"/>
      <c r="K23" s="41"/>
      <c r="L23" s="41"/>
      <c r="M23" s="41"/>
      <c r="N23" s="41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200" display="EN_A0200" xr:uid="{7C33D3D9-0AC9-4675-A038-B73A90185258}"/>
    <hyperlink ref="G2" location="EN_A0200_BOM" display="Back to BOM" xr:uid="{FEE1BBF2-8448-4ABE-B3E2-9F50CEF5E2E1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261ED-43FC-4EA6-8821-B35D42632E33}">
  <sheetPr>
    <tabColor theme="6" tint="0.39997558519241921"/>
    <pageSetUpPr fitToPage="1"/>
  </sheetPr>
  <dimension ref="A1:O24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5.140625" customWidth="1"/>
    <col min="4" max="4" width="10.42578125" customWidth="1"/>
    <col min="5" max="5" width="5.5703125" customWidth="1"/>
    <col min="6" max="6" width="5.85546875" customWidth="1"/>
    <col min="7" max="7" width="5.5703125" customWidth="1"/>
    <col min="8" max="8" width="9.42578125" customWidth="1"/>
    <col min="9" max="9" width="22.140625" customWidth="1"/>
    <col min="10" max="10" width="8.85546875" customWidth="1"/>
    <col min="11" max="12" width="9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EN_02007_m+EN_02007_p+EN_02007_t</f>
        <v>12.90112506395198</v>
      </c>
      <c r="O2" s="47"/>
    </row>
    <row r="3" spans="1:15" x14ac:dyDescent="0.25">
      <c r="A3" s="103" t="s">
        <v>3</v>
      </c>
      <c r="B3" s="11" t="str">
        <f>'[1]EN Assembly'!B3</f>
        <v>Engine and Drivetrain</v>
      </c>
      <c r="C3" s="41"/>
      <c r="D3" s="103" t="s">
        <v>6</v>
      </c>
      <c r="E3" s="70"/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47"/>
    </row>
    <row r="4" spans="1:15" x14ac:dyDescent="0.25">
      <c r="A4" s="103" t="s">
        <v>5</v>
      </c>
      <c r="B4" s="69" t="str">
        <f>'EN A0200'!B4</f>
        <v>Exhaust System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612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12.90112506395198</v>
      </c>
      <c r="O5" s="47"/>
    </row>
    <row r="6" spans="1:15" x14ac:dyDescent="0.25">
      <c r="A6" s="103" t="s">
        <v>7</v>
      </c>
      <c r="B6" s="17" t="s">
        <v>611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475" t="s">
        <v>23</v>
      </c>
      <c r="G10" s="475" t="s">
        <v>24</v>
      </c>
      <c r="H10" s="475" t="s">
        <v>25</v>
      </c>
      <c r="I10" s="475" t="s">
        <v>26</v>
      </c>
      <c r="J10" s="475" t="s">
        <v>27</v>
      </c>
      <c r="K10" s="475" t="s">
        <v>28</v>
      </c>
      <c r="L10" s="475" t="s">
        <v>29</v>
      </c>
      <c r="M10" s="475" t="s">
        <v>17</v>
      </c>
      <c r="N10" s="475" t="s">
        <v>18</v>
      </c>
      <c r="O10" s="47"/>
    </row>
    <row r="11" spans="1:15" s="14" customFormat="1" x14ac:dyDescent="0.25">
      <c r="A11" s="493">
        <v>10</v>
      </c>
      <c r="B11" s="530" t="s">
        <v>595</v>
      </c>
      <c r="C11" s="511" t="s">
        <v>604</v>
      </c>
      <c r="D11" s="540">
        <v>2.25</v>
      </c>
      <c r="E11" s="539"/>
      <c r="F11" s="539" t="s">
        <v>144</v>
      </c>
      <c r="G11" s="539"/>
      <c r="H11" s="538"/>
      <c r="I11" s="537" t="s">
        <v>608</v>
      </c>
      <c r="J11" s="505">
        <f>PI()*(0.051*0.051-0.0498*0.0498)/4</f>
        <v>9.5001761844555195E-5</v>
      </c>
      <c r="K11" s="536">
        <v>0.30599999999999999</v>
      </c>
      <c r="L11" s="503">
        <v>7850</v>
      </c>
      <c r="M11" s="528">
        <v>1</v>
      </c>
      <c r="N11" s="438">
        <f>IF(J11="",D11*M11,D11*J11*K11*L11*M11)</f>
        <v>0.51345839728531351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7" t="s">
        <v>18</v>
      </c>
      <c r="N12" s="106">
        <f>SUM(N11:N11)</f>
        <v>0.51345839728531351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6" t="s">
        <v>14</v>
      </c>
      <c r="B14" s="475" t="s">
        <v>31</v>
      </c>
      <c r="C14" s="475" t="s">
        <v>20</v>
      </c>
      <c r="D14" s="475" t="s">
        <v>21</v>
      </c>
      <c r="E14" s="475" t="s">
        <v>32</v>
      </c>
      <c r="F14" s="475" t="s">
        <v>17</v>
      </c>
      <c r="G14" s="475" t="s">
        <v>33</v>
      </c>
      <c r="H14" s="475" t="s">
        <v>34</v>
      </c>
      <c r="I14" s="475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14">
        <v>10</v>
      </c>
      <c r="B15" s="527" t="s">
        <v>592</v>
      </c>
      <c r="C15" s="525"/>
      <c r="D15" s="526">
        <v>0.15</v>
      </c>
      <c r="E15" s="525" t="s">
        <v>151</v>
      </c>
      <c r="F15" s="535">
        <f>4.98*3</f>
        <v>14.940000000000001</v>
      </c>
      <c r="G15" s="465"/>
      <c r="H15" s="465"/>
      <c r="I15" s="438">
        <f>IF(H15="",D15*F15,D15*F15*H15)</f>
        <v>2.2410000000000001</v>
      </c>
      <c r="J15" s="43"/>
      <c r="K15" s="43"/>
      <c r="L15" s="43"/>
      <c r="M15" s="43"/>
      <c r="N15" s="43"/>
      <c r="O15" s="53"/>
    </row>
    <row r="16" spans="1:15" x14ac:dyDescent="0.25">
      <c r="A16" s="462">
        <v>20</v>
      </c>
      <c r="B16" s="527" t="s">
        <v>591</v>
      </c>
      <c r="C16" s="534"/>
      <c r="D16" s="526">
        <v>0.75</v>
      </c>
      <c r="E16" s="527" t="s">
        <v>150</v>
      </c>
      <c r="F16" s="534">
        <v>2</v>
      </c>
      <c r="G16" s="457"/>
      <c r="H16" s="456"/>
      <c r="I16" s="438">
        <f>IF(H16="",D16*F16,D16*F16*H16)</f>
        <v>1.5</v>
      </c>
      <c r="J16" s="41"/>
      <c r="K16" s="41"/>
      <c r="L16" s="41"/>
      <c r="M16" s="41"/>
      <c r="N16" s="41"/>
      <c r="O16" s="47"/>
    </row>
    <row r="17" spans="1:15" s="12" customFormat="1" ht="30" x14ac:dyDescent="0.25">
      <c r="A17" s="464">
        <v>30</v>
      </c>
      <c r="B17" s="527" t="s">
        <v>565</v>
      </c>
      <c r="C17" s="534"/>
      <c r="D17" s="526">
        <v>0.75</v>
      </c>
      <c r="E17" s="527" t="s">
        <v>563</v>
      </c>
      <c r="F17" s="534">
        <v>4</v>
      </c>
      <c r="G17" s="456"/>
      <c r="H17" s="456"/>
      <c r="I17" s="438">
        <f>IF(H17="",D17*F17,D17*F17*H17)</f>
        <v>3</v>
      </c>
      <c r="J17" s="42"/>
      <c r="K17" s="42"/>
      <c r="L17" s="42"/>
      <c r="M17" s="42"/>
      <c r="N17" s="42"/>
      <c r="O17" s="50"/>
    </row>
    <row r="18" spans="1:15" x14ac:dyDescent="0.25">
      <c r="A18" s="462">
        <v>40</v>
      </c>
      <c r="B18" s="527" t="s">
        <v>562</v>
      </c>
      <c r="C18" s="534"/>
      <c r="D18" s="526">
        <v>0.5</v>
      </c>
      <c r="E18" s="527" t="s">
        <v>46</v>
      </c>
      <c r="F18" s="534">
        <f>4.98*2</f>
        <v>9.9600000000000009</v>
      </c>
      <c r="G18" s="457"/>
      <c r="H18" s="456"/>
      <c r="I18" s="438">
        <f>IF(H18="",D18*F18,D18*F18*H18)</f>
        <v>4.9800000000000004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9" t="s">
        <v>18</v>
      </c>
      <c r="I19" s="106">
        <f>SUM(I15:I18)</f>
        <v>11.721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76" t="s">
        <v>14</v>
      </c>
      <c r="B21" s="475" t="s">
        <v>39</v>
      </c>
      <c r="C21" s="475" t="s">
        <v>20</v>
      </c>
      <c r="D21" s="475" t="s">
        <v>21</v>
      </c>
      <c r="E21" s="475" t="s">
        <v>32</v>
      </c>
      <c r="F21" s="475" t="s">
        <v>17</v>
      </c>
      <c r="G21" s="475" t="s">
        <v>40</v>
      </c>
      <c r="H21" s="475" t="s">
        <v>590</v>
      </c>
      <c r="I21" s="475" t="s">
        <v>18</v>
      </c>
      <c r="J21" s="15"/>
      <c r="K21" s="41"/>
      <c r="L21" s="41"/>
      <c r="M21" s="41"/>
      <c r="N21" s="41"/>
      <c r="O21" s="47"/>
    </row>
    <row r="22" spans="1:15" s="12" customFormat="1" x14ac:dyDescent="0.25">
      <c r="A22" s="462">
        <v>10</v>
      </c>
      <c r="B22" s="417" t="s">
        <v>42</v>
      </c>
      <c r="C22" s="417"/>
      <c r="D22" s="438">
        <v>500</v>
      </c>
      <c r="E22" s="417" t="s">
        <v>43</v>
      </c>
      <c r="F22" s="417">
        <v>4</v>
      </c>
      <c r="G22" s="417">
        <v>3000</v>
      </c>
      <c r="H22" s="417">
        <v>1</v>
      </c>
      <c r="I22" s="438">
        <f>D22*F22/G22*H22</f>
        <v>0.66666666666666663</v>
      </c>
      <c r="J22" s="42"/>
      <c r="K22" s="42"/>
      <c r="L22" s="42"/>
      <c r="M22" s="42"/>
      <c r="N22" s="42"/>
      <c r="O22" s="50"/>
    </row>
    <row r="23" spans="1:15" x14ac:dyDescent="0.25">
      <c r="A23" s="52"/>
      <c r="B23" s="15"/>
      <c r="C23" s="15"/>
      <c r="D23" s="15"/>
      <c r="E23" s="15"/>
      <c r="F23" s="15"/>
      <c r="G23" s="15"/>
      <c r="H23" s="109" t="s">
        <v>18</v>
      </c>
      <c r="I23" s="106">
        <f>SUM(I22:I22)</f>
        <v>0.66666666666666663</v>
      </c>
      <c r="J23" s="15"/>
      <c r="K23" s="41"/>
      <c r="L23" s="41"/>
      <c r="M23" s="41"/>
      <c r="N23" s="41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200" display="EN_A0200" xr:uid="{B230BF60-14A4-4DE8-BE29-D728BD2A37E7}"/>
    <hyperlink ref="G2" location="EN_A0200_BOM" display="Back to BOM" xr:uid="{3B8178A0-87D5-4754-8F99-196D21F92F51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65C7-9115-404E-8A52-C47A92C694A4}">
  <sheetPr>
    <tabColor theme="6" tint="0.39997558519241921"/>
    <pageSetUpPr fitToPage="1"/>
  </sheetPr>
  <dimension ref="A1:O23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6" customWidth="1"/>
    <col min="3" max="3" width="24" customWidth="1"/>
    <col min="4" max="4" width="9.42578125" customWidth="1"/>
    <col min="5" max="5" width="7.85546875" customWidth="1"/>
    <col min="6" max="6" width="8.5703125" customWidth="1"/>
    <col min="7" max="7" width="5.5703125" customWidth="1"/>
    <col min="8" max="8" width="9.140625" customWidth="1"/>
    <col min="9" max="9" width="27.28515625" customWidth="1"/>
    <col min="10" max="10" width="9.140625" customWidth="1"/>
    <col min="11" max="11" width="6.85546875" customWidth="1"/>
    <col min="12" max="12" width="8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EN_02008_m+EN_02008_p</f>
        <v>40.144999999999996</v>
      </c>
      <c r="O2" s="47"/>
    </row>
    <row r="3" spans="1:15" x14ac:dyDescent="0.25">
      <c r="A3" s="103" t="s">
        <v>3</v>
      </c>
      <c r="B3" s="11" t="str">
        <f>'[1]EN Assembly'!B3</f>
        <v>Engine and Drivetrain</v>
      </c>
      <c r="C3" s="41"/>
      <c r="D3" s="103" t="s">
        <v>6</v>
      </c>
      <c r="E3" s="70"/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47"/>
    </row>
    <row r="4" spans="1:15" x14ac:dyDescent="0.25">
      <c r="A4" s="103" t="s">
        <v>5</v>
      </c>
      <c r="B4" s="69" t="str">
        <f>'EN A0200'!B4</f>
        <v>Exhaust System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623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40.144999999999996</v>
      </c>
      <c r="O5" s="47"/>
    </row>
    <row r="6" spans="1:15" x14ac:dyDescent="0.25">
      <c r="A6" s="103" t="s">
        <v>7</v>
      </c>
      <c r="B6" s="17" t="s">
        <v>622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561" t="s">
        <v>621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475" t="s">
        <v>23</v>
      </c>
      <c r="G10" s="475" t="s">
        <v>24</v>
      </c>
      <c r="H10" s="475" t="s">
        <v>25</v>
      </c>
      <c r="I10" s="475" t="s">
        <v>26</v>
      </c>
      <c r="J10" s="475" t="s">
        <v>27</v>
      </c>
      <c r="K10" s="475" t="s">
        <v>28</v>
      </c>
      <c r="L10" s="475" t="s">
        <v>29</v>
      </c>
      <c r="M10" s="475" t="s">
        <v>17</v>
      </c>
      <c r="N10" s="475" t="s">
        <v>18</v>
      </c>
      <c r="O10" s="47"/>
    </row>
    <row r="11" spans="1:15" s="16" customFormat="1" x14ac:dyDescent="0.25">
      <c r="A11" s="559">
        <v>10</v>
      </c>
      <c r="B11" s="554" t="s">
        <v>620</v>
      </c>
      <c r="C11" s="554" t="s">
        <v>619</v>
      </c>
      <c r="D11" s="404">
        <v>22</v>
      </c>
      <c r="E11" s="558">
        <v>0.5</v>
      </c>
      <c r="F11" s="554" t="s">
        <v>144</v>
      </c>
      <c r="G11" s="554"/>
      <c r="H11" s="553"/>
      <c r="I11" s="557" t="s">
        <v>618</v>
      </c>
      <c r="J11" s="560">
        <v>0.2</v>
      </c>
      <c r="K11" s="550"/>
      <c r="L11" s="550">
        <v>4500</v>
      </c>
      <c r="M11" s="550">
        <v>1</v>
      </c>
      <c r="N11" s="405">
        <f>D11*M11*E11</f>
        <v>11</v>
      </c>
      <c r="O11" s="53"/>
    </row>
    <row r="12" spans="1:15" s="16" customFormat="1" x14ac:dyDescent="0.25">
      <c r="A12" s="559">
        <v>20</v>
      </c>
      <c r="B12" s="554" t="s">
        <v>583</v>
      </c>
      <c r="C12" s="554"/>
      <c r="D12" s="404">
        <v>2.25</v>
      </c>
      <c r="E12" s="558">
        <v>0.5</v>
      </c>
      <c r="F12" s="554" t="s">
        <v>144</v>
      </c>
      <c r="G12" s="554"/>
      <c r="H12" s="553"/>
      <c r="I12" s="557" t="s">
        <v>617</v>
      </c>
      <c r="J12" s="556">
        <f>0.5*0.15</f>
        <v>7.4999999999999997E-2</v>
      </c>
      <c r="K12" s="550"/>
      <c r="L12" s="550">
        <v>7850</v>
      </c>
      <c r="M12" s="550">
        <v>1</v>
      </c>
      <c r="N12" s="405">
        <f>D12*M12*E12</f>
        <v>1.125</v>
      </c>
      <c r="O12" s="53"/>
    </row>
    <row r="13" spans="1:15" s="16" customFormat="1" x14ac:dyDescent="0.25">
      <c r="A13" s="520">
        <v>30</v>
      </c>
      <c r="B13" s="554" t="s">
        <v>616</v>
      </c>
      <c r="C13" s="554"/>
      <c r="D13" s="555">
        <v>3.0000000000000001E-3</v>
      </c>
      <c r="E13" s="554">
        <v>4000</v>
      </c>
      <c r="F13" s="554" t="s">
        <v>147</v>
      </c>
      <c r="G13" s="554"/>
      <c r="H13" s="553"/>
      <c r="I13" s="552"/>
      <c r="J13" s="551"/>
      <c r="K13" s="550"/>
      <c r="L13" s="550"/>
      <c r="M13" s="550">
        <v>1</v>
      </c>
      <c r="N13" s="405">
        <f>D13*M13*E13</f>
        <v>12</v>
      </c>
      <c r="O13" s="53"/>
    </row>
    <row r="14" spans="1:15" x14ac:dyDescent="0.25">
      <c r="A14" s="52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477" t="s">
        <v>18</v>
      </c>
      <c r="N14" s="106">
        <f>SUM(N11:N13)</f>
        <v>24.125</v>
      </c>
      <c r="O14" s="47"/>
    </row>
    <row r="15" spans="1:15" x14ac:dyDescent="0.25">
      <c r="A15" s="48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7"/>
    </row>
    <row r="16" spans="1:15" x14ac:dyDescent="0.25">
      <c r="A16" s="476" t="s">
        <v>14</v>
      </c>
      <c r="B16" s="475" t="s">
        <v>31</v>
      </c>
      <c r="C16" s="475" t="s">
        <v>20</v>
      </c>
      <c r="D16" s="475" t="s">
        <v>21</v>
      </c>
      <c r="E16" s="475" t="s">
        <v>32</v>
      </c>
      <c r="F16" s="475" t="s">
        <v>17</v>
      </c>
      <c r="G16" s="475" t="s">
        <v>33</v>
      </c>
      <c r="H16" s="475" t="s">
        <v>34</v>
      </c>
      <c r="I16" s="475" t="s">
        <v>18</v>
      </c>
      <c r="J16" s="15"/>
      <c r="K16" s="15"/>
      <c r="L16" s="15"/>
      <c r="M16" s="15"/>
      <c r="N16" s="15"/>
      <c r="O16" s="47"/>
    </row>
    <row r="17" spans="1:15" s="16" customFormat="1" x14ac:dyDescent="0.25">
      <c r="A17" s="514">
        <v>10</v>
      </c>
      <c r="B17" s="415" t="s">
        <v>152</v>
      </c>
      <c r="C17" s="542"/>
      <c r="D17" s="404">
        <v>0.25</v>
      </c>
      <c r="E17" s="541" t="s">
        <v>150</v>
      </c>
      <c r="F17" s="541">
        <v>2</v>
      </c>
      <c r="G17" s="465"/>
      <c r="H17" s="465"/>
      <c r="I17" s="405">
        <f>IF(H17="",D17*F17,D17*F17*H17)</f>
        <v>0.5</v>
      </c>
      <c r="J17" s="43"/>
      <c r="K17" s="43"/>
      <c r="L17" s="43"/>
      <c r="M17" s="43"/>
      <c r="N17" s="43"/>
      <c r="O17" s="53"/>
    </row>
    <row r="18" spans="1:15" s="547" customFormat="1" x14ac:dyDescent="0.25">
      <c r="A18" s="514">
        <v>30</v>
      </c>
      <c r="B18" s="542" t="s">
        <v>615</v>
      </c>
      <c r="C18" s="542"/>
      <c r="D18" s="404">
        <v>0.03</v>
      </c>
      <c r="E18" s="541" t="s">
        <v>153</v>
      </c>
      <c r="F18" s="541">
        <v>300</v>
      </c>
      <c r="G18" s="465"/>
      <c r="H18" s="465"/>
      <c r="I18" s="405">
        <f>IF(H18="",D18*F18,D18*F18*H18)</f>
        <v>9</v>
      </c>
      <c r="J18" s="549"/>
      <c r="K18" s="549"/>
      <c r="L18" s="549"/>
      <c r="M18" s="549"/>
      <c r="N18" s="549"/>
      <c r="O18" s="548"/>
    </row>
    <row r="19" spans="1:15" s="16" customFormat="1" x14ac:dyDescent="0.25">
      <c r="A19" s="470">
        <v>40</v>
      </c>
      <c r="B19" s="542" t="s">
        <v>614</v>
      </c>
      <c r="C19" s="542"/>
      <c r="D19" s="404">
        <v>0.03</v>
      </c>
      <c r="E19" s="541" t="s">
        <v>153</v>
      </c>
      <c r="F19" s="541">
        <v>100</v>
      </c>
      <c r="G19" s="457"/>
      <c r="H19" s="465"/>
      <c r="I19" s="405">
        <f>IF(H19="",D19*F19,D19*F19*H19)</f>
        <v>3</v>
      </c>
      <c r="J19" s="43"/>
      <c r="K19" s="43"/>
      <c r="L19" s="43"/>
      <c r="M19" s="43"/>
      <c r="N19" s="43"/>
      <c r="O19" s="53"/>
    </row>
    <row r="20" spans="1:15" s="14" customFormat="1" x14ac:dyDescent="0.25">
      <c r="A20" s="474">
        <v>50</v>
      </c>
      <c r="B20" s="546" t="s">
        <v>154</v>
      </c>
      <c r="C20" s="545"/>
      <c r="D20" s="544">
        <v>0.13</v>
      </c>
      <c r="E20" s="543" t="s">
        <v>35</v>
      </c>
      <c r="F20" s="543">
        <v>4</v>
      </c>
      <c r="G20" s="472"/>
      <c r="H20" s="472"/>
      <c r="I20" s="405">
        <f>IF(H20="",D20*F20,D20*F20*H20)</f>
        <v>0.52</v>
      </c>
      <c r="J20" s="471"/>
      <c r="K20" s="471"/>
      <c r="L20" s="471"/>
      <c r="M20" s="471"/>
      <c r="N20" s="471"/>
      <c r="O20" s="51"/>
    </row>
    <row r="21" spans="1:15" s="16" customFormat="1" x14ac:dyDescent="0.25">
      <c r="A21" s="470">
        <v>60</v>
      </c>
      <c r="B21" s="415" t="s">
        <v>613</v>
      </c>
      <c r="C21" s="542"/>
      <c r="D21" s="404">
        <v>0.25</v>
      </c>
      <c r="E21" s="541" t="s">
        <v>35</v>
      </c>
      <c r="F21" s="541">
        <v>12</v>
      </c>
      <c r="G21" s="457"/>
      <c r="H21" s="465"/>
      <c r="I21" s="405">
        <f>IF(H21="",D21*F21,D21*F21*H21)</f>
        <v>3</v>
      </c>
      <c r="J21" s="43"/>
      <c r="K21" s="43"/>
      <c r="L21" s="43"/>
      <c r="M21" s="43"/>
      <c r="N21" s="43"/>
      <c r="O21" s="53"/>
    </row>
    <row r="22" spans="1:15" x14ac:dyDescent="0.25">
      <c r="A22" s="52"/>
      <c r="B22" s="15"/>
      <c r="C22" s="15"/>
      <c r="D22" s="15"/>
      <c r="E22" s="15"/>
      <c r="F22" s="15"/>
      <c r="G22" s="15"/>
      <c r="H22" s="109" t="s">
        <v>18</v>
      </c>
      <c r="I22" s="106">
        <f>SUM(I17:I21)</f>
        <v>16.02</v>
      </c>
      <c r="J22" s="15"/>
      <c r="K22" s="15"/>
      <c r="L22" s="15"/>
      <c r="M22" s="15"/>
      <c r="N22" s="15"/>
      <c r="O22" s="47"/>
    </row>
    <row r="23" spans="1:15" ht="15.75" thickBot="1" x14ac:dyDescent="0.3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</sheetData>
  <hyperlinks>
    <hyperlink ref="B4" location="EN_A0200" display="EN_A0200" xr:uid="{B8FB471A-BB84-456A-954B-D405403BFBAF}"/>
    <hyperlink ref="G2" location="EN_A0200_BOM" display="Back to BOM" xr:uid="{06E0856E-4FDA-423A-87D7-52B32027317E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1C4C-98A8-4BDD-B675-760A50FBCD04}">
  <sheetPr>
    <tabColor theme="6" tint="0.39997558519241921"/>
    <pageSetUpPr fitToPage="1"/>
  </sheetPr>
  <dimension ref="A1:R22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2" max="2" width="26.42578125" customWidth="1"/>
    <col min="3" max="3" width="14.5703125" customWidth="1"/>
    <col min="7" max="7" width="6.140625" customWidth="1"/>
    <col min="8" max="8" width="9.140625" customWidth="1"/>
    <col min="9" max="9" width="10.140625" customWidth="1"/>
    <col min="10" max="10" width="5.140625" customWidth="1"/>
    <col min="11" max="11" width="6.85546875" customWidth="1"/>
    <col min="12" max="12" width="10.5703125" bestFit="1" customWidth="1"/>
    <col min="14" max="14" width="11.28515625" customWidth="1"/>
    <col min="15" max="15" width="3.140625" customWidth="1"/>
  </cols>
  <sheetData>
    <row r="1" spans="1:18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8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EN_02009_m+EN_02009_p+EN_02009_t</f>
        <v>6.208613333333334</v>
      </c>
      <c r="O2" s="47"/>
    </row>
    <row r="3" spans="1:18" x14ac:dyDescent="0.25">
      <c r="A3" s="103" t="s">
        <v>3</v>
      </c>
      <c r="B3" s="11" t="str">
        <f>'[1]EN Assembly'!B3</f>
        <v>Engine and Drivetrain</v>
      </c>
      <c r="C3" s="41"/>
      <c r="D3" s="103" t="s">
        <v>6</v>
      </c>
      <c r="E3" s="70"/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47"/>
    </row>
    <row r="4" spans="1:18" x14ac:dyDescent="0.25">
      <c r="A4" s="103" t="s">
        <v>5</v>
      </c>
      <c r="B4" s="69" t="str">
        <f>'EN A0200'!B4</f>
        <v>Exhaust System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8" x14ac:dyDescent="0.25">
      <c r="A5" s="103" t="s">
        <v>15</v>
      </c>
      <c r="B5" s="13" t="s">
        <v>630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6.208613333333334</v>
      </c>
      <c r="O5" s="47"/>
    </row>
    <row r="6" spans="1:18" x14ac:dyDescent="0.25">
      <c r="A6" s="103" t="s">
        <v>7</v>
      </c>
      <c r="B6" s="17" t="s">
        <v>629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8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8" x14ac:dyDescent="0.25">
      <c r="A8" s="103" t="s">
        <v>13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8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8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475" t="s">
        <v>23</v>
      </c>
      <c r="G10" s="475" t="s">
        <v>24</v>
      </c>
      <c r="H10" s="475" t="s">
        <v>25</v>
      </c>
      <c r="I10" s="475" t="s">
        <v>26</v>
      </c>
      <c r="J10" s="475" t="s">
        <v>27</v>
      </c>
      <c r="K10" s="475" t="s">
        <v>28</v>
      </c>
      <c r="L10" s="475" t="s">
        <v>29</v>
      </c>
      <c r="M10" s="475" t="s">
        <v>17</v>
      </c>
      <c r="N10" s="475" t="s">
        <v>18</v>
      </c>
      <c r="O10" s="47"/>
    </row>
    <row r="11" spans="1:18" s="14" customFormat="1" x14ac:dyDescent="0.25">
      <c r="A11" s="493">
        <v>10</v>
      </c>
      <c r="B11" s="572" t="s">
        <v>628</v>
      </c>
      <c r="C11" s="569" t="s">
        <v>627</v>
      </c>
      <c r="D11" s="571">
        <v>200</v>
      </c>
      <c r="E11" s="570">
        <v>2.7776400000000003E-2</v>
      </c>
      <c r="F11" s="569" t="s">
        <v>144</v>
      </c>
      <c r="G11" s="569"/>
      <c r="H11" s="566"/>
      <c r="I11" s="568"/>
      <c r="J11" s="567"/>
      <c r="K11" s="566"/>
      <c r="L11" s="565">
        <v>1580</v>
      </c>
      <c r="M11" s="564">
        <v>1</v>
      </c>
      <c r="N11" s="438">
        <f>D11*E11</f>
        <v>5.5552800000000007</v>
      </c>
      <c r="O11" s="51"/>
    </row>
    <row r="12" spans="1:18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7" t="s">
        <v>18</v>
      </c>
      <c r="N12" s="106">
        <f>SUM(N11:N11)</f>
        <v>5.5552800000000007</v>
      </c>
      <c r="O12" s="47"/>
      <c r="R12" s="111"/>
    </row>
    <row r="13" spans="1:18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8" x14ac:dyDescent="0.25">
      <c r="A14" s="476" t="s">
        <v>14</v>
      </c>
      <c r="B14" s="475" t="s">
        <v>31</v>
      </c>
      <c r="C14" s="475" t="s">
        <v>20</v>
      </c>
      <c r="D14" s="475" t="s">
        <v>21</v>
      </c>
      <c r="E14" s="475" t="s">
        <v>32</v>
      </c>
      <c r="F14" s="475" t="s">
        <v>17</v>
      </c>
      <c r="G14" s="475" t="s">
        <v>33</v>
      </c>
      <c r="H14" s="475" t="s">
        <v>34</v>
      </c>
      <c r="I14" s="475" t="s">
        <v>18</v>
      </c>
      <c r="J14" s="15"/>
      <c r="K14" s="15"/>
      <c r="L14" s="15"/>
      <c r="M14" s="15"/>
      <c r="N14" s="15"/>
      <c r="O14" s="47"/>
    </row>
    <row r="15" spans="1:18" s="16" customFormat="1" x14ac:dyDescent="0.25">
      <c r="A15" s="514">
        <v>10</v>
      </c>
      <c r="B15" s="422" t="s">
        <v>626</v>
      </c>
      <c r="C15" s="407"/>
      <c r="D15" s="410">
        <v>35</v>
      </c>
      <c r="E15" s="408" t="s">
        <v>155</v>
      </c>
      <c r="F15" s="408">
        <v>1.12E-2</v>
      </c>
      <c r="G15" s="465"/>
      <c r="H15" s="465"/>
      <c r="I15" s="405">
        <f>IF(H15="",D15*F15,D15*F15*H15)</f>
        <v>0.39200000000000002</v>
      </c>
      <c r="J15" s="43"/>
      <c r="K15" s="43"/>
      <c r="L15" s="43"/>
      <c r="M15" s="43"/>
      <c r="N15" s="43"/>
      <c r="O15" s="53"/>
    </row>
    <row r="16" spans="1:18" x14ac:dyDescent="0.25">
      <c r="A16" s="462">
        <v>20</v>
      </c>
      <c r="B16" s="422" t="s">
        <v>625</v>
      </c>
      <c r="C16" s="407"/>
      <c r="D16" s="410">
        <v>20</v>
      </c>
      <c r="E16" s="408" t="s">
        <v>155</v>
      </c>
      <c r="F16" s="408">
        <v>1.12E-2</v>
      </c>
      <c r="G16" s="457"/>
      <c r="H16" s="456"/>
      <c r="I16" s="438">
        <f>IF(H16="",D16*F16,D16*F16*H16)</f>
        <v>0.224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9" t="s">
        <v>18</v>
      </c>
      <c r="I17" s="106">
        <f>SUM(I15:I16)</f>
        <v>0.61599999999999999</v>
      </c>
      <c r="J17" s="15"/>
      <c r="K17" s="15"/>
      <c r="L17" s="15"/>
      <c r="M17" s="15"/>
      <c r="N17" s="15"/>
      <c r="O17" s="47"/>
    </row>
    <row r="18" spans="1:15" x14ac:dyDescent="0.25">
      <c r="A18" s="48"/>
      <c r="B18" s="41"/>
      <c r="C18" s="41"/>
      <c r="D18" s="41"/>
      <c r="E18" s="41"/>
      <c r="F18" s="41"/>
      <c r="G18" s="41"/>
      <c r="H18" s="41"/>
      <c r="I18" s="42"/>
      <c r="J18" s="41"/>
      <c r="K18" s="41"/>
      <c r="L18" s="41"/>
      <c r="M18" s="41"/>
      <c r="N18" s="41"/>
      <c r="O18" s="47"/>
    </row>
    <row r="19" spans="1:15" x14ac:dyDescent="0.25">
      <c r="A19" s="476" t="s">
        <v>14</v>
      </c>
      <c r="B19" s="475" t="s">
        <v>39</v>
      </c>
      <c r="C19" s="475" t="s">
        <v>20</v>
      </c>
      <c r="D19" s="475" t="s">
        <v>21</v>
      </c>
      <c r="E19" s="475" t="s">
        <v>32</v>
      </c>
      <c r="F19" s="475" t="s">
        <v>17</v>
      </c>
      <c r="G19" s="475" t="s">
        <v>40</v>
      </c>
      <c r="H19" s="475" t="s">
        <v>590</v>
      </c>
      <c r="I19" s="475" t="s">
        <v>18</v>
      </c>
      <c r="J19" s="15"/>
      <c r="K19" s="41"/>
      <c r="L19" s="41"/>
      <c r="M19" s="41"/>
      <c r="N19" s="41"/>
      <c r="O19" s="47"/>
    </row>
    <row r="20" spans="1:15" s="12" customFormat="1" ht="15" customHeight="1" x14ac:dyDescent="0.25">
      <c r="A20" s="462">
        <v>10</v>
      </c>
      <c r="B20" s="563" t="s">
        <v>624</v>
      </c>
      <c r="C20" s="563"/>
      <c r="D20" s="562">
        <v>10000</v>
      </c>
      <c r="E20" s="422" t="s">
        <v>155</v>
      </c>
      <c r="F20" s="408">
        <v>1.12E-2</v>
      </c>
      <c r="G20" s="408">
        <v>3000</v>
      </c>
      <c r="H20" s="408">
        <v>1</v>
      </c>
      <c r="I20" s="438">
        <f>D20*F20/G20*H20</f>
        <v>3.7333333333333336E-2</v>
      </c>
      <c r="J20" s="42"/>
      <c r="K20" s="42"/>
      <c r="L20" s="42"/>
      <c r="M20" s="42"/>
      <c r="N20" s="42"/>
      <c r="O20" s="50"/>
    </row>
    <row r="21" spans="1:15" x14ac:dyDescent="0.25">
      <c r="A21" s="52"/>
      <c r="B21" s="15"/>
      <c r="C21" s="15"/>
      <c r="D21" s="15"/>
      <c r="E21" s="15"/>
      <c r="F21" s="15"/>
      <c r="G21" s="15"/>
      <c r="H21" s="109" t="s">
        <v>18</v>
      </c>
      <c r="I21" s="106">
        <f>SUM(I20:I20)</f>
        <v>3.7333333333333336E-2</v>
      </c>
      <c r="J21" s="15"/>
      <c r="K21" s="41"/>
      <c r="L21" s="41"/>
      <c r="M21" s="41"/>
      <c r="N21" s="41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200" display="EN_A0200" xr:uid="{C22F8226-2861-4749-9CFC-3DC2D3C04AC4}"/>
    <hyperlink ref="G2" location="EN_A0200_BOM" display="Back to BOM" xr:uid="{60A7C5F5-F0F7-4C09-8530-1478D38DF3F2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0071-F171-40D2-81DA-18655AD6DCA5}">
  <sheetPr>
    <tabColor theme="6" tint="0.39997558519241921"/>
    <pageSetUpPr fitToPage="1"/>
  </sheetPr>
  <dimension ref="A1:R18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2" max="2" width="34.140625" customWidth="1"/>
    <col min="3" max="3" width="15.28515625" customWidth="1"/>
    <col min="6" max="6" width="8.85546875" customWidth="1"/>
    <col min="7" max="7" width="14.5703125" customWidth="1"/>
    <col min="8" max="8" width="9.140625" customWidth="1"/>
    <col min="9" max="9" width="22" customWidth="1"/>
    <col min="10" max="10" width="10.140625" customWidth="1"/>
    <col min="11" max="11" width="9.140625" customWidth="1"/>
    <col min="12" max="12" width="10.5703125" bestFit="1" customWidth="1"/>
    <col min="14" max="14" width="11.28515625" customWidth="1"/>
    <col min="15" max="15" width="3.140625" customWidth="1"/>
  </cols>
  <sheetData>
    <row r="1" spans="1:18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8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EN_02010_m+EN_02010_p</f>
        <v>2.2250004878264873</v>
      </c>
      <c r="O2" s="47"/>
    </row>
    <row r="3" spans="1:18" x14ac:dyDescent="0.25">
      <c r="A3" s="103" t="s">
        <v>3</v>
      </c>
      <c r="B3" s="11" t="str">
        <f>'[1]EN Assembly'!B3</f>
        <v>Engine and Drivetrain</v>
      </c>
      <c r="C3" s="41"/>
      <c r="D3" s="103" t="s">
        <v>6</v>
      </c>
      <c r="E3" s="70"/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47"/>
    </row>
    <row r="4" spans="1:18" x14ac:dyDescent="0.25">
      <c r="A4" s="103" t="s">
        <v>5</v>
      </c>
      <c r="B4" s="69" t="str">
        <f>'EN A0200'!B4</f>
        <v>Exhaust System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8" x14ac:dyDescent="0.25">
      <c r="A5" s="103" t="s">
        <v>15</v>
      </c>
      <c r="B5" s="13" t="s">
        <v>635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2.2250004878264873</v>
      </c>
      <c r="O5" s="47"/>
    </row>
    <row r="6" spans="1:18" x14ac:dyDescent="0.25">
      <c r="A6" s="103" t="s">
        <v>7</v>
      </c>
      <c r="B6" s="17" t="s">
        <v>634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8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8" x14ac:dyDescent="0.25">
      <c r="A8" s="103" t="s">
        <v>13</v>
      </c>
      <c r="B8" s="11" t="s">
        <v>633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8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8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475" t="s">
        <v>23</v>
      </c>
      <c r="G10" s="475" t="s">
        <v>24</v>
      </c>
      <c r="H10" s="475" t="s">
        <v>25</v>
      </c>
      <c r="I10" s="475" t="s">
        <v>26</v>
      </c>
      <c r="J10" s="475" t="s">
        <v>27</v>
      </c>
      <c r="K10" s="475" t="s">
        <v>28</v>
      </c>
      <c r="L10" s="475" t="s">
        <v>29</v>
      </c>
      <c r="M10" s="475" t="s">
        <v>17</v>
      </c>
      <c r="N10" s="475" t="s">
        <v>18</v>
      </c>
      <c r="O10" s="47"/>
    </row>
    <row r="11" spans="1:18" s="14" customFormat="1" x14ac:dyDescent="0.25">
      <c r="A11" s="493">
        <v>10</v>
      </c>
      <c r="B11" s="584" t="s">
        <v>245</v>
      </c>
      <c r="C11" s="581" t="s">
        <v>632</v>
      </c>
      <c r="D11" s="583">
        <v>2.25</v>
      </c>
      <c r="E11" s="582">
        <f>PRODUCT(J11,K11,L11)</f>
        <v>6.6290118264867498E-2</v>
      </c>
      <c r="F11" s="581" t="s">
        <v>144</v>
      </c>
      <c r="G11" s="581"/>
      <c r="H11" s="580"/>
      <c r="I11" s="579" t="s">
        <v>631</v>
      </c>
      <c r="J11" s="578">
        <f>PI()*((0.016*0.016)/4)</f>
        <v>2.0106192982974675E-4</v>
      </c>
      <c r="K11" s="577">
        <v>4.2000000000000003E-2</v>
      </c>
      <c r="L11" s="576">
        <v>7850</v>
      </c>
      <c r="M11" s="575">
        <v>1</v>
      </c>
      <c r="N11" s="438">
        <f>D11*E11</f>
        <v>0.14915276609595188</v>
      </c>
      <c r="O11" s="51"/>
    </row>
    <row r="12" spans="1:18" x14ac:dyDescent="0.25">
      <c r="A12" s="52"/>
      <c r="B12" s="15"/>
      <c r="C12" s="15"/>
      <c r="D12" s="15"/>
      <c r="E12" s="15"/>
      <c r="F12" s="15"/>
      <c r="G12" s="15"/>
      <c r="H12" s="15"/>
      <c r="I12" s="574"/>
      <c r="J12" s="15"/>
      <c r="K12" s="15"/>
      <c r="L12" s="15"/>
      <c r="M12" s="477" t="s">
        <v>18</v>
      </c>
      <c r="N12" s="106">
        <f>SUM(N11:N11)</f>
        <v>0.14915276609595188</v>
      </c>
      <c r="O12" s="47"/>
      <c r="R12" s="111"/>
    </row>
    <row r="13" spans="1:18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8" x14ac:dyDescent="0.25">
      <c r="A14" s="476" t="s">
        <v>14</v>
      </c>
      <c r="B14" s="475" t="s">
        <v>31</v>
      </c>
      <c r="C14" s="475" t="s">
        <v>20</v>
      </c>
      <c r="D14" s="475" t="s">
        <v>21</v>
      </c>
      <c r="E14" s="475" t="s">
        <v>32</v>
      </c>
      <c r="F14" s="475" t="s">
        <v>17</v>
      </c>
      <c r="G14" s="475" t="s">
        <v>33</v>
      </c>
      <c r="H14" s="475" t="s">
        <v>34</v>
      </c>
      <c r="I14" s="475" t="s">
        <v>18</v>
      </c>
      <c r="J14" s="15"/>
      <c r="K14" s="15"/>
      <c r="L14" s="15"/>
      <c r="M14" s="15"/>
      <c r="N14" s="15"/>
      <c r="O14" s="47"/>
    </row>
    <row r="15" spans="1:18" s="16" customFormat="1" x14ac:dyDescent="0.25">
      <c r="A15" s="514">
        <v>10</v>
      </c>
      <c r="B15" s="422" t="s">
        <v>45</v>
      </c>
      <c r="C15" s="407"/>
      <c r="D15" s="410">
        <v>1.3</v>
      </c>
      <c r="E15" s="408" t="s">
        <v>35</v>
      </c>
      <c r="F15" s="408">
        <v>1</v>
      </c>
      <c r="G15" s="465"/>
      <c r="H15" s="465"/>
      <c r="I15" s="405">
        <f>IF(H15="",D15*F15,D15*F15*H15)</f>
        <v>1.3</v>
      </c>
      <c r="J15" s="43"/>
      <c r="K15" s="43"/>
      <c r="L15" s="43"/>
      <c r="M15" s="43"/>
      <c r="N15" s="43"/>
      <c r="O15" s="53"/>
    </row>
    <row r="16" spans="1:18" s="16" customFormat="1" x14ac:dyDescent="0.25">
      <c r="A16" s="470">
        <v>20</v>
      </c>
      <c r="B16" s="422" t="s">
        <v>145</v>
      </c>
      <c r="C16" s="407"/>
      <c r="D16" s="410">
        <v>0.04</v>
      </c>
      <c r="E16" s="408" t="s">
        <v>147</v>
      </c>
      <c r="F16" s="573">
        <f>PI()*(1.4*1.4/4)*4.2</f>
        <v>6.4653976810877936</v>
      </c>
      <c r="G16" s="457" t="s">
        <v>148</v>
      </c>
      <c r="H16" s="465">
        <v>3</v>
      </c>
      <c r="I16" s="405">
        <f>IF(H16="",D16*F16,D16*F16*H16)</f>
        <v>0.77584772173053529</v>
      </c>
      <c r="J16" s="43"/>
      <c r="K16" s="43"/>
      <c r="L16" s="43"/>
      <c r="M16" s="43"/>
      <c r="N16" s="43"/>
      <c r="O16" s="53"/>
    </row>
    <row r="17" spans="1:15" x14ac:dyDescent="0.25">
      <c r="A17" s="52"/>
      <c r="B17" s="15"/>
      <c r="C17" s="15"/>
      <c r="D17" s="15"/>
      <c r="E17" s="15"/>
      <c r="F17" s="15"/>
      <c r="G17" s="15"/>
      <c r="H17" s="109" t="s">
        <v>18</v>
      </c>
      <c r="I17" s="106">
        <f>SUM(I15:I16)</f>
        <v>2.0758477217305353</v>
      </c>
      <c r="J17" s="15"/>
      <c r="K17" s="15"/>
      <c r="L17" s="15"/>
      <c r="M17" s="15"/>
      <c r="N17" s="15"/>
      <c r="O17" s="47"/>
    </row>
    <row r="18" spans="1:15" ht="15.75" thickBot="1" x14ac:dyDescent="0.3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6"/>
    </row>
  </sheetData>
  <hyperlinks>
    <hyperlink ref="B4" location="EN_A0200" display="EN_A0200" xr:uid="{3E7100EA-7F67-4E80-BC95-BE4423B8E3A1}"/>
    <hyperlink ref="G2" location="EN_A0200_BOM" display="Back to BOM" xr:uid="{273C0C61-E68D-4975-880A-B5609039BA64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663F-8F0E-4D0A-A126-B6B6124707CC}">
  <sheetPr>
    <tabColor theme="6" tint="-0.249977111117893"/>
    <pageSetUpPr fitToPage="1"/>
  </sheetPr>
  <dimension ref="A1:O73"/>
  <sheetViews>
    <sheetView zoomScale="55" zoomScaleNormal="55" zoomScaleSheetLayoutView="80" workbookViewId="0">
      <selection activeCell="E2" sqref="E2"/>
    </sheetView>
  </sheetViews>
  <sheetFormatPr baseColWidth="10" defaultColWidth="9.140625" defaultRowHeight="15" x14ac:dyDescent="0.25"/>
  <cols>
    <col min="2" max="2" width="36.140625" customWidth="1"/>
    <col min="3" max="3" width="68.42578125" customWidth="1"/>
    <col min="4" max="4" width="11.42578125" customWidth="1"/>
    <col min="10" max="10" width="13.42578125" customWidth="1"/>
    <col min="15" max="15" width="5.28515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97" t="s">
        <v>0</v>
      </c>
      <c r="B2" s="11" t="s">
        <v>44</v>
      </c>
      <c r="C2" s="41"/>
      <c r="D2" s="41"/>
      <c r="E2" s="69" t="s">
        <v>121</v>
      </c>
      <c r="F2" s="41"/>
      <c r="G2" s="41"/>
      <c r="H2" s="41"/>
      <c r="I2" s="41"/>
      <c r="J2" s="97" t="s">
        <v>1</v>
      </c>
      <c r="K2" s="65">
        <v>81</v>
      </c>
      <c r="L2" s="41"/>
      <c r="M2" s="97" t="s">
        <v>2</v>
      </c>
      <c r="N2" s="76">
        <f>EN_A0300_pa+EN_A0300_m+EN_A0300_p+EN_A0300_f+EN_A0300_t</f>
        <v>132.88876682082679</v>
      </c>
      <c r="O2" s="47"/>
    </row>
    <row r="3" spans="1:15" x14ac:dyDescent="0.25">
      <c r="A3" s="97" t="s">
        <v>3</v>
      </c>
      <c r="B3" s="11" t="s">
        <v>135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97" t="s">
        <v>4</v>
      </c>
      <c r="N3" s="64">
        <v>1</v>
      </c>
      <c r="O3" s="47"/>
    </row>
    <row r="4" spans="1:15" x14ac:dyDescent="0.25">
      <c r="A4" s="97" t="s">
        <v>5</v>
      </c>
      <c r="B4" s="42" t="s">
        <v>210</v>
      </c>
      <c r="C4" s="41"/>
      <c r="D4" s="41"/>
      <c r="E4" s="41"/>
      <c r="F4" s="41"/>
      <c r="G4" s="41"/>
      <c r="H4" s="41"/>
      <c r="I4" s="41"/>
      <c r="J4" s="100" t="s">
        <v>6</v>
      </c>
      <c r="K4" s="41"/>
      <c r="L4" s="41"/>
      <c r="M4" s="41"/>
      <c r="N4" s="41"/>
      <c r="O4" s="47"/>
    </row>
    <row r="5" spans="1:15" x14ac:dyDescent="0.25">
      <c r="A5" s="97" t="s">
        <v>7</v>
      </c>
      <c r="B5" s="13" t="s">
        <v>165</v>
      </c>
      <c r="C5" s="41"/>
      <c r="D5" s="41"/>
      <c r="E5" s="41"/>
      <c r="F5" s="41"/>
      <c r="G5" s="41"/>
      <c r="H5" s="41"/>
      <c r="I5" s="41"/>
      <c r="J5" s="100" t="s">
        <v>8</v>
      </c>
      <c r="K5" s="41"/>
      <c r="L5" s="41"/>
      <c r="M5" s="97" t="s">
        <v>9</v>
      </c>
      <c r="N5" s="58">
        <f>N2*N3</f>
        <v>132.88876682082679</v>
      </c>
      <c r="O5" s="47"/>
    </row>
    <row r="6" spans="1:15" x14ac:dyDescent="0.25">
      <c r="A6" s="97" t="s">
        <v>10</v>
      </c>
      <c r="B6" s="11" t="s">
        <v>11</v>
      </c>
      <c r="C6" s="41"/>
      <c r="D6" s="41"/>
      <c r="E6" s="41"/>
      <c r="F6" s="41"/>
      <c r="G6" s="41"/>
      <c r="H6" s="41"/>
      <c r="I6" s="41"/>
      <c r="J6" s="100" t="s">
        <v>12</v>
      </c>
      <c r="K6" s="41"/>
      <c r="L6" s="41"/>
      <c r="M6" s="41"/>
      <c r="N6" s="41"/>
      <c r="O6" s="47"/>
    </row>
    <row r="7" spans="1:15" x14ac:dyDescent="0.25">
      <c r="A7" s="97" t="s">
        <v>13</v>
      </c>
      <c r="B7" s="11" t="s">
        <v>209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48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97" t="s">
        <v>14</v>
      </c>
      <c r="B9" s="97" t="s">
        <v>15</v>
      </c>
      <c r="C9" s="97" t="s">
        <v>16</v>
      </c>
      <c r="D9" s="97" t="s">
        <v>17</v>
      </c>
      <c r="E9" s="97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57">
        <v>10</v>
      </c>
      <c r="B10" s="67" t="str">
        <f>EN_0300_001</f>
        <v>Upper plenum</v>
      </c>
      <c r="C10" s="58">
        <f>EN_0300_001!N$2</f>
        <v>12.57225</v>
      </c>
      <c r="D10" s="117">
        <f>EN_0300_001!N$3</f>
        <v>1</v>
      </c>
      <c r="E10" s="58">
        <f t="shared" ref="E10:E17" si="0">C10*D10</f>
        <v>12.57225</v>
      </c>
      <c r="F10" s="41"/>
      <c r="G10" s="41"/>
      <c r="H10" s="41"/>
      <c r="I10" s="41"/>
      <c r="J10" s="41"/>
      <c r="K10" s="41"/>
      <c r="L10" s="41"/>
      <c r="M10" s="41"/>
      <c r="N10" s="41"/>
      <c r="O10" s="47"/>
    </row>
    <row r="11" spans="1:15" x14ac:dyDescent="0.25">
      <c r="A11" s="57">
        <v>20</v>
      </c>
      <c r="B11" s="70" t="str">
        <f>EN_0300_002</f>
        <v>Plenum plate</v>
      </c>
      <c r="C11" s="58">
        <f>EN_0300_002!N2</f>
        <v>3.6790000000000003</v>
      </c>
      <c r="D11" s="117">
        <f>EN_0300_002!N3</f>
        <v>1</v>
      </c>
      <c r="E11" s="58">
        <f t="shared" si="0"/>
        <v>3.6790000000000003</v>
      </c>
      <c r="F11" s="42"/>
      <c r="G11" s="42"/>
      <c r="H11" s="42"/>
      <c r="I11" s="42"/>
      <c r="J11" s="42"/>
      <c r="K11" s="42"/>
      <c r="L11" s="42"/>
      <c r="M11" s="42"/>
      <c r="N11" s="42"/>
      <c r="O11" s="47"/>
    </row>
    <row r="12" spans="1:15" x14ac:dyDescent="0.25">
      <c r="A12" s="57">
        <v>30</v>
      </c>
      <c r="B12" s="67" t="str">
        <f>EN_0300_003</f>
        <v>Intake manifold</v>
      </c>
      <c r="C12" s="58">
        <f>EN_0300_003!N2</f>
        <v>18.119250000000001</v>
      </c>
      <c r="D12" s="117">
        <f>EN_0300_003!N3</f>
        <v>1</v>
      </c>
      <c r="E12" s="58">
        <f t="shared" si="0"/>
        <v>18.119250000000001</v>
      </c>
      <c r="F12" s="42"/>
      <c r="G12" s="42"/>
      <c r="H12" s="42"/>
      <c r="I12" s="42"/>
      <c r="J12" s="42"/>
      <c r="K12" s="42"/>
      <c r="L12" s="42"/>
      <c r="M12" s="42"/>
      <c r="N12" s="42"/>
      <c r="O12" s="49"/>
    </row>
    <row r="13" spans="1:15" s="12" customFormat="1" x14ac:dyDescent="0.25">
      <c r="A13" s="57">
        <v>40</v>
      </c>
      <c r="B13" s="67" t="str">
        <f>EN_0300_009</f>
        <v>Left frame bracket</v>
      </c>
      <c r="C13" s="58">
        <f>EN_0300_009!N2</f>
        <v>1.6890000000000001</v>
      </c>
      <c r="D13" s="117">
        <f>EN_0300_009!N3</f>
        <v>1</v>
      </c>
      <c r="E13" s="58">
        <f t="shared" si="0"/>
        <v>1.6890000000000001</v>
      </c>
      <c r="F13" s="42"/>
      <c r="G13" s="42"/>
      <c r="H13" s="42"/>
      <c r="I13" s="42"/>
      <c r="J13" s="42"/>
      <c r="K13" s="42"/>
      <c r="L13" s="42"/>
      <c r="M13" s="42"/>
      <c r="N13" s="42"/>
      <c r="O13" s="49"/>
    </row>
    <row r="14" spans="1:15" s="12" customFormat="1" x14ac:dyDescent="0.25">
      <c r="A14" s="57">
        <v>50</v>
      </c>
      <c r="B14" s="110" t="str">
        <f>EN_0300_010</f>
        <v>Right frame bracket</v>
      </c>
      <c r="C14" s="58">
        <f>EN_0300_010!N2</f>
        <v>1.7614000000000001</v>
      </c>
      <c r="D14" s="117">
        <f>EN_0300_010!N3</f>
        <v>1</v>
      </c>
      <c r="E14" s="58">
        <f t="shared" si="0"/>
        <v>1.7614000000000001</v>
      </c>
      <c r="F14" s="42"/>
      <c r="G14" s="42"/>
      <c r="H14" s="42"/>
      <c r="I14" s="42"/>
      <c r="J14" s="42"/>
      <c r="K14" s="42"/>
      <c r="L14" s="42"/>
      <c r="M14" s="42"/>
      <c r="N14" s="42"/>
      <c r="O14" s="50"/>
    </row>
    <row r="15" spans="1:15" x14ac:dyDescent="0.25">
      <c r="A15" s="57">
        <v>60</v>
      </c>
      <c r="B15" s="110" t="str">
        <f>EN_0300_011</f>
        <v>PAIR plate</v>
      </c>
      <c r="C15" s="58">
        <f>EN_0300_011!N2</f>
        <v>1.9656000000000002</v>
      </c>
      <c r="D15" s="117">
        <f>EN_0300_011!N3</f>
        <v>2</v>
      </c>
      <c r="E15" s="58">
        <f t="shared" si="0"/>
        <v>3.9312000000000005</v>
      </c>
      <c r="F15" s="41"/>
      <c r="G15" s="41"/>
      <c r="H15" s="69"/>
      <c r="I15" s="41"/>
      <c r="J15" s="41"/>
      <c r="K15" s="41"/>
      <c r="L15" s="41"/>
      <c r="M15" s="41"/>
      <c r="N15" s="41"/>
      <c r="O15" s="47"/>
    </row>
    <row r="16" spans="1:15" x14ac:dyDescent="0.25">
      <c r="A16" s="57">
        <v>70</v>
      </c>
      <c r="B16" s="110" t="str">
        <f>EN_0300_012</f>
        <v>Motor bracket</v>
      </c>
      <c r="C16" s="58">
        <f>EN_0300_012!N2</f>
        <v>4.1755999999999993</v>
      </c>
      <c r="D16" s="117">
        <f>EN_0300_012!N3</f>
        <v>1</v>
      </c>
      <c r="E16" s="58">
        <f t="shared" si="0"/>
        <v>4.1755999999999993</v>
      </c>
      <c r="F16" s="41"/>
      <c r="G16" s="41"/>
      <c r="H16" s="41"/>
      <c r="I16" s="41"/>
      <c r="J16" s="41"/>
      <c r="K16" s="41"/>
      <c r="L16" s="41"/>
      <c r="M16" s="41"/>
      <c r="N16" s="41"/>
      <c r="O16" s="47"/>
    </row>
    <row r="17" spans="1:15" x14ac:dyDescent="0.25">
      <c r="A17" s="57">
        <v>80</v>
      </c>
      <c r="B17" s="110" t="str">
        <f>EN_0300_013</f>
        <v>Intake bracket</v>
      </c>
      <c r="C17" s="58">
        <f>EN_0300_013!N2</f>
        <v>1.38425</v>
      </c>
      <c r="D17" s="117">
        <f>EN_0300_013!N3</f>
        <v>2</v>
      </c>
      <c r="E17" s="58">
        <f t="shared" si="0"/>
        <v>2.7685</v>
      </c>
      <c r="F17" s="41"/>
      <c r="G17" s="41"/>
      <c r="H17" s="41"/>
      <c r="I17" s="41"/>
      <c r="J17" s="41"/>
      <c r="K17" s="41"/>
      <c r="L17" s="41"/>
      <c r="M17" s="41"/>
      <c r="N17" s="41"/>
      <c r="O17" s="47"/>
    </row>
    <row r="18" spans="1:15" x14ac:dyDescent="0.25">
      <c r="A18" s="48"/>
      <c r="B18" s="41"/>
      <c r="C18" s="41"/>
      <c r="D18" s="98" t="s">
        <v>18</v>
      </c>
      <c r="E18" s="99">
        <f>SUM(E10:E17)</f>
        <v>48.696200000000005</v>
      </c>
      <c r="F18" s="42"/>
      <c r="G18" s="42"/>
      <c r="H18" s="42"/>
      <c r="I18" s="42"/>
      <c r="J18" s="42"/>
      <c r="K18" s="42"/>
      <c r="L18" s="42"/>
      <c r="M18" s="42"/>
      <c r="N18" s="42"/>
      <c r="O18" s="47"/>
    </row>
    <row r="19" spans="1:15" x14ac:dyDescent="0.25">
      <c r="A19" s="48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7"/>
    </row>
    <row r="20" spans="1:15" x14ac:dyDescent="0.25">
      <c r="A20" s="97" t="s">
        <v>14</v>
      </c>
      <c r="B20" s="97" t="s">
        <v>19</v>
      </c>
      <c r="C20" s="97" t="s">
        <v>20</v>
      </c>
      <c r="D20" s="97" t="s">
        <v>21</v>
      </c>
      <c r="E20" s="97" t="s">
        <v>22</v>
      </c>
      <c r="F20" s="97" t="s">
        <v>23</v>
      </c>
      <c r="G20" s="97" t="s">
        <v>24</v>
      </c>
      <c r="H20" s="97" t="s">
        <v>25</v>
      </c>
      <c r="I20" s="97" t="s">
        <v>26</v>
      </c>
      <c r="J20" s="97" t="s">
        <v>27</v>
      </c>
      <c r="K20" s="97" t="s">
        <v>28</v>
      </c>
      <c r="L20" s="97" t="s">
        <v>29</v>
      </c>
      <c r="M20" s="97" t="s">
        <v>17</v>
      </c>
      <c r="N20" s="97" t="s">
        <v>18</v>
      </c>
      <c r="O20" s="47"/>
    </row>
    <row r="21" spans="1:15" x14ac:dyDescent="0.25">
      <c r="A21" s="57">
        <v>10</v>
      </c>
      <c r="B21" s="57" t="s">
        <v>208</v>
      </c>
      <c r="C21" s="57" t="s">
        <v>207</v>
      </c>
      <c r="D21" s="58">
        <v>8.1</v>
      </c>
      <c r="E21" s="57">
        <v>30</v>
      </c>
      <c r="F21" s="57" t="s">
        <v>30</v>
      </c>
      <c r="G21" s="57"/>
      <c r="H21" s="59"/>
      <c r="I21" s="115"/>
      <c r="J21" s="62"/>
      <c r="K21" s="59"/>
      <c r="L21" s="59"/>
      <c r="M21" s="59">
        <v>2</v>
      </c>
      <c r="N21" s="58">
        <f>M21*D21</f>
        <v>16.2</v>
      </c>
      <c r="O21" s="47"/>
    </row>
    <row r="22" spans="1:15" x14ac:dyDescent="0.25">
      <c r="A22" s="57">
        <v>20</v>
      </c>
      <c r="B22" s="57" t="s">
        <v>205</v>
      </c>
      <c r="C22" s="57" t="s">
        <v>206</v>
      </c>
      <c r="D22" s="58">
        <v>0.05</v>
      </c>
      <c r="E22" s="57"/>
      <c r="F22" s="57"/>
      <c r="G22" s="57"/>
      <c r="H22" s="59"/>
      <c r="I22" s="115"/>
      <c r="J22" s="62"/>
      <c r="K22" s="59"/>
      <c r="L22" s="116"/>
      <c r="M22" s="59">
        <v>1</v>
      </c>
      <c r="N22" s="58">
        <f>M22*D22</f>
        <v>0.05</v>
      </c>
      <c r="O22" s="47"/>
    </row>
    <row r="23" spans="1:15" x14ac:dyDescent="0.25">
      <c r="A23" s="57">
        <v>30</v>
      </c>
      <c r="B23" s="57" t="s">
        <v>205</v>
      </c>
      <c r="C23" s="57" t="s">
        <v>204</v>
      </c>
      <c r="D23" s="58">
        <v>0.05</v>
      </c>
      <c r="E23" s="57"/>
      <c r="F23" s="57"/>
      <c r="G23" s="57"/>
      <c r="H23" s="59"/>
      <c r="I23" s="115"/>
      <c r="J23" s="62"/>
      <c r="K23" s="59"/>
      <c r="L23" s="59"/>
      <c r="M23" s="59">
        <v>1</v>
      </c>
      <c r="N23" s="58">
        <f>M23*D23</f>
        <v>0.05</v>
      </c>
      <c r="O23" s="47"/>
    </row>
    <row r="24" spans="1:15" x14ac:dyDescent="0.25">
      <c r="A24" s="52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97" t="s">
        <v>18</v>
      </c>
      <c r="N24" s="99">
        <f>SUM(N21:N23)</f>
        <v>16.3</v>
      </c>
      <c r="O24" s="47"/>
    </row>
    <row r="25" spans="1:15" x14ac:dyDescent="0.25">
      <c r="A25" s="48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7"/>
    </row>
    <row r="26" spans="1:15" s="16" customFormat="1" x14ac:dyDescent="0.25">
      <c r="A26" s="97" t="s">
        <v>14</v>
      </c>
      <c r="B26" s="97" t="s">
        <v>31</v>
      </c>
      <c r="C26" s="97" t="s">
        <v>20</v>
      </c>
      <c r="D26" s="97" t="s">
        <v>21</v>
      </c>
      <c r="E26" s="97" t="s">
        <v>32</v>
      </c>
      <c r="F26" s="97" t="s">
        <v>17</v>
      </c>
      <c r="G26" s="97" t="s">
        <v>33</v>
      </c>
      <c r="H26" s="97" t="s">
        <v>34</v>
      </c>
      <c r="I26" s="97" t="s">
        <v>18</v>
      </c>
      <c r="J26" s="15"/>
      <c r="K26" s="15"/>
      <c r="L26" s="15"/>
      <c r="M26" s="15"/>
      <c r="N26" s="15"/>
      <c r="O26" s="53"/>
    </row>
    <row r="27" spans="1:15" s="16" customFormat="1" x14ac:dyDescent="0.25">
      <c r="A27" s="57">
        <v>10</v>
      </c>
      <c r="B27" s="57" t="s">
        <v>138</v>
      </c>
      <c r="C27" s="57" t="s">
        <v>203</v>
      </c>
      <c r="D27" s="58">
        <v>0.15</v>
      </c>
      <c r="E27" s="57" t="s">
        <v>46</v>
      </c>
      <c r="F27" s="63">
        <v>7.1</v>
      </c>
      <c r="G27" s="63"/>
      <c r="H27" s="63"/>
      <c r="I27" s="58">
        <f t="shared" ref="I27:I56" si="1">IF(H27="",D27*F27,D27*F27*H27)</f>
        <v>1.0649999999999999</v>
      </c>
      <c r="J27" s="42"/>
      <c r="K27" s="42"/>
      <c r="L27" s="42"/>
      <c r="M27" s="42"/>
      <c r="N27" s="42"/>
      <c r="O27" s="53"/>
    </row>
    <row r="28" spans="1:15" s="16" customFormat="1" x14ac:dyDescent="0.25">
      <c r="A28" s="57">
        <v>20</v>
      </c>
      <c r="B28" s="57" t="s">
        <v>190</v>
      </c>
      <c r="C28" s="57" t="s">
        <v>202</v>
      </c>
      <c r="D28" s="58">
        <v>0.06</v>
      </c>
      <c r="E28" s="57" t="s">
        <v>35</v>
      </c>
      <c r="F28" s="63">
        <v>1</v>
      </c>
      <c r="G28" s="63"/>
      <c r="H28" s="63"/>
      <c r="I28" s="58">
        <f t="shared" si="1"/>
        <v>0.06</v>
      </c>
      <c r="J28" s="42"/>
      <c r="K28" s="42"/>
      <c r="L28" s="42"/>
      <c r="M28" s="42"/>
      <c r="N28" s="42"/>
      <c r="O28" s="53"/>
    </row>
    <row r="29" spans="1:15" s="16" customFormat="1" x14ac:dyDescent="0.25">
      <c r="A29" s="57">
        <v>30</v>
      </c>
      <c r="B29" s="57" t="s">
        <v>190</v>
      </c>
      <c r="C29" s="57" t="s">
        <v>201</v>
      </c>
      <c r="D29" s="58">
        <v>0.06</v>
      </c>
      <c r="E29" s="57" t="s">
        <v>35</v>
      </c>
      <c r="F29" s="63">
        <v>1</v>
      </c>
      <c r="G29" s="63"/>
      <c r="H29" s="63"/>
      <c r="I29" s="58">
        <f t="shared" si="1"/>
        <v>0.06</v>
      </c>
      <c r="J29" s="42"/>
      <c r="K29" s="42"/>
      <c r="L29" s="42"/>
      <c r="M29" s="42"/>
      <c r="N29" s="42"/>
      <c r="O29" s="53"/>
    </row>
    <row r="30" spans="1:15" s="16" customFormat="1" x14ac:dyDescent="0.25">
      <c r="A30" s="57">
        <v>40</v>
      </c>
      <c r="B30" s="57" t="s">
        <v>197</v>
      </c>
      <c r="C30" s="57" t="s">
        <v>200</v>
      </c>
      <c r="D30" s="58">
        <v>1</v>
      </c>
      <c r="E30" s="57" t="s">
        <v>35</v>
      </c>
      <c r="F30" s="63">
        <v>12</v>
      </c>
      <c r="G30" s="63"/>
      <c r="H30" s="63"/>
      <c r="I30" s="58">
        <f t="shared" si="1"/>
        <v>12</v>
      </c>
      <c r="J30" s="42"/>
      <c r="K30" s="42"/>
      <c r="L30" s="42"/>
      <c r="M30" s="42"/>
      <c r="N30" s="42"/>
      <c r="O30" s="53"/>
    </row>
    <row r="31" spans="1:15" s="16" customFormat="1" x14ac:dyDescent="0.25">
      <c r="A31" s="57">
        <v>50</v>
      </c>
      <c r="B31" s="57" t="s">
        <v>196</v>
      </c>
      <c r="C31" s="57" t="s">
        <v>200</v>
      </c>
      <c r="D31" s="58">
        <v>0.25</v>
      </c>
      <c r="E31" s="57" t="s">
        <v>35</v>
      </c>
      <c r="F31" s="63">
        <v>12</v>
      </c>
      <c r="G31" s="63"/>
      <c r="H31" s="63"/>
      <c r="I31" s="58">
        <f t="shared" si="1"/>
        <v>3</v>
      </c>
      <c r="J31" s="42"/>
      <c r="K31" s="42"/>
      <c r="L31" s="42"/>
      <c r="M31" s="42"/>
      <c r="N31" s="42"/>
      <c r="O31" s="53"/>
    </row>
    <row r="32" spans="1:15" s="16" customFormat="1" x14ac:dyDescent="0.25">
      <c r="A32" s="57">
        <v>60</v>
      </c>
      <c r="B32" s="57" t="s">
        <v>190</v>
      </c>
      <c r="C32" s="57" t="s">
        <v>199</v>
      </c>
      <c r="D32" s="58">
        <v>6.0000000000000001E-3</v>
      </c>
      <c r="E32" s="57" t="s">
        <v>35</v>
      </c>
      <c r="F32" s="63">
        <v>1</v>
      </c>
      <c r="G32" s="63"/>
      <c r="H32" s="63"/>
      <c r="I32" s="58">
        <f t="shared" si="1"/>
        <v>6.0000000000000001E-3</v>
      </c>
      <c r="J32" s="42"/>
      <c r="K32" s="42"/>
      <c r="L32" s="42"/>
      <c r="M32" s="42"/>
      <c r="N32" s="42"/>
      <c r="O32" s="53"/>
    </row>
    <row r="33" spans="1:15" s="16" customFormat="1" x14ac:dyDescent="0.25">
      <c r="A33" s="57">
        <v>70</v>
      </c>
      <c r="B33" s="57" t="s">
        <v>190</v>
      </c>
      <c r="C33" s="57" t="s">
        <v>198</v>
      </c>
      <c r="D33" s="58">
        <v>6.0000000000000001E-3</v>
      </c>
      <c r="E33" s="57" t="s">
        <v>35</v>
      </c>
      <c r="F33" s="63">
        <v>1</v>
      </c>
      <c r="G33" s="63"/>
      <c r="H33" s="63"/>
      <c r="I33" s="58">
        <f t="shared" si="1"/>
        <v>6.0000000000000001E-3</v>
      </c>
      <c r="J33" s="42"/>
      <c r="K33" s="42"/>
      <c r="L33" s="42"/>
      <c r="M33" s="42"/>
      <c r="N33" s="42"/>
      <c r="O33" s="53"/>
    </row>
    <row r="34" spans="1:15" s="16" customFormat="1" x14ac:dyDescent="0.25">
      <c r="A34" s="57">
        <v>80</v>
      </c>
      <c r="B34" s="57" t="s">
        <v>197</v>
      </c>
      <c r="C34" s="57" t="s">
        <v>195</v>
      </c>
      <c r="D34" s="58">
        <v>1.5</v>
      </c>
      <c r="E34" s="57" t="s">
        <v>35</v>
      </c>
      <c r="F34" s="63">
        <v>12</v>
      </c>
      <c r="G34" s="63"/>
      <c r="H34" s="63"/>
      <c r="I34" s="58">
        <f t="shared" si="1"/>
        <v>18</v>
      </c>
      <c r="J34" s="42"/>
      <c r="K34" s="42"/>
      <c r="L34" s="42"/>
      <c r="M34" s="42"/>
      <c r="N34" s="42"/>
      <c r="O34" s="53"/>
    </row>
    <row r="35" spans="1:15" s="16" customFormat="1" x14ac:dyDescent="0.25">
      <c r="A35" s="57">
        <v>90</v>
      </c>
      <c r="B35" s="57" t="s">
        <v>196</v>
      </c>
      <c r="C35" s="57" t="s">
        <v>195</v>
      </c>
      <c r="D35" s="58">
        <v>0.25</v>
      </c>
      <c r="E35" s="57" t="s">
        <v>35</v>
      </c>
      <c r="F35" s="63">
        <v>12</v>
      </c>
      <c r="G35" s="63"/>
      <c r="H35" s="63"/>
      <c r="I35" s="58">
        <f t="shared" si="1"/>
        <v>3</v>
      </c>
      <c r="J35" s="42"/>
      <c r="K35" s="42"/>
      <c r="L35" s="42"/>
      <c r="M35" s="42"/>
      <c r="N35" s="42"/>
      <c r="O35" s="53"/>
    </row>
    <row r="36" spans="1:15" s="16" customFormat="1" x14ac:dyDescent="0.25">
      <c r="A36" s="57">
        <v>100</v>
      </c>
      <c r="B36" s="57" t="s">
        <v>190</v>
      </c>
      <c r="C36" s="57" t="s">
        <v>194</v>
      </c>
      <c r="D36" s="58">
        <v>0.06</v>
      </c>
      <c r="E36" s="57" t="s">
        <v>35</v>
      </c>
      <c r="F36" s="63">
        <v>2</v>
      </c>
      <c r="G36" s="63"/>
      <c r="H36" s="63"/>
      <c r="I36" s="58">
        <f t="shared" si="1"/>
        <v>0.12</v>
      </c>
      <c r="J36" s="42"/>
      <c r="K36" s="42"/>
      <c r="L36" s="42"/>
      <c r="M36" s="42"/>
      <c r="N36" s="42"/>
      <c r="O36" s="53"/>
    </row>
    <row r="37" spans="1:15" s="16" customFormat="1" x14ac:dyDescent="0.25">
      <c r="A37" s="57">
        <v>110</v>
      </c>
      <c r="B37" s="57" t="s">
        <v>174</v>
      </c>
      <c r="C37" s="57" t="s">
        <v>193</v>
      </c>
      <c r="D37" s="58">
        <v>1.5</v>
      </c>
      <c r="E37" s="57" t="s">
        <v>35</v>
      </c>
      <c r="F37" s="63">
        <v>2</v>
      </c>
      <c r="G37" s="63"/>
      <c r="H37" s="63"/>
      <c r="I37" s="58">
        <f t="shared" si="1"/>
        <v>3</v>
      </c>
      <c r="J37" s="42"/>
      <c r="K37" s="42"/>
      <c r="L37" s="42"/>
      <c r="M37" s="42"/>
      <c r="N37" s="42"/>
      <c r="O37" s="53"/>
    </row>
    <row r="38" spans="1:15" s="16" customFormat="1" x14ac:dyDescent="0.25">
      <c r="A38" s="57">
        <v>120</v>
      </c>
      <c r="B38" s="57" t="s">
        <v>173</v>
      </c>
      <c r="C38" s="57" t="s">
        <v>193</v>
      </c>
      <c r="D38" s="58">
        <v>0.25</v>
      </c>
      <c r="E38" s="57" t="s">
        <v>35</v>
      </c>
      <c r="F38" s="63">
        <v>2</v>
      </c>
      <c r="G38" s="63"/>
      <c r="H38" s="63"/>
      <c r="I38" s="58">
        <f t="shared" si="1"/>
        <v>0.5</v>
      </c>
      <c r="J38" s="42"/>
      <c r="K38" s="42"/>
      <c r="L38" s="42"/>
      <c r="M38" s="42"/>
      <c r="N38" s="42"/>
      <c r="O38" s="53"/>
    </row>
    <row r="39" spans="1:15" s="16" customFormat="1" x14ac:dyDescent="0.25">
      <c r="A39" s="57">
        <v>130</v>
      </c>
      <c r="B39" s="57" t="s">
        <v>190</v>
      </c>
      <c r="C39" s="57" t="s">
        <v>192</v>
      </c>
      <c r="D39" s="58">
        <v>0.06</v>
      </c>
      <c r="E39" s="57" t="s">
        <v>35</v>
      </c>
      <c r="F39" s="63">
        <v>1</v>
      </c>
      <c r="G39" s="63"/>
      <c r="H39" s="63"/>
      <c r="I39" s="58">
        <f t="shared" si="1"/>
        <v>0.06</v>
      </c>
      <c r="J39" s="42"/>
      <c r="K39" s="42"/>
      <c r="L39" s="42"/>
      <c r="M39" s="42"/>
      <c r="N39" s="42"/>
      <c r="O39" s="53"/>
    </row>
    <row r="40" spans="1:15" s="16" customFormat="1" x14ac:dyDescent="0.25">
      <c r="A40" s="57">
        <v>140</v>
      </c>
      <c r="B40" s="57" t="s">
        <v>174</v>
      </c>
      <c r="C40" s="57" t="s">
        <v>191</v>
      </c>
      <c r="D40" s="58">
        <v>1.5</v>
      </c>
      <c r="E40" s="57" t="s">
        <v>35</v>
      </c>
      <c r="F40" s="63">
        <v>2</v>
      </c>
      <c r="G40" s="63"/>
      <c r="H40" s="63"/>
      <c r="I40" s="58">
        <f t="shared" si="1"/>
        <v>3</v>
      </c>
      <c r="J40" s="42"/>
      <c r="K40" s="42"/>
      <c r="L40" s="42"/>
      <c r="M40" s="42"/>
      <c r="N40" s="42"/>
      <c r="O40" s="53"/>
    </row>
    <row r="41" spans="1:15" s="16" customFormat="1" x14ac:dyDescent="0.25">
      <c r="A41" s="57">
        <v>150</v>
      </c>
      <c r="B41" s="57" t="s">
        <v>173</v>
      </c>
      <c r="C41" s="57" t="s">
        <v>191</v>
      </c>
      <c r="D41" s="58">
        <v>0.25</v>
      </c>
      <c r="E41" s="57" t="s">
        <v>35</v>
      </c>
      <c r="F41" s="63">
        <v>2</v>
      </c>
      <c r="G41" s="63"/>
      <c r="H41" s="63"/>
      <c r="I41" s="58">
        <f t="shared" si="1"/>
        <v>0.5</v>
      </c>
      <c r="J41" s="42"/>
      <c r="K41" s="42"/>
      <c r="L41" s="42"/>
      <c r="M41" s="42"/>
      <c r="N41" s="42"/>
      <c r="O41" s="53"/>
    </row>
    <row r="42" spans="1:15" s="16" customFormat="1" x14ac:dyDescent="0.25">
      <c r="A42" s="57">
        <v>160</v>
      </c>
      <c r="B42" s="57" t="s">
        <v>190</v>
      </c>
      <c r="C42" s="57" t="s">
        <v>189</v>
      </c>
      <c r="D42" s="58">
        <v>0.06</v>
      </c>
      <c r="E42" s="57" t="s">
        <v>35</v>
      </c>
      <c r="F42" s="63">
        <v>2</v>
      </c>
      <c r="G42" s="63"/>
      <c r="H42" s="63"/>
      <c r="I42" s="58">
        <f t="shared" si="1"/>
        <v>0.12</v>
      </c>
      <c r="J42" s="42"/>
      <c r="K42" s="42"/>
      <c r="L42" s="42"/>
      <c r="M42" s="42"/>
      <c r="N42" s="42"/>
      <c r="O42" s="53"/>
    </row>
    <row r="43" spans="1:15" s="16" customFormat="1" x14ac:dyDescent="0.25">
      <c r="A43" s="57">
        <v>170</v>
      </c>
      <c r="B43" s="57" t="s">
        <v>185</v>
      </c>
      <c r="C43" s="57" t="s">
        <v>184</v>
      </c>
      <c r="D43" s="58">
        <v>0.19</v>
      </c>
      <c r="E43" s="57" t="s">
        <v>35</v>
      </c>
      <c r="F43" s="63">
        <v>1</v>
      </c>
      <c r="G43" s="63"/>
      <c r="H43" s="63"/>
      <c r="I43" s="58">
        <f t="shared" si="1"/>
        <v>0.19</v>
      </c>
      <c r="J43" s="42"/>
      <c r="K43" s="42"/>
      <c r="L43" s="42"/>
      <c r="M43" s="42"/>
      <c r="N43" s="42"/>
      <c r="O43" s="53"/>
    </row>
    <row r="44" spans="1:15" s="16" customFormat="1" x14ac:dyDescent="0.25">
      <c r="A44" s="57">
        <v>180</v>
      </c>
      <c r="B44" s="57" t="s">
        <v>178</v>
      </c>
      <c r="C44" s="57" t="s">
        <v>188</v>
      </c>
      <c r="D44" s="58">
        <v>0.35</v>
      </c>
      <c r="E44" s="57" t="s">
        <v>35</v>
      </c>
      <c r="F44" s="63">
        <v>2</v>
      </c>
      <c r="G44" s="63"/>
      <c r="H44" s="63"/>
      <c r="I44" s="58">
        <f t="shared" si="1"/>
        <v>0.7</v>
      </c>
      <c r="J44" s="42"/>
      <c r="K44" s="42"/>
      <c r="L44" s="42"/>
      <c r="M44" s="42"/>
      <c r="N44" s="42"/>
      <c r="O44" s="53"/>
    </row>
    <row r="45" spans="1:15" s="16" customFormat="1" x14ac:dyDescent="0.25">
      <c r="A45" s="57">
        <v>190</v>
      </c>
      <c r="B45" s="57" t="s">
        <v>176</v>
      </c>
      <c r="C45" s="57" t="s">
        <v>187</v>
      </c>
      <c r="D45" s="58">
        <v>0.13</v>
      </c>
      <c r="E45" s="57" t="s">
        <v>35</v>
      </c>
      <c r="F45" s="63">
        <v>2</v>
      </c>
      <c r="G45" s="63"/>
      <c r="H45" s="63"/>
      <c r="I45" s="58">
        <f t="shared" si="1"/>
        <v>0.26</v>
      </c>
      <c r="J45" s="42"/>
      <c r="K45" s="42"/>
      <c r="L45" s="42"/>
      <c r="M45" s="42"/>
      <c r="N45" s="42"/>
      <c r="O45" s="53"/>
    </row>
    <row r="46" spans="1:15" s="16" customFormat="1" x14ac:dyDescent="0.25">
      <c r="A46" s="57">
        <v>200</v>
      </c>
      <c r="B46" s="57" t="s">
        <v>174</v>
      </c>
      <c r="C46" s="57" t="s">
        <v>186</v>
      </c>
      <c r="D46" s="58">
        <v>1.5</v>
      </c>
      <c r="E46" s="57" t="s">
        <v>35</v>
      </c>
      <c r="F46" s="63">
        <v>2</v>
      </c>
      <c r="G46" s="63"/>
      <c r="H46" s="63"/>
      <c r="I46" s="58">
        <f t="shared" si="1"/>
        <v>3</v>
      </c>
      <c r="J46" s="42"/>
      <c r="K46" s="42"/>
      <c r="L46" s="42"/>
      <c r="M46" s="42"/>
      <c r="N46" s="42"/>
      <c r="O46" s="53"/>
    </row>
    <row r="47" spans="1:15" s="16" customFormat="1" x14ac:dyDescent="0.25">
      <c r="A47" s="57">
        <v>210</v>
      </c>
      <c r="B47" s="57" t="s">
        <v>173</v>
      </c>
      <c r="C47" s="57" t="s">
        <v>186</v>
      </c>
      <c r="D47" s="58">
        <v>0.25</v>
      </c>
      <c r="E47" s="57" t="s">
        <v>35</v>
      </c>
      <c r="F47" s="63">
        <v>2</v>
      </c>
      <c r="G47" s="63"/>
      <c r="H47" s="63"/>
      <c r="I47" s="58">
        <f t="shared" si="1"/>
        <v>0.5</v>
      </c>
      <c r="J47" s="42"/>
      <c r="K47" s="42"/>
      <c r="L47" s="42"/>
      <c r="M47" s="42"/>
      <c r="N47" s="42"/>
      <c r="O47" s="53"/>
    </row>
    <row r="48" spans="1:15" s="16" customFormat="1" x14ac:dyDescent="0.25">
      <c r="A48" s="57">
        <v>220</v>
      </c>
      <c r="B48" s="57" t="s">
        <v>185</v>
      </c>
      <c r="C48" s="57" t="s">
        <v>184</v>
      </c>
      <c r="D48" s="58">
        <v>0.19</v>
      </c>
      <c r="E48" s="57" t="s">
        <v>35</v>
      </c>
      <c r="F48" s="63">
        <v>1</v>
      </c>
      <c r="G48" s="63"/>
      <c r="H48" s="63"/>
      <c r="I48" s="58">
        <f t="shared" si="1"/>
        <v>0.19</v>
      </c>
      <c r="J48" s="42"/>
      <c r="K48" s="42"/>
      <c r="L48" s="42"/>
      <c r="M48" s="42"/>
      <c r="N48" s="42"/>
      <c r="O48" s="53"/>
    </row>
    <row r="49" spans="1:15" s="16" customFormat="1" x14ac:dyDescent="0.25">
      <c r="A49" s="57">
        <v>230</v>
      </c>
      <c r="B49" s="57" t="s">
        <v>174</v>
      </c>
      <c r="C49" s="57" t="s">
        <v>183</v>
      </c>
      <c r="D49" s="58">
        <v>1.5</v>
      </c>
      <c r="E49" s="57" t="s">
        <v>35</v>
      </c>
      <c r="F49" s="63">
        <v>4</v>
      </c>
      <c r="G49" s="63"/>
      <c r="H49" s="63"/>
      <c r="I49" s="58">
        <f t="shared" si="1"/>
        <v>6</v>
      </c>
      <c r="J49" s="42"/>
      <c r="K49" s="42"/>
      <c r="L49" s="42"/>
      <c r="M49" s="42"/>
      <c r="N49" s="42"/>
      <c r="O49" s="53"/>
    </row>
    <row r="50" spans="1:15" s="16" customFormat="1" x14ac:dyDescent="0.25">
      <c r="A50" s="57">
        <v>240</v>
      </c>
      <c r="B50" s="57" t="s">
        <v>182</v>
      </c>
      <c r="C50" s="57" t="s">
        <v>181</v>
      </c>
      <c r="D50" s="58">
        <v>0.5</v>
      </c>
      <c r="E50" s="57" t="s">
        <v>35</v>
      </c>
      <c r="F50" s="63">
        <v>4</v>
      </c>
      <c r="G50" s="63"/>
      <c r="H50" s="63"/>
      <c r="I50" s="58">
        <f t="shared" si="1"/>
        <v>2</v>
      </c>
      <c r="J50" s="42"/>
      <c r="K50" s="42"/>
      <c r="L50" s="42"/>
      <c r="M50" s="42"/>
      <c r="N50" s="42"/>
      <c r="O50" s="53"/>
    </row>
    <row r="51" spans="1:15" s="16" customFormat="1" x14ac:dyDescent="0.25">
      <c r="A51" s="57">
        <v>250</v>
      </c>
      <c r="B51" s="57" t="s">
        <v>176</v>
      </c>
      <c r="C51" s="57" t="s">
        <v>180</v>
      </c>
      <c r="D51" s="58">
        <v>0.13</v>
      </c>
      <c r="E51" s="57" t="s">
        <v>35</v>
      </c>
      <c r="F51" s="63">
        <v>2</v>
      </c>
      <c r="G51" s="63"/>
      <c r="H51" s="63"/>
      <c r="I51" s="58">
        <f t="shared" si="1"/>
        <v>0.26</v>
      </c>
      <c r="J51" s="42"/>
      <c r="K51" s="42"/>
      <c r="L51" s="42"/>
      <c r="M51" s="42"/>
      <c r="N51" s="42"/>
      <c r="O51" s="53"/>
    </row>
    <row r="52" spans="1:15" s="16" customFormat="1" x14ac:dyDescent="0.25">
      <c r="A52" s="57">
        <v>260</v>
      </c>
      <c r="B52" s="57" t="s">
        <v>152</v>
      </c>
      <c r="C52" s="57" t="s">
        <v>179</v>
      </c>
      <c r="D52" s="58">
        <v>0.25</v>
      </c>
      <c r="E52" s="57" t="s">
        <v>150</v>
      </c>
      <c r="F52" s="63">
        <v>2</v>
      </c>
      <c r="G52" s="63"/>
      <c r="H52" s="63"/>
      <c r="I52" s="58">
        <f t="shared" si="1"/>
        <v>0.5</v>
      </c>
      <c r="J52" s="42"/>
      <c r="K52" s="42"/>
      <c r="L52" s="42"/>
      <c r="M52" s="42"/>
      <c r="N52" s="42"/>
      <c r="O52" s="53"/>
    </row>
    <row r="53" spans="1:15" s="16" customFormat="1" x14ac:dyDescent="0.25">
      <c r="A53" s="57">
        <v>270</v>
      </c>
      <c r="B53" s="57" t="s">
        <v>178</v>
      </c>
      <c r="C53" s="57" t="s">
        <v>177</v>
      </c>
      <c r="D53" s="58">
        <v>0.35</v>
      </c>
      <c r="E53" s="57" t="s">
        <v>35</v>
      </c>
      <c r="F53" s="63">
        <v>2</v>
      </c>
      <c r="G53" s="63"/>
      <c r="H53" s="63"/>
      <c r="I53" s="58">
        <f t="shared" si="1"/>
        <v>0.7</v>
      </c>
      <c r="J53" s="42"/>
      <c r="K53" s="42"/>
      <c r="L53" s="42"/>
      <c r="M53" s="42"/>
      <c r="N53" s="42"/>
      <c r="O53" s="53"/>
    </row>
    <row r="54" spans="1:15" s="16" customFormat="1" x14ac:dyDescent="0.25">
      <c r="A54" s="57">
        <v>280</v>
      </c>
      <c r="B54" s="57" t="s">
        <v>176</v>
      </c>
      <c r="C54" s="57" t="s">
        <v>175</v>
      </c>
      <c r="D54" s="58">
        <v>0.13</v>
      </c>
      <c r="E54" s="57" t="s">
        <v>35</v>
      </c>
      <c r="F54" s="63">
        <v>2</v>
      </c>
      <c r="G54" s="63"/>
      <c r="H54" s="63"/>
      <c r="I54" s="58">
        <f t="shared" si="1"/>
        <v>0.26</v>
      </c>
      <c r="J54" s="42"/>
      <c r="K54" s="42"/>
      <c r="L54" s="42"/>
      <c r="M54" s="42"/>
      <c r="N54" s="42"/>
      <c r="O54" s="53"/>
    </row>
    <row r="55" spans="1:15" s="16" customFormat="1" x14ac:dyDescent="0.25">
      <c r="A55" s="57">
        <v>290</v>
      </c>
      <c r="B55" s="57" t="s">
        <v>174</v>
      </c>
      <c r="C55" s="57" t="s">
        <v>172</v>
      </c>
      <c r="D55" s="58">
        <v>1.5</v>
      </c>
      <c r="E55" s="57" t="s">
        <v>35</v>
      </c>
      <c r="F55" s="63">
        <v>2</v>
      </c>
      <c r="G55" s="63"/>
      <c r="H55" s="63"/>
      <c r="I55" s="58">
        <f t="shared" si="1"/>
        <v>3</v>
      </c>
      <c r="J55" s="42"/>
      <c r="K55" s="42"/>
      <c r="L55" s="42"/>
      <c r="M55" s="42"/>
      <c r="N55" s="42"/>
      <c r="O55" s="53"/>
    </row>
    <row r="56" spans="1:15" s="16" customFormat="1" x14ac:dyDescent="0.25">
      <c r="A56" s="57">
        <v>300</v>
      </c>
      <c r="B56" s="57" t="s">
        <v>173</v>
      </c>
      <c r="C56" s="57" t="s">
        <v>172</v>
      </c>
      <c r="D56" s="58">
        <v>0.25</v>
      </c>
      <c r="E56" s="57" t="s">
        <v>35</v>
      </c>
      <c r="F56" s="63">
        <v>2</v>
      </c>
      <c r="G56" s="63"/>
      <c r="H56" s="63"/>
      <c r="I56" s="58">
        <f t="shared" si="1"/>
        <v>0.5</v>
      </c>
      <c r="J56" s="42"/>
      <c r="K56" s="42"/>
      <c r="L56" s="42"/>
      <c r="M56" s="42"/>
      <c r="N56" s="42"/>
      <c r="O56" s="53"/>
    </row>
    <row r="57" spans="1:15" x14ac:dyDescent="0.25">
      <c r="A57" s="52"/>
      <c r="B57" s="15"/>
      <c r="C57" s="15"/>
      <c r="D57" s="15"/>
      <c r="E57" s="15"/>
      <c r="F57" s="15"/>
      <c r="G57" s="15"/>
      <c r="H57" s="98" t="s">
        <v>18</v>
      </c>
      <c r="I57" s="99">
        <f>SUM(I27:I56)</f>
        <v>62.556999999999995</v>
      </c>
      <c r="J57" s="41"/>
      <c r="K57" s="41"/>
      <c r="L57" s="41"/>
      <c r="M57" s="41"/>
      <c r="N57" s="41"/>
      <c r="O57" s="47"/>
    </row>
    <row r="58" spans="1:15" x14ac:dyDescent="0.25">
      <c r="A58" s="48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7"/>
    </row>
    <row r="59" spans="1:15" x14ac:dyDescent="0.25">
      <c r="A59" s="97" t="s">
        <v>14</v>
      </c>
      <c r="B59" s="97" t="s">
        <v>36</v>
      </c>
      <c r="C59" s="97" t="s">
        <v>20</v>
      </c>
      <c r="D59" s="97" t="s">
        <v>21</v>
      </c>
      <c r="E59" s="97" t="s">
        <v>22</v>
      </c>
      <c r="F59" s="97" t="s">
        <v>23</v>
      </c>
      <c r="G59" s="97" t="s">
        <v>24</v>
      </c>
      <c r="H59" s="97" t="s">
        <v>25</v>
      </c>
      <c r="I59" s="97" t="s">
        <v>17</v>
      </c>
      <c r="J59" s="97" t="s">
        <v>18</v>
      </c>
      <c r="K59" s="41"/>
      <c r="L59" s="41"/>
      <c r="M59" s="41"/>
      <c r="N59" s="41"/>
      <c r="O59" s="47"/>
    </row>
    <row r="60" spans="1:15" x14ac:dyDescent="0.25">
      <c r="A60" s="57">
        <v>10</v>
      </c>
      <c r="B60" s="57" t="s">
        <v>171</v>
      </c>
      <c r="C60" s="57" t="s">
        <v>170</v>
      </c>
      <c r="D60" s="114">
        <f>0.004*E60+0.5</f>
        <v>0.69399999999999995</v>
      </c>
      <c r="E60" s="113">
        <v>48.5</v>
      </c>
      <c r="F60" s="113" t="s">
        <v>30</v>
      </c>
      <c r="G60" s="113"/>
      <c r="H60" s="113"/>
      <c r="I60" s="64">
        <v>4</v>
      </c>
      <c r="J60" s="58">
        <f t="shared" ref="J60:J66" si="2">I60*D60</f>
        <v>2.7759999999999998</v>
      </c>
      <c r="K60" s="41"/>
      <c r="L60" s="41"/>
      <c r="M60" s="41"/>
      <c r="N60" s="41"/>
      <c r="O60" s="47"/>
    </row>
    <row r="61" spans="1:15" x14ac:dyDescent="0.25">
      <c r="A61" s="57">
        <v>20</v>
      </c>
      <c r="B61" s="57" t="s">
        <v>156</v>
      </c>
      <c r="C61" s="57" t="s">
        <v>168</v>
      </c>
      <c r="D61" s="114">
        <f>0.8/105154*E61^2*G61*SQRT((G61+E61))+(0.003*EXP(0.319*E61))</f>
        <v>4.8271264768582824E-2</v>
      </c>
      <c r="E61" s="113">
        <v>6</v>
      </c>
      <c r="F61" s="113" t="s">
        <v>30</v>
      </c>
      <c r="G61" s="113">
        <v>20</v>
      </c>
      <c r="H61" s="113" t="s">
        <v>30</v>
      </c>
      <c r="I61" s="64">
        <v>8</v>
      </c>
      <c r="J61" s="58">
        <f t="shared" si="2"/>
        <v>0.38617011814866259</v>
      </c>
      <c r="K61" s="41"/>
      <c r="L61" s="41"/>
      <c r="M61" s="41"/>
      <c r="N61" s="41"/>
      <c r="O61" s="47"/>
    </row>
    <row r="62" spans="1:15" x14ac:dyDescent="0.25">
      <c r="A62" s="57">
        <v>30</v>
      </c>
      <c r="B62" s="57" t="s">
        <v>156</v>
      </c>
      <c r="C62" s="57" t="s">
        <v>167</v>
      </c>
      <c r="D62" s="114">
        <f>0.8/105154*E62^2*G62*SQRT((G62+E62))+(0.003*EXP(0.319*E62))</f>
        <v>1.9456865709169109E-2</v>
      </c>
      <c r="E62" s="113">
        <v>4</v>
      </c>
      <c r="F62" s="113" t="s">
        <v>30</v>
      </c>
      <c r="G62" s="113">
        <v>16</v>
      </c>
      <c r="H62" s="113" t="s">
        <v>30</v>
      </c>
      <c r="I62" s="64">
        <v>24</v>
      </c>
      <c r="J62" s="58">
        <f t="shared" si="2"/>
        <v>0.46696477702005862</v>
      </c>
      <c r="K62" s="41"/>
      <c r="L62" s="41"/>
      <c r="M62" s="41"/>
      <c r="N62" s="41"/>
      <c r="O62" s="47"/>
    </row>
    <row r="63" spans="1:15" x14ac:dyDescent="0.25">
      <c r="A63" s="57">
        <v>40</v>
      </c>
      <c r="B63" s="57" t="s">
        <v>169</v>
      </c>
      <c r="C63" s="57" t="s">
        <v>168</v>
      </c>
      <c r="D63" s="114">
        <v>0.01</v>
      </c>
      <c r="E63" s="113">
        <v>6</v>
      </c>
      <c r="F63" s="113" t="s">
        <v>30</v>
      </c>
      <c r="G63" s="113"/>
      <c r="H63" s="113"/>
      <c r="I63" s="64">
        <v>8</v>
      </c>
      <c r="J63" s="58">
        <f t="shared" si="2"/>
        <v>0.08</v>
      </c>
      <c r="K63" s="41"/>
      <c r="L63" s="41"/>
      <c r="M63" s="41"/>
      <c r="N63" s="41"/>
      <c r="O63" s="47"/>
    </row>
    <row r="64" spans="1:15" x14ac:dyDescent="0.25">
      <c r="A64" s="57">
        <v>50</v>
      </c>
      <c r="B64" s="57" t="s">
        <v>169</v>
      </c>
      <c r="C64" s="57" t="s">
        <v>167</v>
      </c>
      <c r="D64" s="114">
        <v>0.01</v>
      </c>
      <c r="E64" s="113">
        <v>4</v>
      </c>
      <c r="F64" s="113" t="s">
        <v>30</v>
      </c>
      <c r="G64" s="113"/>
      <c r="H64" s="113"/>
      <c r="I64" s="64">
        <v>24</v>
      </c>
      <c r="J64" s="58">
        <f t="shared" si="2"/>
        <v>0.24</v>
      </c>
      <c r="K64" s="41"/>
      <c r="L64" s="41"/>
      <c r="M64" s="41"/>
      <c r="N64" s="41"/>
      <c r="O64" s="47"/>
    </row>
    <row r="65" spans="1:15" x14ac:dyDescent="0.25">
      <c r="A65" s="57">
        <v>60</v>
      </c>
      <c r="B65" s="57" t="s">
        <v>38</v>
      </c>
      <c r="C65" s="57" t="s">
        <v>168</v>
      </c>
      <c r="D65" s="114">
        <f>(0.009*EXP(0.2*E65))</f>
        <v>2.9881052304628931E-2</v>
      </c>
      <c r="E65" s="113">
        <v>6</v>
      </c>
      <c r="F65" s="113" t="s">
        <v>30</v>
      </c>
      <c r="G65" s="113"/>
      <c r="H65" s="113"/>
      <c r="I65" s="64">
        <v>8</v>
      </c>
      <c r="J65" s="58">
        <f t="shared" si="2"/>
        <v>0.23904841843703145</v>
      </c>
      <c r="K65" s="41"/>
      <c r="L65" s="41"/>
      <c r="M65" s="41"/>
      <c r="N65" s="41"/>
      <c r="O65" s="47"/>
    </row>
    <row r="66" spans="1:15" x14ac:dyDescent="0.25">
      <c r="A66" s="57">
        <v>70</v>
      </c>
      <c r="B66" s="57" t="s">
        <v>38</v>
      </c>
      <c r="C66" s="57" t="s">
        <v>167</v>
      </c>
      <c r="D66" s="114">
        <f>(0.009*EXP(0.2*E66))</f>
        <v>2.0029868356432209E-2</v>
      </c>
      <c r="E66" s="113">
        <v>4</v>
      </c>
      <c r="F66" s="113" t="s">
        <v>30</v>
      </c>
      <c r="G66" s="113"/>
      <c r="H66" s="113"/>
      <c r="I66" s="64">
        <v>24</v>
      </c>
      <c r="J66" s="58">
        <f t="shared" si="2"/>
        <v>0.48071684055437303</v>
      </c>
      <c r="K66" s="41"/>
      <c r="L66" s="41"/>
      <c r="M66" s="41"/>
      <c r="N66" s="41"/>
      <c r="O66" s="47"/>
    </row>
    <row r="67" spans="1:15" x14ac:dyDescent="0.25">
      <c r="A67" s="52"/>
      <c r="B67" s="15"/>
      <c r="C67" s="15"/>
      <c r="D67" s="15"/>
      <c r="E67" s="15"/>
      <c r="F67" s="15"/>
      <c r="G67" s="15"/>
      <c r="H67" s="15"/>
      <c r="I67" s="98" t="s">
        <v>18</v>
      </c>
      <c r="J67" s="99">
        <f>SUM(J60:J66)</f>
        <v>4.6689001541601254</v>
      </c>
      <c r="K67" s="41"/>
      <c r="L67" s="41"/>
      <c r="M67" s="41"/>
      <c r="N67" s="41"/>
      <c r="O67" s="47"/>
    </row>
    <row r="68" spans="1:15" x14ac:dyDescent="0.25">
      <c r="A68" s="48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7"/>
    </row>
    <row r="69" spans="1:15" x14ac:dyDescent="0.25">
      <c r="A69" s="97" t="s">
        <v>14</v>
      </c>
      <c r="B69" s="97" t="s">
        <v>39</v>
      </c>
      <c r="C69" s="97" t="s">
        <v>20</v>
      </c>
      <c r="D69" s="97" t="s">
        <v>21</v>
      </c>
      <c r="E69" s="97" t="s">
        <v>32</v>
      </c>
      <c r="F69" s="97" t="s">
        <v>17</v>
      </c>
      <c r="G69" s="97" t="s">
        <v>40</v>
      </c>
      <c r="H69" s="97" t="s">
        <v>41</v>
      </c>
      <c r="I69" s="97" t="s">
        <v>18</v>
      </c>
      <c r="J69" s="15"/>
      <c r="K69" s="41"/>
      <c r="L69" s="41"/>
      <c r="M69" s="41"/>
      <c r="N69" s="41"/>
      <c r="O69" s="47"/>
    </row>
    <row r="70" spans="1:15" x14ac:dyDescent="0.25">
      <c r="A70" s="57">
        <v>10</v>
      </c>
      <c r="B70" s="57" t="s">
        <v>42</v>
      </c>
      <c r="C70" s="57" t="s">
        <v>166</v>
      </c>
      <c r="D70" s="58">
        <v>500</v>
      </c>
      <c r="E70" s="57" t="s">
        <v>43</v>
      </c>
      <c r="F70" s="57">
        <v>4</v>
      </c>
      <c r="G70" s="57">
        <v>3000</v>
      </c>
      <c r="H70" s="57">
        <v>1</v>
      </c>
      <c r="I70" s="58">
        <f>D70*F70/G70*H70</f>
        <v>0.66666666666666663</v>
      </c>
      <c r="J70" s="15"/>
      <c r="K70" s="41"/>
      <c r="L70" s="41"/>
      <c r="M70" s="41"/>
      <c r="N70" s="41"/>
      <c r="O70" s="47"/>
    </row>
    <row r="71" spans="1:15" x14ac:dyDescent="0.25">
      <c r="A71" s="52"/>
      <c r="B71" s="15"/>
      <c r="C71" s="15"/>
      <c r="D71" s="15"/>
      <c r="E71" s="15"/>
      <c r="F71" s="15"/>
      <c r="G71" s="15"/>
      <c r="H71" s="101" t="s">
        <v>18</v>
      </c>
      <c r="I71" s="102">
        <f>SUM(I70:I70)</f>
        <v>0.66666666666666663</v>
      </c>
      <c r="J71" s="15"/>
      <c r="K71" s="41"/>
      <c r="L71" s="41"/>
      <c r="M71" s="41"/>
      <c r="N71" s="41"/>
      <c r="O71" s="47"/>
    </row>
    <row r="72" spans="1:15" ht="15.75" thickBot="1" x14ac:dyDescent="0.3">
      <c r="A72" s="54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6"/>
    </row>
    <row r="73" spans="1:15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</row>
  </sheetData>
  <hyperlinks>
    <hyperlink ref="B10" location="EN_0300_001" display="EN_0300_001" xr:uid="{00000000-0004-0000-0200-000000000000}"/>
    <hyperlink ref="B11" location="EN_0300_002" display="EN_0300_002" xr:uid="{00000000-0004-0000-0200-000001000000}"/>
    <hyperlink ref="B12" location="EN_0300_003" display="EN_0300_003" xr:uid="{00000000-0004-0000-0200-000002000000}"/>
    <hyperlink ref="B13" location="EN_0300_009" display="EN_0300_009" xr:uid="{00000000-0004-0000-0200-000003000000}"/>
    <hyperlink ref="B14" location="EN_0300_010" display="EN_0300_010" xr:uid="{00000000-0004-0000-0200-000004000000}"/>
    <hyperlink ref="B15" location="EN_0300_011" display="EN_0300_011" xr:uid="{00000000-0004-0000-0200-000005000000}"/>
    <hyperlink ref="B16" location="EN_0300_012" display="EN_0300_012" xr:uid="{00000000-0004-0000-0200-000006000000}"/>
    <hyperlink ref="B17" location="EN_0300_013" display="EN_0300_013" xr:uid="{00000000-0004-0000-0200-000007000000}"/>
    <hyperlink ref="E2" location="EN_A0300_BOM" display="Back to BOM" xr:uid="{C8F83D4B-ED54-4251-AD12-FF9BB7BC5F2C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7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094B-A54D-402D-B373-A105C735B84B}">
  <sheetPr>
    <tabColor theme="6" tint="0.39997558519241921"/>
    <pageSetUpPr fitToPage="1"/>
  </sheetPr>
  <dimension ref="A1:O22"/>
  <sheetViews>
    <sheetView zoomScaleNormal="100" workbookViewId="0">
      <selection activeCell="G2" sqref="G2"/>
    </sheetView>
  </sheetViews>
  <sheetFormatPr baseColWidth="10" defaultColWidth="9.140625" defaultRowHeight="15" x14ac:dyDescent="0.25"/>
  <cols>
    <col min="3" max="3" width="24.7109375" customWidth="1"/>
    <col min="5" max="5" width="10.140625" customWidth="1"/>
    <col min="7" max="7" width="8.85546875" customWidth="1"/>
    <col min="15" max="15" width="3.140625" customWidth="1"/>
  </cols>
  <sheetData>
    <row r="1" spans="1:15" x14ac:dyDescent="0.25">
      <c r="A1" s="133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EN_0300_001_m+EN_0300_001_p</f>
        <v>12.57225</v>
      </c>
      <c r="O2" s="47"/>
    </row>
    <row r="3" spans="1:15" x14ac:dyDescent="0.25">
      <c r="A3" s="103" t="s">
        <v>3</v>
      </c>
      <c r="B3" s="11" t="str">
        <f>EN_A0300!B3</f>
        <v>Engine and Drivetrain</v>
      </c>
      <c r="C3" s="41"/>
      <c r="D3" s="103" t="s">
        <v>6</v>
      </c>
      <c r="E3" s="70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47"/>
    </row>
    <row r="4" spans="1:15" x14ac:dyDescent="0.25">
      <c r="A4" s="103" t="s">
        <v>5</v>
      </c>
      <c r="B4" s="69" t="str">
        <f>EN_A0300!B4</f>
        <v>Air Intake System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219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12.57225</v>
      </c>
      <c r="O5" s="47"/>
    </row>
    <row r="6" spans="1:15" x14ac:dyDescent="0.25">
      <c r="A6" s="103" t="s">
        <v>7</v>
      </c>
      <c r="B6" s="17" t="s">
        <v>164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218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 t="s">
        <v>217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20" t="s">
        <v>23</v>
      </c>
      <c r="G10" s="120" t="s">
        <v>24</v>
      </c>
      <c r="H10" s="120" t="s">
        <v>25</v>
      </c>
      <c r="I10" s="120" t="s">
        <v>26</v>
      </c>
      <c r="J10" s="120" t="s">
        <v>27</v>
      </c>
      <c r="K10" s="120" t="s">
        <v>28</v>
      </c>
      <c r="L10" s="120" t="s">
        <v>29</v>
      </c>
      <c r="M10" s="120" t="s">
        <v>17</v>
      </c>
      <c r="N10" s="120" t="s">
        <v>18</v>
      </c>
      <c r="O10" s="47"/>
    </row>
    <row r="11" spans="1:15" s="14" customFormat="1" x14ac:dyDescent="0.25">
      <c r="A11" s="132">
        <v>10</v>
      </c>
      <c r="B11" s="131" t="s">
        <v>216</v>
      </c>
      <c r="C11" s="130" t="s">
        <v>215</v>
      </c>
      <c r="D11" s="123">
        <v>3.3</v>
      </c>
      <c r="E11" s="130"/>
      <c r="F11" s="130" t="s">
        <v>144</v>
      </c>
      <c r="G11" s="130"/>
      <c r="H11" s="129"/>
      <c r="I11" s="128"/>
      <c r="J11" s="127"/>
      <c r="K11" s="126"/>
      <c r="L11" s="125">
        <v>1140</v>
      </c>
      <c r="M11" s="124">
        <v>0.34499999999999997</v>
      </c>
      <c r="N11" s="123">
        <f>IF(J11="",D11*M11,D11*J11*K11*L11*M11)</f>
        <v>1.1384999999999998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22" t="s">
        <v>18</v>
      </c>
      <c r="N12" s="106">
        <f>SUM(N11:N11)</f>
        <v>1.1384999999999998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21" t="s">
        <v>14</v>
      </c>
      <c r="B14" s="120" t="s">
        <v>31</v>
      </c>
      <c r="C14" s="120" t="s">
        <v>20</v>
      </c>
      <c r="D14" s="120" t="s">
        <v>21</v>
      </c>
      <c r="E14" s="120" t="s">
        <v>32</v>
      </c>
      <c r="F14" s="120" t="s">
        <v>17</v>
      </c>
      <c r="G14" s="120" t="s">
        <v>33</v>
      </c>
      <c r="H14" s="120" t="s">
        <v>34</v>
      </c>
      <c r="I14" s="12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214</v>
      </c>
      <c r="C15" s="57" t="s">
        <v>213</v>
      </c>
      <c r="D15" s="58">
        <v>32</v>
      </c>
      <c r="E15" s="57" t="s">
        <v>144</v>
      </c>
      <c r="F15" s="63">
        <v>0.34499999999999997</v>
      </c>
      <c r="G15" s="63"/>
      <c r="H15" s="63"/>
      <c r="I15" s="58">
        <f>IF(H15="",D15*F15,D15*F15*H15)</f>
        <v>11.04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/>
      <c r="B16" s="57" t="s">
        <v>212</v>
      </c>
      <c r="C16" s="57" t="s">
        <v>211</v>
      </c>
      <c r="D16" s="58">
        <v>5.25</v>
      </c>
      <c r="E16" s="57" t="s">
        <v>155</v>
      </c>
      <c r="F16" s="63">
        <v>7.4999999999999997E-2</v>
      </c>
      <c r="G16" s="63"/>
      <c r="H16" s="63"/>
      <c r="I16" s="58">
        <f>IF(H16="",D16*F16,D16*F16*H16)</f>
        <v>0.39374999999999999</v>
      </c>
      <c r="J16" s="42"/>
      <c r="K16" s="42"/>
      <c r="L16" s="42"/>
      <c r="M16" s="42"/>
      <c r="N16" s="42"/>
      <c r="O16" s="53"/>
    </row>
    <row r="17" spans="1:15" x14ac:dyDescent="0.25">
      <c r="A17" s="52"/>
      <c r="B17" s="15"/>
      <c r="C17" s="15"/>
      <c r="D17" s="15"/>
      <c r="E17" s="15"/>
      <c r="F17" s="15"/>
      <c r="G17" s="15"/>
      <c r="H17" s="109" t="s">
        <v>18</v>
      </c>
      <c r="I17" s="106">
        <f>SUM(I15:I16)</f>
        <v>11.43375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9"/>
      <c r="I18" s="118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9"/>
      <c r="I19" s="118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9"/>
      <c r="I20" s="118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9"/>
      <c r="I21" s="118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0300-000000000000}"/>
    <hyperlink ref="E3" location="dBR_01001" display="Drawing" xr:uid="{00000000-0004-0000-0300-000001000000}"/>
    <hyperlink ref="G2" location="EN_A0300_BOM" display="Back to BOM" xr:uid="{B66DB499-BA3B-4287-BC96-259A43629C5C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3B2A-D266-4715-9D3D-335ABB02ACDB}">
  <sheetPr>
    <tabColor theme="6" tint="0.39997558519241921"/>
  </sheetPr>
  <dimension ref="A1:O22"/>
  <sheetViews>
    <sheetView zoomScale="85" zoomScaleNormal="85"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28.140625" customWidth="1"/>
    <col min="5" max="5" width="10.140625" customWidth="1"/>
    <col min="7" max="7" width="8.85546875" customWidth="1"/>
    <col min="9" max="9" width="29.7109375" customWidth="1"/>
    <col min="15" max="15" width="3.140625" customWidth="1"/>
  </cols>
  <sheetData>
    <row r="1" spans="1:15" x14ac:dyDescent="0.25">
      <c r="A1" s="133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EN_0300_002_m+EN_0300_002_p</f>
        <v>3.6790000000000003</v>
      </c>
      <c r="O2" s="47"/>
    </row>
    <row r="3" spans="1:15" x14ac:dyDescent="0.25">
      <c r="A3" s="103" t="s">
        <v>3</v>
      </c>
      <c r="B3" s="11" t="str">
        <f>EN_A0300!B3</f>
        <v>Engine and Drivetrain</v>
      </c>
      <c r="C3" s="41"/>
      <c r="D3" s="103" t="s">
        <v>6</v>
      </c>
      <c r="E3" s="70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47"/>
    </row>
    <row r="4" spans="1:15" x14ac:dyDescent="0.25">
      <c r="A4" s="103" t="s">
        <v>5</v>
      </c>
      <c r="B4" s="69" t="str">
        <f>EN_A0300!B4</f>
        <v>Air Intake System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227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3.6790000000000003</v>
      </c>
      <c r="O5" s="47"/>
    </row>
    <row r="6" spans="1:15" x14ac:dyDescent="0.25">
      <c r="A6" s="103" t="s">
        <v>7</v>
      </c>
      <c r="B6" s="17" t="s">
        <v>163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226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 t="s">
        <v>225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20" t="s">
        <v>23</v>
      </c>
      <c r="G10" s="120" t="s">
        <v>24</v>
      </c>
      <c r="H10" s="120" t="s">
        <v>25</v>
      </c>
      <c r="I10" s="120" t="s">
        <v>26</v>
      </c>
      <c r="J10" s="120" t="s">
        <v>27</v>
      </c>
      <c r="K10" s="120" t="s">
        <v>28</v>
      </c>
      <c r="L10" s="120" t="s">
        <v>29</v>
      </c>
      <c r="M10" s="120" t="s">
        <v>17</v>
      </c>
      <c r="N10" s="120" t="s">
        <v>18</v>
      </c>
      <c r="O10" s="47"/>
    </row>
    <row r="11" spans="1:15" s="14" customFormat="1" x14ac:dyDescent="0.25">
      <c r="A11" s="132">
        <v>10</v>
      </c>
      <c r="B11" s="131" t="s">
        <v>224</v>
      </c>
      <c r="C11" s="130" t="s">
        <v>215</v>
      </c>
      <c r="D11" s="123">
        <v>4.2</v>
      </c>
      <c r="E11" s="130">
        <v>0.14000000000000001</v>
      </c>
      <c r="F11" s="130" t="s">
        <v>144</v>
      </c>
      <c r="G11" s="130"/>
      <c r="H11" s="129"/>
      <c r="I11" s="128" t="s">
        <v>223</v>
      </c>
      <c r="J11" s="127">
        <f>0.2*0.215</f>
        <v>4.3000000000000003E-2</v>
      </c>
      <c r="K11" s="126">
        <v>2E-3</v>
      </c>
      <c r="L11" s="125">
        <v>2712</v>
      </c>
      <c r="M11" s="124">
        <v>1</v>
      </c>
      <c r="N11" s="123">
        <f>E11*D11</f>
        <v>0.58800000000000008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22" t="s">
        <v>18</v>
      </c>
      <c r="N12" s="106">
        <f>SUM(N11:N11)</f>
        <v>0.58800000000000008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21" t="s">
        <v>14</v>
      </c>
      <c r="B14" s="120" t="s">
        <v>31</v>
      </c>
      <c r="C14" s="120" t="s">
        <v>20</v>
      </c>
      <c r="D14" s="120" t="s">
        <v>21</v>
      </c>
      <c r="E14" s="120" t="s">
        <v>32</v>
      </c>
      <c r="F14" s="120" t="s">
        <v>17</v>
      </c>
      <c r="G14" s="120" t="s">
        <v>33</v>
      </c>
      <c r="H14" s="120" t="s">
        <v>34</v>
      </c>
      <c r="I14" s="12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222</v>
      </c>
      <c r="C15" s="57" t="s">
        <v>221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149</v>
      </c>
      <c r="C16" s="57" t="s">
        <v>220</v>
      </c>
      <c r="D16" s="58">
        <v>0.01</v>
      </c>
      <c r="E16" s="57" t="s">
        <v>46</v>
      </c>
      <c r="F16" s="63">
        <v>179.1</v>
      </c>
      <c r="G16" s="63"/>
      <c r="H16" s="63"/>
      <c r="I16" s="58">
        <f>IF(H16="",D16*F16,D16*F16*H16)</f>
        <v>1.7909999999999999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9" t="s">
        <v>18</v>
      </c>
      <c r="I17" s="106">
        <f>SUM(I15:I16)</f>
        <v>3.0910000000000002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9"/>
      <c r="I18" s="118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9"/>
      <c r="I19" s="118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9"/>
      <c r="I20" s="118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9"/>
      <c r="I21" s="118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0400-000000000000}"/>
    <hyperlink ref="E3" location="dEN_0300_002!A1" display="Drawing" xr:uid="{00000000-0004-0000-0400-000001000000}"/>
    <hyperlink ref="G2" location="EN_A0300_BOM" display="Back to BOM" xr:uid="{F4FA9847-7B87-4853-97BD-608C1F2FF278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F66C-F5F3-49E3-9186-1E789A026E1C}">
  <sheetPr>
    <tabColor theme="6" tint="0.39997558519241921"/>
    <pageSetUpPr fitToPage="1"/>
  </sheetPr>
  <dimension ref="A1:H11"/>
  <sheetViews>
    <sheetView workbookViewId="0">
      <selection activeCell="D22" sqref="D22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91</v>
      </c>
      <c r="B1" s="70" t="str">
        <f>EN_0300_002</f>
        <v>Plenum plate</v>
      </c>
    </row>
    <row r="11" spans="1:8" x14ac:dyDescent="0.25">
      <c r="H11" s="70"/>
    </row>
  </sheetData>
  <hyperlinks>
    <hyperlink ref="A1" location="EL_01001" display="Drawing part :" xr:uid="{00000000-0004-0000-0500-000000000000}"/>
    <hyperlink ref="B1" location="EN_0300_002!A1" display="EN_0300_002!A1" xr:uid="{00000000-0004-0000-0500-000001000000}"/>
  </hyperlinks>
  <pageMargins left="0.7" right="0.7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95"/>
  <sheetViews>
    <sheetView tabSelected="1" zoomScale="85" zoomScaleNormal="85" workbookViewId="0">
      <pane xSplit="3" ySplit="6" topLeftCell="E7" activePane="bottomRight" state="frozen"/>
      <selection activeCell="H10" sqref="H10"/>
      <selection pane="topRight" activeCell="H10" sqref="H10"/>
      <selection pane="bottomLeft" activeCell="H10" sqref="H10"/>
      <selection pane="bottomRight" activeCell="A13" sqref="A13"/>
    </sheetView>
  </sheetViews>
  <sheetFormatPr baseColWidth="10" defaultColWidth="9.140625" defaultRowHeight="12.75" x14ac:dyDescent="0.2"/>
  <cols>
    <col min="1" max="1" width="17.42578125" style="4" bestFit="1" customWidth="1"/>
    <col min="2" max="2" width="28.7109375" style="8" bestFit="1" customWidth="1"/>
    <col min="3" max="3" width="15.140625" style="4" customWidth="1"/>
    <col min="4" max="4" width="10" style="4" bestFit="1" customWidth="1"/>
    <col min="5" max="5" width="23" style="4" customWidth="1"/>
    <col min="6" max="6" width="39.140625" style="27" customWidth="1"/>
    <col min="7" max="7" width="14" style="4" customWidth="1"/>
    <col min="8" max="8" width="11" style="4" bestFit="1" customWidth="1"/>
    <col min="9" max="13" width="10.42578125" style="1" customWidth="1"/>
    <col min="14" max="14" width="11.5703125" style="4" bestFit="1" customWidth="1"/>
    <col min="15" max="15" width="11.140625" style="8" customWidth="1"/>
    <col min="16" max="16384" width="9.140625" style="8"/>
  </cols>
  <sheetData>
    <row r="1" spans="1:15" ht="15.75" thickBot="1" x14ac:dyDescent="0.3">
      <c r="A1" s="37" t="s">
        <v>0</v>
      </c>
      <c r="B1" s="75" t="s">
        <v>44</v>
      </c>
      <c r="D1" s="28"/>
      <c r="M1" s="40" t="s">
        <v>47</v>
      </c>
      <c r="N1" s="29"/>
      <c r="O1" s="39" t="e">
        <f>#REF!</f>
        <v>#REF!</v>
      </c>
    </row>
    <row r="2" spans="1:15" s="10" customFormat="1" ht="15.75" thickBot="1" x14ac:dyDescent="0.3">
      <c r="A2" s="35" t="s">
        <v>48</v>
      </c>
      <c r="B2" s="74" t="s">
        <v>120</v>
      </c>
      <c r="C2" s="9"/>
      <c r="F2" s="24"/>
    </row>
    <row r="3" spans="1:15" s="10" customFormat="1" ht="16.5" thickTop="1" thickBot="1" x14ac:dyDescent="0.3">
      <c r="A3" s="36" t="s">
        <v>49</v>
      </c>
      <c r="B3" s="38">
        <v>2018</v>
      </c>
      <c r="C3" s="9"/>
      <c r="F3" s="24"/>
    </row>
    <row r="4" spans="1:15" s="10" customFormat="1" ht="16.5" thickTop="1" thickBot="1" x14ac:dyDescent="0.3">
      <c r="A4" s="34" t="s">
        <v>1</v>
      </c>
      <c r="B4" s="73">
        <v>81</v>
      </c>
      <c r="C4" s="9"/>
      <c r="D4" s="28" t="s">
        <v>50</v>
      </c>
      <c r="F4" s="24"/>
    </row>
    <row r="5" spans="1:15" s="22" customFormat="1" ht="15.75" thickTop="1" x14ac:dyDescent="0.25">
      <c r="A5" s="21"/>
      <c r="B5" s="25"/>
      <c r="C5" s="23"/>
      <c r="F5" s="26"/>
    </row>
    <row r="6" spans="1:15" s="20" customFormat="1" ht="49.5" customHeight="1" x14ac:dyDescent="0.25">
      <c r="A6" s="19" t="s">
        <v>51</v>
      </c>
      <c r="B6" s="31" t="s">
        <v>52</v>
      </c>
      <c r="C6" s="31" t="s">
        <v>53</v>
      </c>
      <c r="D6" s="31" t="s">
        <v>54</v>
      </c>
      <c r="E6" s="31" t="s">
        <v>55</v>
      </c>
      <c r="F6" s="31" t="s">
        <v>56</v>
      </c>
      <c r="G6" s="31" t="s">
        <v>57</v>
      </c>
      <c r="H6" s="33" t="s">
        <v>58</v>
      </c>
      <c r="I6" s="31" t="s">
        <v>17</v>
      </c>
      <c r="J6" s="31" t="s">
        <v>59</v>
      </c>
      <c r="K6" s="31" t="s">
        <v>60</v>
      </c>
      <c r="L6" s="31" t="s">
        <v>61</v>
      </c>
      <c r="M6" s="31" t="s">
        <v>62</v>
      </c>
      <c r="N6" s="32" t="s">
        <v>63</v>
      </c>
      <c r="O6" s="31" t="s">
        <v>64</v>
      </c>
    </row>
    <row r="7" spans="1:15" ht="15" x14ac:dyDescent="0.25">
      <c r="A7" s="77"/>
      <c r="B7" s="78" t="str">
        <f>'EN A0200'!B3</f>
        <v>Engine and Drivetrain</v>
      </c>
      <c r="C7" s="79" t="str">
        <f>EN_A0200</f>
        <v>EN A0200</v>
      </c>
      <c r="D7" s="79" t="s">
        <v>11</v>
      </c>
      <c r="E7" s="79"/>
      <c r="F7" s="80" t="str">
        <f>'EN A0200'!B4</f>
        <v>Exhaust System</v>
      </c>
      <c r="G7" s="79"/>
      <c r="H7" s="81">
        <f>SUM(J7:M7)</f>
        <v>100.72663538500295</v>
      </c>
      <c r="I7" s="82">
        <f>EN_A0200_q</f>
        <v>1</v>
      </c>
      <c r="J7" s="83">
        <f>EN_A0200_m</f>
        <v>6</v>
      </c>
      <c r="K7" s="83">
        <f>EN_A0200_p</f>
        <v>92.688849013323178</v>
      </c>
      <c r="L7" s="83">
        <f>EN_A0200_f</f>
        <v>1.0377863716797775</v>
      </c>
      <c r="M7" s="83">
        <f>EN_A0200_t</f>
        <v>1</v>
      </c>
      <c r="N7" s="84">
        <f t="shared" ref="N7:N46" si="0">H7*I7</f>
        <v>100.72663538500295</v>
      </c>
      <c r="O7" s="85"/>
    </row>
    <row r="8" spans="1:15" ht="15" x14ac:dyDescent="0.25">
      <c r="A8" s="86"/>
      <c r="B8" s="87" t="str">
        <f>EN_02001!$B$3</f>
        <v>Engine and Drivetrain</v>
      </c>
      <c r="C8" s="88" t="str">
        <f>EN_02001</f>
        <v>EN 02001</v>
      </c>
      <c r="D8" s="89" t="s">
        <v>11</v>
      </c>
      <c r="E8" s="89" t="str">
        <f>$F$7</f>
        <v>Exhaust System</v>
      </c>
      <c r="F8" s="90" t="str">
        <f>EN_02001!B5</f>
        <v>Exhaust Tip</v>
      </c>
      <c r="G8" s="89"/>
      <c r="H8" s="91">
        <f t="shared" ref="H8:H17" si="1">SUM(J8:M8)</f>
        <v>4.3537375941950689</v>
      </c>
      <c r="I8" s="92">
        <f>EN_A0200_q*EN_02001_q</f>
        <v>4</v>
      </c>
      <c r="J8" s="93">
        <f>EN_02001_m</f>
        <v>0.64123759419506832</v>
      </c>
      <c r="K8" s="93">
        <f>EN_02001_p</f>
        <v>3.7125000000000004</v>
      </c>
      <c r="L8" s="93">
        <v>0</v>
      </c>
      <c r="M8" s="93">
        <v>0</v>
      </c>
      <c r="N8" s="94">
        <f t="shared" si="0"/>
        <v>17.414950376780276</v>
      </c>
      <c r="O8" s="95"/>
    </row>
    <row r="9" spans="1:15" ht="15" x14ac:dyDescent="0.25">
      <c r="A9" s="86"/>
      <c r="B9" s="87" t="str">
        <f>EN_02001!$B$3</f>
        <v>Engine and Drivetrain</v>
      </c>
      <c r="C9" s="88" t="str">
        <f>EN_02002</f>
        <v>EN 02002</v>
      </c>
      <c r="D9" s="89" t="s">
        <v>11</v>
      </c>
      <c r="E9" s="89" t="str">
        <f t="shared" ref="E9:E17" si="2">$F$7</f>
        <v>Exhaust System</v>
      </c>
      <c r="F9" s="90" t="str">
        <f>EN_02002!B5</f>
        <v>Exhaust Flange</v>
      </c>
      <c r="G9" s="89"/>
      <c r="H9" s="91">
        <f t="shared" si="1"/>
        <v>1.75075</v>
      </c>
      <c r="I9" s="92">
        <f>EN_A0200_q*EN_02002_q</f>
        <v>4</v>
      </c>
      <c r="J9" s="93">
        <f>EN_02002_m</f>
        <v>0.35325000000000001</v>
      </c>
      <c r="K9" s="93">
        <f>EN_02002_p</f>
        <v>1.3975</v>
      </c>
      <c r="L9" s="93">
        <v>0</v>
      </c>
      <c r="M9" s="93">
        <v>0</v>
      </c>
      <c r="N9" s="94">
        <f t="shared" si="0"/>
        <v>7.0030000000000001</v>
      </c>
      <c r="O9" s="95"/>
    </row>
    <row r="10" spans="1:15" ht="15" x14ac:dyDescent="0.25">
      <c r="A10" s="86"/>
      <c r="B10" s="87" t="str">
        <f>EN_02001!$B$3</f>
        <v>Engine and Drivetrain</v>
      </c>
      <c r="C10" s="88" t="str">
        <f>EN_02003</f>
        <v>EN 02003</v>
      </c>
      <c r="D10" s="89" t="s">
        <v>11</v>
      </c>
      <c r="E10" s="89" t="str">
        <f t="shared" si="2"/>
        <v>Exhaust System</v>
      </c>
      <c r="F10" s="90" t="str">
        <f>EN_02003!B5</f>
        <v>Exhaust headers</v>
      </c>
      <c r="G10" s="89"/>
      <c r="H10" s="91">
        <f t="shared" si="1"/>
        <v>109.43393911329514</v>
      </c>
      <c r="I10" s="92">
        <f>EN_A0200_q*EN_02003_q</f>
        <v>1</v>
      </c>
      <c r="J10" s="93">
        <f>EN_02003_m</f>
        <v>1.6472724466284603</v>
      </c>
      <c r="K10" s="93">
        <f>EN_02003_p</f>
        <v>100.12</v>
      </c>
      <c r="L10" s="93">
        <v>0</v>
      </c>
      <c r="M10" s="93">
        <f>EN_02003_t</f>
        <v>7.666666666666667</v>
      </c>
      <c r="N10" s="94">
        <f t="shared" si="0"/>
        <v>109.43393911329514</v>
      </c>
      <c r="O10" s="95"/>
    </row>
    <row r="11" spans="1:15" ht="15" x14ac:dyDescent="0.25">
      <c r="A11" s="86"/>
      <c r="B11" s="87" t="str">
        <f>EN_02001!$B$3</f>
        <v>Engine and Drivetrain</v>
      </c>
      <c r="C11" s="88" t="str">
        <f>EN_02004</f>
        <v>EN 02004</v>
      </c>
      <c r="D11" s="89" t="s">
        <v>11</v>
      </c>
      <c r="E11" s="89" t="str">
        <f t="shared" si="2"/>
        <v>Exhaust System</v>
      </c>
      <c r="F11" s="90" t="str">
        <f>EN_02004!B5</f>
        <v>Primary collector</v>
      </c>
      <c r="G11" s="89"/>
      <c r="H11" s="91">
        <f t="shared" si="1"/>
        <v>20.228377789788073</v>
      </c>
      <c r="I11" s="92">
        <f>EN_A0200_q*EN_02004_q</f>
        <v>2</v>
      </c>
      <c r="J11" s="93">
        <f>EN_02004_m</f>
        <v>0.28964518324531668</v>
      </c>
      <c r="K11" s="93">
        <f>EN_02004_p</f>
        <v>18.438732606542757</v>
      </c>
      <c r="L11" s="93">
        <v>0</v>
      </c>
      <c r="M11" s="93">
        <f>EN_02004_t</f>
        <v>1.5</v>
      </c>
      <c r="N11" s="94">
        <f t="shared" si="0"/>
        <v>40.456755579576146</v>
      </c>
      <c r="O11" s="95"/>
    </row>
    <row r="12" spans="1:15" ht="15" x14ac:dyDescent="0.25">
      <c r="A12" s="86"/>
      <c r="B12" s="87" t="str">
        <f>EN_02001!$B$3</f>
        <v>Engine and Drivetrain</v>
      </c>
      <c r="C12" s="88" t="str">
        <f>EN_02005</f>
        <v>EN 02005</v>
      </c>
      <c r="D12" s="89" t="s">
        <v>11</v>
      </c>
      <c r="E12" s="89" t="str">
        <f t="shared" si="2"/>
        <v>Exhaust System</v>
      </c>
      <c r="F12" s="90" t="str">
        <f>EN_02005!B5</f>
        <v>Primary collector tubing</v>
      </c>
      <c r="G12" s="89"/>
      <c r="H12" s="91">
        <f t="shared" si="1"/>
        <v>1.2217583384506194</v>
      </c>
      <c r="I12" s="92">
        <f>EN_A0200_q*EN_02005_q</f>
        <v>2</v>
      </c>
      <c r="J12" s="93">
        <f>EN_02005_m</f>
        <v>0.59025833845061948</v>
      </c>
      <c r="K12" s="93">
        <f>EN_02005_p</f>
        <v>0.63149999999999995</v>
      </c>
      <c r="L12" s="93">
        <v>0</v>
      </c>
      <c r="M12" s="93">
        <v>0</v>
      </c>
      <c r="N12" s="94">
        <f t="shared" si="0"/>
        <v>2.4435166769012389</v>
      </c>
      <c r="O12" s="95"/>
    </row>
    <row r="13" spans="1:15" ht="15" x14ac:dyDescent="0.25">
      <c r="A13" s="86"/>
      <c r="B13" s="87" t="str">
        <f>EN_02001!$B$3</f>
        <v>Engine and Drivetrain</v>
      </c>
      <c r="C13" s="88" t="str">
        <f>EN_02006</f>
        <v>EN 02006</v>
      </c>
      <c r="D13" s="89" t="s">
        <v>11</v>
      </c>
      <c r="E13" s="89" t="str">
        <f t="shared" si="2"/>
        <v>Exhaust System</v>
      </c>
      <c r="F13" s="90" t="str">
        <f>EN_02006!B5</f>
        <v>Secondary collector</v>
      </c>
      <c r="G13" s="89"/>
      <c r="H13" s="91">
        <f t="shared" si="1"/>
        <v>22.466496278906856</v>
      </c>
      <c r="I13" s="92">
        <f>EN_A0200_q*EN_02006_q</f>
        <v>1</v>
      </c>
      <c r="J13" s="93">
        <f>EN_02006_m</f>
        <v>0.38627070650896178</v>
      </c>
      <c r="K13" s="93">
        <f>EN_02006_p</f>
        <v>20.580225572397893</v>
      </c>
      <c r="L13" s="93">
        <v>0</v>
      </c>
      <c r="M13" s="93">
        <f>EN_02006_t</f>
        <v>1.5</v>
      </c>
      <c r="N13" s="94">
        <f t="shared" si="0"/>
        <v>22.466496278906856</v>
      </c>
      <c r="O13" s="95"/>
    </row>
    <row r="14" spans="1:15" ht="15" x14ac:dyDescent="0.25">
      <c r="A14" s="86"/>
      <c r="B14" s="87" t="str">
        <f>EN_02001!$B$3</f>
        <v>Engine and Drivetrain</v>
      </c>
      <c r="C14" s="88" t="str">
        <f>EN_02007</f>
        <v>EN 02007</v>
      </c>
      <c r="D14" s="89" t="s">
        <v>11</v>
      </c>
      <c r="E14" s="89" t="str">
        <f t="shared" si="2"/>
        <v>Exhaust System</v>
      </c>
      <c r="F14" s="90" t="str">
        <f>EN_02007!B5</f>
        <v>Secondary collector tubing</v>
      </c>
      <c r="G14" s="89"/>
      <c r="H14" s="91">
        <f t="shared" si="1"/>
        <v>12.90112506395198</v>
      </c>
      <c r="I14" s="92">
        <f>EN_A0200_q*EN_02007_q</f>
        <v>1</v>
      </c>
      <c r="J14" s="93">
        <f>EN_02007_m</f>
        <v>0.51345839728531351</v>
      </c>
      <c r="K14" s="93">
        <f>EN_02007_p</f>
        <v>11.721</v>
      </c>
      <c r="L14" s="93">
        <v>0</v>
      </c>
      <c r="M14" s="93">
        <f>EN_02007_t</f>
        <v>0.66666666666666663</v>
      </c>
      <c r="N14" s="94">
        <f t="shared" si="0"/>
        <v>12.90112506395198</v>
      </c>
      <c r="O14" s="95"/>
    </row>
    <row r="15" spans="1:15" ht="15" x14ac:dyDescent="0.25">
      <c r="A15" s="86"/>
      <c r="B15" s="87" t="str">
        <f>EN_02001!$B$3</f>
        <v>Engine and Drivetrain</v>
      </c>
      <c r="C15" s="88" t="str">
        <f>EN_02008</f>
        <v>EN 02008</v>
      </c>
      <c r="D15" s="89" t="s">
        <v>11</v>
      </c>
      <c r="E15" s="89" t="str">
        <f t="shared" si="2"/>
        <v>Exhaust System</v>
      </c>
      <c r="F15" s="90" t="str">
        <f>EN_02008!B5</f>
        <v>Muffler</v>
      </c>
      <c r="G15" s="96"/>
      <c r="H15" s="91">
        <f t="shared" si="1"/>
        <v>40.144999999999996</v>
      </c>
      <c r="I15" s="92">
        <f>EN_A0200_q*EN_02008_q</f>
        <v>1</v>
      </c>
      <c r="J15" s="93">
        <f>EN_02008_m</f>
        <v>24.125</v>
      </c>
      <c r="K15" s="93">
        <f>EN_02008_p</f>
        <v>16.02</v>
      </c>
      <c r="L15" s="93">
        <v>0</v>
      </c>
      <c r="M15" s="93">
        <v>0</v>
      </c>
      <c r="N15" s="94">
        <f t="shared" si="0"/>
        <v>40.144999999999996</v>
      </c>
      <c r="O15" s="95"/>
    </row>
    <row r="16" spans="1:15" ht="15" x14ac:dyDescent="0.25">
      <c r="A16" s="86"/>
      <c r="B16" s="87" t="str">
        <f>EN_02001!$B$3</f>
        <v>Engine and Drivetrain</v>
      </c>
      <c r="C16" s="88" t="str">
        <f>EN_02009</f>
        <v>EN 02009</v>
      </c>
      <c r="D16" s="89" t="s">
        <v>11</v>
      </c>
      <c r="E16" s="89" t="str">
        <f t="shared" si="2"/>
        <v>Exhaust System</v>
      </c>
      <c r="F16" s="90" t="str">
        <f>EN_02009!B5</f>
        <v>Muffler Collar</v>
      </c>
      <c r="G16" s="89"/>
      <c r="H16" s="91">
        <f t="shared" si="1"/>
        <v>6.208613333333334</v>
      </c>
      <c r="I16" s="92">
        <f>EN_A0200_q*EN_02009_q</f>
        <v>1</v>
      </c>
      <c r="J16" s="93">
        <f>EN_02009_m</f>
        <v>5.5552800000000007</v>
      </c>
      <c r="K16" s="93">
        <f>EN_02009_p</f>
        <v>0.61599999999999999</v>
      </c>
      <c r="L16" s="93">
        <v>0</v>
      </c>
      <c r="M16" s="93">
        <f>EN_02009_t</f>
        <v>3.7333333333333336E-2</v>
      </c>
      <c r="N16" s="94">
        <f t="shared" si="0"/>
        <v>6.208613333333334</v>
      </c>
      <c r="O16" s="95"/>
    </row>
    <row r="17" spans="1:15" ht="15" x14ac:dyDescent="0.25">
      <c r="A17" s="86"/>
      <c r="B17" s="87" t="str">
        <f>EN_02001!$B$3</f>
        <v>Engine and Drivetrain</v>
      </c>
      <c r="C17" s="88" t="str">
        <f>EN_02010</f>
        <v>EN 02010</v>
      </c>
      <c r="D17" s="89" t="s">
        <v>11</v>
      </c>
      <c r="E17" s="89" t="str">
        <f t="shared" si="2"/>
        <v>Exhaust System</v>
      </c>
      <c r="F17" s="90" t="str">
        <f>EN_02010!B5</f>
        <v>Spacer</v>
      </c>
      <c r="G17" s="89"/>
      <c r="H17" s="91">
        <f t="shared" si="1"/>
        <v>2.2250004878264873</v>
      </c>
      <c r="I17" s="92">
        <f>EN_A0200_q*EN_02010_q</f>
        <v>1</v>
      </c>
      <c r="J17" s="93">
        <f>EN_02010_m</f>
        <v>0.14915276609595188</v>
      </c>
      <c r="K17" s="93">
        <f>EN_02010_p</f>
        <v>2.0758477217305353</v>
      </c>
      <c r="L17" s="93">
        <v>0</v>
      </c>
      <c r="M17" s="93">
        <v>0</v>
      </c>
      <c r="N17" s="94">
        <f t="shared" si="0"/>
        <v>2.2250004878264873</v>
      </c>
      <c r="O17" s="95"/>
    </row>
    <row r="18" spans="1:15" ht="15" x14ac:dyDescent="0.25">
      <c r="A18" s="620"/>
      <c r="B18" s="621" t="str">
        <f>EN_A0300!B3</f>
        <v>Engine and Drivetrain</v>
      </c>
      <c r="C18" s="630" t="s">
        <v>165</v>
      </c>
      <c r="D18" s="623" t="s">
        <v>11</v>
      </c>
      <c r="E18" s="623"/>
      <c r="F18" s="624" t="str">
        <f>EN_A0300</f>
        <v>Air Intake System</v>
      </c>
      <c r="G18" s="623"/>
      <c r="H18" s="625">
        <f t="shared" ref="H18:H46" si="3">SUM(J18:M18)</f>
        <v>84.192566820826798</v>
      </c>
      <c r="I18" s="626">
        <f>EN_A0300_q</f>
        <v>1</v>
      </c>
      <c r="J18" s="627">
        <f>EN_A0300_m</f>
        <v>16.3</v>
      </c>
      <c r="K18" s="627">
        <f>EN_A0300_p</f>
        <v>62.556999999999995</v>
      </c>
      <c r="L18" s="627">
        <f>EN_A0300_f</f>
        <v>4.6689001541601254</v>
      </c>
      <c r="M18" s="627">
        <f>EN_A0300_t</f>
        <v>0.66666666666666663</v>
      </c>
      <c r="N18" s="628">
        <f t="shared" si="0"/>
        <v>84.192566820826798</v>
      </c>
      <c r="O18" s="629"/>
    </row>
    <row r="19" spans="1:15" ht="15" x14ac:dyDescent="0.25">
      <c r="A19" s="593"/>
      <c r="B19" s="594" t="str">
        <f>EN_A0300!$B$3</f>
        <v>Engine and Drivetrain</v>
      </c>
      <c r="C19" s="595" t="s">
        <v>164</v>
      </c>
      <c r="D19" s="596" t="s">
        <v>11</v>
      </c>
      <c r="E19" s="596" t="str">
        <f>$F$18</f>
        <v>Air Intake System</v>
      </c>
      <c r="F19" s="597" t="str">
        <f>EN_0300_001!B$5</f>
        <v>Upper plenum</v>
      </c>
      <c r="G19" s="596"/>
      <c r="H19" s="598">
        <f t="shared" si="3"/>
        <v>12.57225</v>
      </c>
      <c r="I19" s="599">
        <f>EN_A0300_q*EN_0300_001_q</f>
        <v>1</v>
      </c>
      <c r="J19" s="600">
        <f>EN_0300_001_m</f>
        <v>1.1384999999999998</v>
      </c>
      <c r="K19" s="600">
        <f>EN_0300_001_p</f>
        <v>11.43375</v>
      </c>
      <c r="L19" s="600">
        <f>EN_0300_001_f</f>
        <v>0</v>
      </c>
      <c r="M19" s="600">
        <f>EN_0300_001_t</f>
        <v>0</v>
      </c>
      <c r="N19" s="601">
        <f t="shared" si="0"/>
        <v>12.57225</v>
      </c>
      <c r="O19" s="602"/>
    </row>
    <row r="20" spans="1:15" ht="15" x14ac:dyDescent="0.25">
      <c r="A20" s="593"/>
      <c r="B20" s="594" t="str">
        <f>EN_A0300!$B$3</f>
        <v>Engine and Drivetrain</v>
      </c>
      <c r="C20" s="595" t="s">
        <v>163</v>
      </c>
      <c r="D20" s="596" t="s">
        <v>11</v>
      </c>
      <c r="E20" s="596" t="str">
        <f t="shared" ref="E20:E26" si="4">$F$18</f>
        <v>Air Intake System</v>
      </c>
      <c r="F20" s="597" t="str">
        <f>EN_0300_002!B$5</f>
        <v>Plenum plate</v>
      </c>
      <c r="G20" s="596"/>
      <c r="H20" s="598">
        <f t="shared" si="3"/>
        <v>3.6790000000000003</v>
      </c>
      <c r="I20" s="599">
        <f>EN_A0300_q*EN_0300_002_q</f>
        <v>1</v>
      </c>
      <c r="J20" s="600">
        <f>EN_0300_002_m</f>
        <v>0.58800000000000008</v>
      </c>
      <c r="K20" s="600">
        <f>EN_0300_002_p</f>
        <v>3.0910000000000002</v>
      </c>
      <c r="L20" s="600">
        <f>EN_0300_002_f</f>
        <v>0</v>
      </c>
      <c r="M20" s="600">
        <f>EN_0300_002_t</f>
        <v>0</v>
      </c>
      <c r="N20" s="601">
        <f t="shared" si="0"/>
        <v>3.6790000000000003</v>
      </c>
      <c r="O20" s="602"/>
    </row>
    <row r="21" spans="1:15" ht="15" x14ac:dyDescent="0.25">
      <c r="A21" s="593"/>
      <c r="B21" s="594" t="str">
        <f>EN_A0300!$B$3</f>
        <v>Engine and Drivetrain</v>
      </c>
      <c r="C21" s="595" t="s">
        <v>162</v>
      </c>
      <c r="D21" s="596" t="s">
        <v>11</v>
      </c>
      <c r="E21" s="596" t="str">
        <f t="shared" si="4"/>
        <v>Air Intake System</v>
      </c>
      <c r="F21" s="597" t="str">
        <f>EN_0300_003!B$5</f>
        <v>Intake manifold</v>
      </c>
      <c r="G21" s="596"/>
      <c r="H21" s="598">
        <f t="shared" si="3"/>
        <v>18.119250000000001</v>
      </c>
      <c r="I21" s="599">
        <f>EN_A0300_q*EN_0300_003_q</f>
        <v>1</v>
      </c>
      <c r="J21" s="600">
        <f>EN_0300_003_m</f>
        <v>1.6335</v>
      </c>
      <c r="K21" s="600">
        <f>EN_0300_003_p</f>
        <v>16.485749999999999</v>
      </c>
      <c r="L21" s="600">
        <f>EN_0300_003_f</f>
        <v>0</v>
      </c>
      <c r="M21" s="600">
        <f>EN_0300_003_t</f>
        <v>0</v>
      </c>
      <c r="N21" s="601">
        <f t="shared" si="0"/>
        <v>18.119250000000001</v>
      </c>
      <c r="O21" s="602"/>
    </row>
    <row r="22" spans="1:15" ht="15" x14ac:dyDescent="0.25">
      <c r="A22" s="593"/>
      <c r="B22" s="594" t="str">
        <f>EN_A0300!$B$3</f>
        <v>Engine and Drivetrain</v>
      </c>
      <c r="C22" s="595" t="s">
        <v>161</v>
      </c>
      <c r="D22" s="596" t="s">
        <v>11</v>
      </c>
      <c r="E22" s="596" t="str">
        <f t="shared" si="4"/>
        <v>Air Intake System</v>
      </c>
      <c r="F22" s="597" t="str">
        <f>EN_0300_009!B$5</f>
        <v>Left frame bracket</v>
      </c>
      <c r="G22" s="596"/>
      <c r="H22" s="598">
        <f t="shared" si="3"/>
        <v>1.6890000000000001</v>
      </c>
      <c r="I22" s="599">
        <f>EN_A0300_q*EN_0300_009_q</f>
        <v>1</v>
      </c>
      <c r="J22" s="600">
        <f>EN_0300_009_m</f>
        <v>4.2000000000000003E-2</v>
      </c>
      <c r="K22" s="600">
        <f>EN_0300_009_p</f>
        <v>1.647</v>
      </c>
      <c r="L22" s="600">
        <f>EN_0300_009_f</f>
        <v>0</v>
      </c>
      <c r="M22" s="600">
        <f>EN_0300_009_t</f>
        <v>0</v>
      </c>
      <c r="N22" s="601">
        <f t="shared" si="0"/>
        <v>1.6890000000000001</v>
      </c>
      <c r="O22" s="602"/>
    </row>
    <row r="23" spans="1:15" ht="15" x14ac:dyDescent="0.25">
      <c r="A23" s="593"/>
      <c r="B23" s="594" t="str">
        <f>EN_A0300!$B$3</f>
        <v>Engine and Drivetrain</v>
      </c>
      <c r="C23" s="595" t="s">
        <v>160</v>
      </c>
      <c r="D23" s="596" t="s">
        <v>11</v>
      </c>
      <c r="E23" s="596" t="str">
        <f t="shared" si="4"/>
        <v>Air Intake System</v>
      </c>
      <c r="F23" s="597" t="str">
        <f>EN_0300_010!B$5</f>
        <v>Right frame bracket</v>
      </c>
      <c r="G23" s="596"/>
      <c r="H23" s="598">
        <f t="shared" si="3"/>
        <v>1.7614000000000001</v>
      </c>
      <c r="I23" s="599">
        <f>EN_A0300_q*EN_0300_010_q</f>
        <v>1</v>
      </c>
      <c r="J23" s="600">
        <f>EN_0300_010_m</f>
        <v>5.04E-2</v>
      </c>
      <c r="K23" s="600">
        <f>EN_0300_010_p</f>
        <v>1.7110000000000001</v>
      </c>
      <c r="L23" s="600">
        <f>EN_0300_010_f</f>
        <v>0</v>
      </c>
      <c r="M23" s="600">
        <f>EN_0300_010_t</f>
        <v>0</v>
      </c>
      <c r="N23" s="601">
        <f t="shared" si="0"/>
        <v>1.7614000000000001</v>
      </c>
      <c r="O23" s="602"/>
    </row>
    <row r="24" spans="1:15" ht="15" x14ac:dyDescent="0.25">
      <c r="A24" s="593"/>
      <c r="B24" s="594" t="str">
        <f>EN_A0300!$B$3</f>
        <v>Engine and Drivetrain</v>
      </c>
      <c r="C24" s="595" t="s">
        <v>159</v>
      </c>
      <c r="D24" s="596" t="s">
        <v>11</v>
      </c>
      <c r="E24" s="596" t="str">
        <f t="shared" si="4"/>
        <v>Air Intake System</v>
      </c>
      <c r="F24" s="597" t="str">
        <f>EN_0300_011!B$5</f>
        <v>PAIR plate</v>
      </c>
      <c r="G24" s="596"/>
      <c r="H24" s="598">
        <f t="shared" si="3"/>
        <v>1.9656000000000002</v>
      </c>
      <c r="I24" s="599">
        <f>EN_A0300_q*EN_0300_011_q</f>
        <v>2</v>
      </c>
      <c r="J24" s="600">
        <f>EN_0300_011_m</f>
        <v>7.5600000000000001E-2</v>
      </c>
      <c r="K24" s="600">
        <f>EN_0300_011_p</f>
        <v>1.8900000000000001</v>
      </c>
      <c r="L24" s="600">
        <f>EN_0300_011_f</f>
        <v>0</v>
      </c>
      <c r="M24" s="600">
        <f>EN_0300_011_t</f>
        <v>0</v>
      </c>
      <c r="N24" s="601">
        <f t="shared" si="0"/>
        <v>3.9312000000000005</v>
      </c>
      <c r="O24" s="602"/>
    </row>
    <row r="25" spans="1:15" ht="15" x14ac:dyDescent="0.25">
      <c r="A25" s="593"/>
      <c r="B25" s="594" t="str">
        <f>EN_A0300!$B$3</f>
        <v>Engine and Drivetrain</v>
      </c>
      <c r="C25" s="595" t="s">
        <v>158</v>
      </c>
      <c r="D25" s="596" t="s">
        <v>11</v>
      </c>
      <c r="E25" s="596" t="str">
        <f t="shared" si="4"/>
        <v>Air Intake System</v>
      </c>
      <c r="F25" s="597" t="str">
        <f>EN_0300_012!B$5</f>
        <v>Motor bracket</v>
      </c>
      <c r="G25" s="596"/>
      <c r="H25" s="598">
        <f t="shared" si="3"/>
        <v>4.1755999999999993</v>
      </c>
      <c r="I25" s="599">
        <f>EN_A0300_q*EN_0300_012_q</f>
        <v>1</v>
      </c>
      <c r="J25" s="600">
        <f>EN_0300_012_m</f>
        <v>0.28560000000000002</v>
      </c>
      <c r="K25" s="600">
        <f>EN_0300_012_p</f>
        <v>3.8899999999999997</v>
      </c>
      <c r="L25" s="600">
        <f>EN_0300_012_f</f>
        <v>0</v>
      </c>
      <c r="M25" s="600">
        <f>EN_0300_012_t</f>
        <v>0</v>
      </c>
      <c r="N25" s="601">
        <f t="shared" si="0"/>
        <v>4.1755999999999993</v>
      </c>
      <c r="O25" s="602"/>
    </row>
    <row r="26" spans="1:15" ht="15" x14ac:dyDescent="0.25">
      <c r="A26" s="603"/>
      <c r="B26" s="604" t="str">
        <f>EN_A0300!$B$3</f>
        <v>Engine and Drivetrain</v>
      </c>
      <c r="C26" s="605" t="s">
        <v>157</v>
      </c>
      <c r="D26" s="606" t="s">
        <v>11</v>
      </c>
      <c r="E26" s="596" t="str">
        <f t="shared" si="4"/>
        <v>Air Intake System</v>
      </c>
      <c r="F26" s="607" t="str">
        <f>EN_0300_013!B$5</f>
        <v>Intake bracket</v>
      </c>
      <c r="G26" s="606"/>
      <c r="H26" s="608">
        <f t="shared" si="3"/>
        <v>1.38425</v>
      </c>
      <c r="I26" s="609">
        <f>EN_A0300_q*EN_0300_013_q</f>
        <v>2</v>
      </c>
      <c r="J26" s="610">
        <f>EN_0300_013_m</f>
        <v>6.7499999999999999E-3</v>
      </c>
      <c r="K26" s="610">
        <f>EN_0300_013_p</f>
        <v>1.3774999999999999</v>
      </c>
      <c r="L26" s="610">
        <f>EN_0300_013_f</f>
        <v>0</v>
      </c>
      <c r="M26" s="610">
        <f>EN_0300_013_t</f>
        <v>0</v>
      </c>
      <c r="N26" s="611">
        <f t="shared" si="0"/>
        <v>2.7685</v>
      </c>
      <c r="O26" s="612"/>
    </row>
    <row r="27" spans="1:15" ht="15" x14ac:dyDescent="0.25">
      <c r="A27" s="156"/>
      <c r="B27" s="155" t="str">
        <f>EN_A0400!B3</f>
        <v>Engine and Drivetrain</v>
      </c>
      <c r="C27" s="153" t="s">
        <v>256</v>
      </c>
      <c r="D27" s="153" t="s">
        <v>11</v>
      </c>
      <c r="E27" s="153"/>
      <c r="F27" s="154" t="str">
        <f>EN_A0400</f>
        <v>Throttle Body</v>
      </c>
      <c r="G27" s="153"/>
      <c r="H27" s="152">
        <f t="shared" si="3"/>
        <v>130.01000000000002</v>
      </c>
      <c r="I27" s="151">
        <f>EN_A0400_q</f>
        <v>1</v>
      </c>
      <c r="J27" s="150">
        <f>EN_A0400_m</f>
        <v>119.8</v>
      </c>
      <c r="K27" s="150">
        <f>EN_A0400_p</f>
        <v>9.1900000000000013</v>
      </c>
      <c r="L27" s="150">
        <f>EN_A0400_f</f>
        <v>1.02</v>
      </c>
      <c r="M27" s="150">
        <f>EN_A0400_t</f>
        <v>0</v>
      </c>
      <c r="N27" s="149">
        <f t="shared" si="0"/>
        <v>130.01000000000002</v>
      </c>
      <c r="O27" s="148"/>
    </row>
    <row r="28" spans="1:15" ht="15" x14ac:dyDescent="0.25">
      <c r="A28" s="146"/>
      <c r="B28" s="145" t="str">
        <f>EN_A0400!$B$3</f>
        <v>Engine and Drivetrain</v>
      </c>
      <c r="C28" s="144" t="s">
        <v>255</v>
      </c>
      <c r="D28" s="142" t="s">
        <v>11</v>
      </c>
      <c r="E28" s="142" t="str">
        <f>$F$27</f>
        <v>Throttle Body</v>
      </c>
      <c r="F28" s="143" t="str">
        <f>EN_0400_001</f>
        <v>Throttle Frange</v>
      </c>
      <c r="G28" s="142"/>
      <c r="H28" s="141">
        <f t="shared" si="3"/>
        <v>5.1789856000000007</v>
      </c>
      <c r="I28" s="140">
        <f>EN_A0400_q*EN_0400_001_q</f>
        <v>1</v>
      </c>
      <c r="J28" s="139">
        <f>EN_0400_001_m</f>
        <v>0.72898560000000012</v>
      </c>
      <c r="K28" s="139">
        <f>EN_0400_001_p</f>
        <v>4.45</v>
      </c>
      <c r="L28" s="139">
        <f>EN_0400_001_f</f>
        <v>0</v>
      </c>
      <c r="M28" s="139">
        <f>EN_0400_001_t</f>
        <v>0</v>
      </c>
      <c r="N28" s="138">
        <f t="shared" si="0"/>
        <v>5.1789856000000007</v>
      </c>
      <c r="O28" s="137"/>
    </row>
    <row r="29" spans="1:15" ht="15" x14ac:dyDescent="0.25">
      <c r="A29" s="146"/>
      <c r="B29" s="145" t="str">
        <f>EN_A0400!$B$3</f>
        <v>Engine and Drivetrain</v>
      </c>
      <c r="C29" s="144" t="s">
        <v>254</v>
      </c>
      <c r="D29" s="142" t="s">
        <v>11</v>
      </c>
      <c r="E29" s="142" t="str">
        <f t="shared" ref="E29:E36" si="5">$F$27</f>
        <v>Throttle Body</v>
      </c>
      <c r="F29" s="143" t="str">
        <f>EN_0400_002</f>
        <v>Restrictor</v>
      </c>
      <c r="G29" s="142"/>
      <c r="H29" s="141">
        <f t="shared" si="3"/>
        <v>5.7292000000000005</v>
      </c>
      <c r="I29" s="140">
        <f>EN_A0400_q*EN_0400_002_q</f>
        <v>1</v>
      </c>
      <c r="J29" s="139">
        <f>EN_0400_002_m</f>
        <v>1.5792000000000002</v>
      </c>
      <c r="K29" s="139">
        <f>EN_0400_002_p</f>
        <v>4.1500000000000004</v>
      </c>
      <c r="L29" s="139">
        <f>EN_0400_002_f</f>
        <v>0</v>
      </c>
      <c r="M29" s="139">
        <f>EN_0400_002_t</f>
        <v>0</v>
      </c>
      <c r="N29" s="138">
        <f t="shared" si="0"/>
        <v>5.7292000000000005</v>
      </c>
      <c r="O29" s="137"/>
    </row>
    <row r="30" spans="1:15" ht="15" x14ac:dyDescent="0.25">
      <c r="A30" s="146"/>
      <c r="B30" s="145" t="str">
        <f>EN_A0400!$B$3</f>
        <v>Engine and Drivetrain</v>
      </c>
      <c r="C30" s="144" t="s">
        <v>253</v>
      </c>
      <c r="D30" s="142" t="s">
        <v>11</v>
      </c>
      <c r="E30" s="142" t="str">
        <f t="shared" si="5"/>
        <v>Throttle Body</v>
      </c>
      <c r="F30" s="143" t="str">
        <f>EN_0400_003</f>
        <v>Throttle Housing</v>
      </c>
      <c r="G30" s="142"/>
      <c r="H30" s="141">
        <f t="shared" si="3"/>
        <v>4.2741999999999996</v>
      </c>
      <c r="I30" s="140">
        <f>EN_A0400_q*EN_0400_003_q</f>
        <v>1</v>
      </c>
      <c r="J30" s="139">
        <f>EN_0400_003_m</f>
        <v>0.84420000000000006</v>
      </c>
      <c r="K30" s="139">
        <f>EN_0400_003_p</f>
        <v>3.4299999999999997</v>
      </c>
      <c r="L30" s="139">
        <f>EN_0400_003_f</f>
        <v>0</v>
      </c>
      <c r="M30" s="139">
        <f>EN_0400_003_t</f>
        <v>0</v>
      </c>
      <c r="N30" s="138">
        <f t="shared" si="0"/>
        <v>4.2741999999999996</v>
      </c>
      <c r="O30" s="137"/>
    </row>
    <row r="31" spans="1:15" ht="15" x14ac:dyDescent="0.25">
      <c r="A31" s="146"/>
      <c r="B31" s="145" t="str">
        <f>EN_A0400!$B$3</f>
        <v>Engine and Drivetrain</v>
      </c>
      <c r="C31" s="144" t="s">
        <v>252</v>
      </c>
      <c r="D31" s="142" t="s">
        <v>11</v>
      </c>
      <c r="E31" s="142" t="str">
        <f t="shared" si="5"/>
        <v>Throttle Body</v>
      </c>
      <c r="F31" s="143" t="str">
        <f>EN_0400_004</f>
        <v>Throttle Axle</v>
      </c>
      <c r="G31" s="142"/>
      <c r="H31" s="141">
        <f t="shared" si="3"/>
        <v>2.7262499999999998</v>
      </c>
      <c r="I31" s="140">
        <f>EN_A0400_q*EN_0400_004_q</f>
        <v>1</v>
      </c>
      <c r="J31" s="139">
        <f>EN_0400_004_m</f>
        <v>5.6250000000000001E-2</v>
      </c>
      <c r="K31" s="139">
        <f>EN_0400_004_p</f>
        <v>2.67</v>
      </c>
      <c r="L31" s="139">
        <f>EN_0400_004_f</f>
        <v>0</v>
      </c>
      <c r="M31" s="139">
        <f>EN_0400_004_t</f>
        <v>0</v>
      </c>
      <c r="N31" s="138">
        <f t="shared" si="0"/>
        <v>2.7262499999999998</v>
      </c>
      <c r="O31" s="137"/>
    </row>
    <row r="32" spans="1:15" ht="15" x14ac:dyDescent="0.25">
      <c r="A32" s="146"/>
      <c r="B32" s="145" t="str">
        <f>EN_A0400!$B$3</f>
        <v>Engine and Drivetrain</v>
      </c>
      <c r="C32" s="144" t="s">
        <v>251</v>
      </c>
      <c r="D32" s="142" t="s">
        <v>11</v>
      </c>
      <c r="E32" s="142" t="str">
        <f t="shared" si="5"/>
        <v>Throttle Body</v>
      </c>
      <c r="F32" s="143" t="str">
        <f>EN_0400_005</f>
        <v>TPS Axle</v>
      </c>
      <c r="G32" s="142"/>
      <c r="H32" s="141">
        <f t="shared" si="3"/>
        <v>2.7105000000000001</v>
      </c>
      <c r="I32" s="140">
        <f>EN_A0400_q*EN_0400_005_q</f>
        <v>1</v>
      </c>
      <c r="J32" s="139">
        <f>EN_0400_005_m</f>
        <v>4.0499999999999994E-2</v>
      </c>
      <c r="K32" s="139">
        <f>EN_0400_005_p</f>
        <v>2.67</v>
      </c>
      <c r="L32" s="139">
        <f>EN_0400_005_f</f>
        <v>0</v>
      </c>
      <c r="M32" s="139">
        <f>EN_0400_005_t</f>
        <v>0</v>
      </c>
      <c r="N32" s="138">
        <f t="shared" si="0"/>
        <v>2.7105000000000001</v>
      </c>
      <c r="O32" s="137"/>
    </row>
    <row r="33" spans="1:15" ht="15" x14ac:dyDescent="0.25">
      <c r="A33" s="146"/>
      <c r="B33" s="145" t="str">
        <f>EN_A0400!$B$3</f>
        <v>Engine and Drivetrain</v>
      </c>
      <c r="C33" s="144" t="s">
        <v>250</v>
      </c>
      <c r="D33" s="142" t="s">
        <v>11</v>
      </c>
      <c r="E33" s="142" t="str">
        <f t="shared" si="5"/>
        <v>Throttle Body</v>
      </c>
      <c r="F33" s="143" t="str">
        <f>EN_0400_006</f>
        <v>Cable Housing</v>
      </c>
      <c r="G33" s="142"/>
      <c r="H33" s="141">
        <f t="shared" si="3"/>
        <v>3.5687500000000001</v>
      </c>
      <c r="I33" s="140">
        <f>EN_A0400_q*EN_0400_006_q</f>
        <v>1</v>
      </c>
      <c r="J33" s="139">
        <f>EN_0400_006_m</f>
        <v>0.16874999999999998</v>
      </c>
      <c r="K33" s="139">
        <f>EN_0400_006_p</f>
        <v>3.4</v>
      </c>
      <c r="L33" s="139">
        <f>EN_0400_006_f</f>
        <v>0</v>
      </c>
      <c r="M33" s="139">
        <f>EN_0400_006_t</f>
        <v>0</v>
      </c>
      <c r="N33" s="138">
        <f t="shared" si="0"/>
        <v>3.5687500000000001</v>
      </c>
      <c r="O33" s="137"/>
    </row>
    <row r="34" spans="1:15" ht="15" x14ac:dyDescent="0.25">
      <c r="A34" s="146"/>
      <c r="B34" s="145" t="str">
        <f>EN_A0400!$B$3</f>
        <v>Engine and Drivetrain</v>
      </c>
      <c r="C34" s="144" t="s">
        <v>249</v>
      </c>
      <c r="D34" s="142" t="s">
        <v>11</v>
      </c>
      <c r="E34" s="142" t="str">
        <f t="shared" si="5"/>
        <v>Throttle Body</v>
      </c>
      <c r="F34" s="143" t="str">
        <f>EN_0400_007</f>
        <v>Axle Stop</v>
      </c>
      <c r="G34" s="142"/>
      <c r="H34" s="141">
        <f t="shared" si="3"/>
        <v>2.0409999999999999</v>
      </c>
      <c r="I34" s="140">
        <f>EN_A0400_q*EN_0400_007_q</f>
        <v>1</v>
      </c>
      <c r="J34" s="139">
        <f>EN_0400_007_m</f>
        <v>0.26100000000000001</v>
      </c>
      <c r="K34" s="139">
        <f>EN_0400_007_p</f>
        <v>1.78</v>
      </c>
      <c r="L34" s="139">
        <f>EN_0400_007_f</f>
        <v>0</v>
      </c>
      <c r="M34" s="139">
        <f>EN_0400_007_t</f>
        <v>0</v>
      </c>
      <c r="N34" s="138">
        <f t="shared" si="0"/>
        <v>2.0409999999999999</v>
      </c>
      <c r="O34" s="137"/>
    </row>
    <row r="35" spans="1:15" ht="15" x14ac:dyDescent="0.25">
      <c r="A35" s="146"/>
      <c r="B35" s="145" t="str">
        <f>EN_A0400!$B$3</f>
        <v>Engine and Drivetrain</v>
      </c>
      <c r="C35" s="144" t="s">
        <v>248</v>
      </c>
      <c r="D35" s="142" t="s">
        <v>11</v>
      </c>
      <c r="E35" s="142" t="str">
        <f t="shared" si="5"/>
        <v>Throttle Body</v>
      </c>
      <c r="F35" s="143" t="str">
        <f>EN_0400_008</f>
        <v>Ram Pipe</v>
      </c>
      <c r="G35" s="147"/>
      <c r="H35" s="141">
        <f t="shared" si="3"/>
        <v>12.5068</v>
      </c>
      <c r="I35" s="140">
        <f>EN_A0400_q*EN_0400_008_q</f>
        <v>1</v>
      </c>
      <c r="J35" s="139">
        <f>EN_0400_008_m</f>
        <v>4.0068000000000001</v>
      </c>
      <c r="K35" s="139">
        <f>EN_0400_008_p</f>
        <v>8.5</v>
      </c>
      <c r="L35" s="139">
        <f>EN_0400_008_f</f>
        <v>0</v>
      </c>
      <c r="M35" s="139">
        <f>EN_0400_008_t</f>
        <v>0</v>
      </c>
      <c r="N35" s="138">
        <f t="shared" si="0"/>
        <v>12.5068</v>
      </c>
      <c r="O35" s="137"/>
    </row>
    <row r="36" spans="1:15" ht="15" x14ac:dyDescent="0.25">
      <c r="A36" s="146"/>
      <c r="B36" s="145" t="str">
        <f>EN_A0400!$B$3</f>
        <v>Engine and Drivetrain</v>
      </c>
      <c r="C36" s="144" t="s">
        <v>247</v>
      </c>
      <c r="D36" s="142" t="s">
        <v>11</v>
      </c>
      <c r="E36" s="142" t="str">
        <f t="shared" si="5"/>
        <v>Throttle Body</v>
      </c>
      <c r="F36" s="143" t="str">
        <f>EN_0400_009</f>
        <v>Throttle Plate</v>
      </c>
      <c r="G36" s="142"/>
      <c r="H36" s="141">
        <f t="shared" si="3"/>
        <v>1.492</v>
      </c>
      <c r="I36" s="140">
        <f>EN_A0400_q*EN_0400_009_q</f>
        <v>1</v>
      </c>
      <c r="J36" s="139">
        <f>EN_0400_009_m</f>
        <v>7.2000000000000008E-2</v>
      </c>
      <c r="K36" s="139">
        <f>EN_0400_009_p</f>
        <v>1.42</v>
      </c>
      <c r="L36" s="139">
        <f>EN_0400_009_f</f>
        <v>0</v>
      </c>
      <c r="M36" s="139">
        <f>EN_0400_009_t</f>
        <v>0</v>
      </c>
      <c r="N36" s="138">
        <f t="shared" si="0"/>
        <v>1.492</v>
      </c>
      <c r="O36" s="137"/>
    </row>
    <row r="37" spans="1:15" ht="15" x14ac:dyDescent="0.25">
      <c r="A37" s="620"/>
      <c r="B37" s="621" t="str">
        <f>EN_A0900!B3</f>
        <v>Engine &amp; Drivetrain</v>
      </c>
      <c r="C37" s="630" t="str">
        <f>EN_A0900</f>
        <v>EN_A0900</v>
      </c>
      <c r="D37" s="623" t="s">
        <v>11</v>
      </c>
      <c r="E37" s="623"/>
      <c r="F37" s="624" t="str">
        <f>EN_A0900!B4</f>
        <v>Differential Assembly</v>
      </c>
      <c r="G37" s="623"/>
      <c r="H37" s="152">
        <f t="shared" si="3"/>
        <v>203.88982703267328</v>
      </c>
      <c r="I37" s="626">
        <f>EN_A0900_q</f>
        <v>1</v>
      </c>
      <c r="J37" s="627">
        <f>EN_A0900_m</f>
        <v>180.46876618407356</v>
      </c>
      <c r="K37" s="627">
        <f>EN_A0900_p</f>
        <v>18.487000000000002</v>
      </c>
      <c r="L37" s="627">
        <f>EN_A0900_f</f>
        <v>2.2673941819330707</v>
      </c>
      <c r="M37" s="627">
        <f>EN_A0900_t</f>
        <v>2.6666666666666665</v>
      </c>
      <c r="N37" s="149">
        <f t="shared" si="0"/>
        <v>203.88982703267328</v>
      </c>
      <c r="O37" s="629"/>
    </row>
    <row r="38" spans="1:15" ht="15" x14ac:dyDescent="0.25">
      <c r="A38" s="593"/>
      <c r="B38" s="594" t="str">
        <f>EN_0900_001!$B$3</f>
        <v>Engine &amp; Drivetrain</v>
      </c>
      <c r="C38" s="595" t="str">
        <f>EN_0900_001</f>
        <v>EN_0900_001</v>
      </c>
      <c r="D38" s="596" t="s">
        <v>11</v>
      </c>
      <c r="E38" s="596" t="str">
        <f>F$37</f>
        <v>Differential Assembly</v>
      </c>
      <c r="F38" s="597" t="str">
        <f>EN_0900_001!B5</f>
        <v>Housing</v>
      </c>
      <c r="G38" s="596"/>
      <c r="H38" s="141">
        <f t="shared" si="3"/>
        <v>125.93892271516907</v>
      </c>
      <c r="I38" s="599">
        <f>EN_A0900_q*EN_0900_001_q</f>
        <v>1</v>
      </c>
      <c r="J38" s="600">
        <f>EN_0900_001_m</f>
        <v>21.413986326151015</v>
      </c>
      <c r="K38" s="600">
        <f>EN_0900_001_p</f>
        <v>101.49</v>
      </c>
      <c r="L38" s="600">
        <f>EN_0900_001_f</f>
        <v>3.0349363890180614</v>
      </c>
      <c r="M38" s="600">
        <v>0</v>
      </c>
      <c r="N38" s="138">
        <f t="shared" si="0"/>
        <v>125.93892271516907</v>
      </c>
      <c r="O38" s="602"/>
    </row>
    <row r="39" spans="1:15" ht="15" x14ac:dyDescent="0.25">
      <c r="A39" s="593"/>
      <c r="B39" s="594" t="str">
        <f>EN_0900_001!$B$3</f>
        <v>Engine &amp; Drivetrain</v>
      </c>
      <c r="C39" s="595" t="str">
        <f>EN_0900_002</f>
        <v>EN_0900_002</v>
      </c>
      <c r="D39" s="596" t="s">
        <v>11</v>
      </c>
      <c r="E39" s="596" t="str">
        <f t="shared" ref="E39:E46" si="6">F$37</f>
        <v>Differential Assembly</v>
      </c>
      <c r="F39" s="597" t="str">
        <f>EN_0900_002!B5</f>
        <v>Left Eccentric</v>
      </c>
      <c r="G39" s="596"/>
      <c r="H39" s="141">
        <f t="shared" si="3"/>
        <v>10.904564699673662</v>
      </c>
      <c r="I39" s="599">
        <f>EN_A0900_q*EN_0900_002_q</f>
        <v>1</v>
      </c>
      <c r="J39" s="600">
        <f>EN_0900_002_m</f>
        <v>2.5923646996736607</v>
      </c>
      <c r="K39" s="600">
        <f>EN_0900_002_p</f>
        <v>8.3122000000000007</v>
      </c>
      <c r="L39" s="600">
        <v>0</v>
      </c>
      <c r="M39" s="600">
        <v>0</v>
      </c>
      <c r="N39" s="138">
        <f t="shared" si="0"/>
        <v>10.904564699673662</v>
      </c>
      <c r="O39" s="602"/>
    </row>
    <row r="40" spans="1:15" ht="15" x14ac:dyDescent="0.25">
      <c r="A40" s="593"/>
      <c r="B40" s="594" t="str">
        <f>EN_0900_001!$B$3</f>
        <v>Engine &amp; Drivetrain</v>
      </c>
      <c r="C40" s="595" t="str">
        <f>EN_0900_003</f>
        <v>EN_0900_003</v>
      </c>
      <c r="D40" s="596" t="s">
        <v>11</v>
      </c>
      <c r="E40" s="596" t="str">
        <f t="shared" si="6"/>
        <v>Differential Assembly</v>
      </c>
      <c r="F40" s="597" t="str">
        <f>EN_0900_003!B5</f>
        <v>Right Eccentric</v>
      </c>
      <c r="G40" s="596"/>
      <c r="H40" s="141">
        <f t="shared" si="3"/>
        <v>8.5389646196590014</v>
      </c>
      <c r="I40" s="599">
        <f>EN_A0900_q*EN_0900_003_q</f>
        <v>1</v>
      </c>
      <c r="J40" s="600">
        <f>EN_0900_003_m</f>
        <v>2.0039646196590013</v>
      </c>
      <c r="K40" s="600">
        <f>EN_0900_003_p</f>
        <v>6.5350000000000001</v>
      </c>
      <c r="L40" s="600">
        <v>0</v>
      </c>
      <c r="M40" s="600">
        <v>0</v>
      </c>
      <c r="N40" s="138">
        <f t="shared" si="0"/>
        <v>8.5389646196590014</v>
      </c>
      <c r="O40" s="602"/>
    </row>
    <row r="41" spans="1:15" ht="15" x14ac:dyDescent="0.25">
      <c r="A41" s="593"/>
      <c r="B41" s="594" t="str">
        <f>EN_0900_001!$B$3</f>
        <v>Engine &amp; Drivetrain</v>
      </c>
      <c r="C41" s="595" t="str">
        <f>EN_0900_004</f>
        <v>EN_0900_004</v>
      </c>
      <c r="D41" s="596" t="s">
        <v>11</v>
      </c>
      <c r="E41" s="596" t="str">
        <f t="shared" si="6"/>
        <v>Differential Assembly</v>
      </c>
      <c r="F41" s="597" t="str">
        <f>EN_0900_004!B5</f>
        <v>Left Eccentric carrier</v>
      </c>
      <c r="G41" s="596"/>
      <c r="H41" s="141">
        <f t="shared" si="3"/>
        <v>23.956417471999998</v>
      </c>
      <c r="I41" s="599">
        <f>EN_A0900_q*EN_0900_004_q</f>
        <v>1</v>
      </c>
      <c r="J41" s="600">
        <f>EN_0900_004_m</f>
        <v>7.7532174719999993</v>
      </c>
      <c r="K41" s="600">
        <f>EN_0900_004_p</f>
        <v>16.203199999999999</v>
      </c>
      <c r="L41" s="600">
        <v>0</v>
      </c>
      <c r="M41" s="600">
        <v>0</v>
      </c>
      <c r="N41" s="138">
        <f t="shared" si="0"/>
        <v>23.956417471999998</v>
      </c>
      <c r="O41" s="602"/>
    </row>
    <row r="42" spans="1:15" ht="15" x14ac:dyDescent="0.25">
      <c r="A42" s="593"/>
      <c r="B42" s="594" t="str">
        <f>EN_0900_001!$B$3</f>
        <v>Engine &amp; Drivetrain</v>
      </c>
      <c r="C42" s="595" t="str">
        <f>EN_0900_005</f>
        <v>EN_0900_005</v>
      </c>
      <c r="D42" s="596" t="s">
        <v>11</v>
      </c>
      <c r="E42" s="596" t="str">
        <f t="shared" si="6"/>
        <v>Differential Assembly</v>
      </c>
      <c r="F42" s="597" t="str">
        <f>EN_0900_005!B5</f>
        <v>Right Eccentric carrier</v>
      </c>
      <c r="G42" s="596"/>
      <c r="H42" s="141">
        <f t="shared" si="3"/>
        <v>17.198412672</v>
      </c>
      <c r="I42" s="599">
        <f>EN_A0900_q*EN_0900_005_q</f>
        <v>1</v>
      </c>
      <c r="J42" s="600">
        <f>EN_0900_005_m</f>
        <v>5.6232126720000002</v>
      </c>
      <c r="K42" s="600">
        <f>EN_0900_005_p</f>
        <v>11.575200000000001</v>
      </c>
      <c r="L42" s="600">
        <v>0</v>
      </c>
      <c r="M42" s="600">
        <v>0</v>
      </c>
      <c r="N42" s="138">
        <f t="shared" si="0"/>
        <v>17.198412672</v>
      </c>
      <c r="O42" s="602"/>
    </row>
    <row r="43" spans="1:15" ht="15" x14ac:dyDescent="0.25">
      <c r="A43" s="593"/>
      <c r="B43" s="594" t="str">
        <f>EN_0900_001!$B$3</f>
        <v>Engine &amp; Drivetrain</v>
      </c>
      <c r="C43" s="595" t="str">
        <f>EN_0900_006</f>
        <v>EN_0900_006</v>
      </c>
      <c r="D43" s="596" t="s">
        <v>11</v>
      </c>
      <c r="E43" s="596" t="str">
        <f t="shared" si="6"/>
        <v>Differential Assembly</v>
      </c>
      <c r="F43" s="597" t="str">
        <f>EN_0900_006!B5</f>
        <v>Upper Eccentric Carrier bracket</v>
      </c>
      <c r="G43" s="596"/>
      <c r="H43" s="598">
        <f t="shared" si="3"/>
        <v>0.99587245000000002</v>
      </c>
      <c r="I43" s="599">
        <f>EN_A0900_q*EN_0900_006_q</f>
        <v>4</v>
      </c>
      <c r="J43" s="600">
        <f>EN_0900_006_m</f>
        <v>8.287245E-2</v>
      </c>
      <c r="K43" s="600">
        <f>EN_0900_006_p</f>
        <v>0.91300000000000003</v>
      </c>
      <c r="L43" s="600">
        <v>0</v>
      </c>
      <c r="M43" s="600">
        <v>0</v>
      </c>
      <c r="N43" s="601">
        <f t="shared" si="0"/>
        <v>3.9834898000000001</v>
      </c>
      <c r="O43" s="602"/>
    </row>
    <row r="44" spans="1:15" ht="15" x14ac:dyDescent="0.25">
      <c r="A44" s="593"/>
      <c r="B44" s="594" t="str">
        <f>EN_0900_001!$B$3</f>
        <v>Engine &amp; Drivetrain</v>
      </c>
      <c r="C44" s="595" t="str">
        <f>EN_0900_007</f>
        <v>EN_0900_007</v>
      </c>
      <c r="D44" s="596" t="s">
        <v>11</v>
      </c>
      <c r="E44" s="596" t="str">
        <f t="shared" si="6"/>
        <v>Differential Assembly</v>
      </c>
      <c r="F44" s="597" t="str">
        <f>EN_0900_007!B5</f>
        <v>Lower Eccentric Carrier bracket</v>
      </c>
      <c r="G44" s="596"/>
      <c r="H44" s="598">
        <f t="shared" si="3"/>
        <v>0.96928532500000009</v>
      </c>
      <c r="I44" s="599">
        <f>EN_A0900_q*EN_0900_007_q</f>
        <v>4</v>
      </c>
      <c r="J44" s="600">
        <f>EN_0900_007_m</f>
        <v>7.0685324999999993E-2</v>
      </c>
      <c r="K44" s="600">
        <f>EN_0900_007_p</f>
        <v>0.89860000000000007</v>
      </c>
      <c r="L44" s="600">
        <v>0</v>
      </c>
      <c r="M44" s="600">
        <v>0</v>
      </c>
      <c r="N44" s="601">
        <f t="shared" si="0"/>
        <v>3.8771413000000003</v>
      </c>
      <c r="O44" s="602"/>
    </row>
    <row r="45" spans="1:15" ht="15" x14ac:dyDescent="0.25">
      <c r="A45" s="593"/>
      <c r="B45" s="594" t="str">
        <f>EN_0900_001!$B$3</f>
        <v>Engine &amp; Drivetrain</v>
      </c>
      <c r="C45" s="595" t="str">
        <f>EN_0900_008</f>
        <v>EN_0900_008</v>
      </c>
      <c r="D45" s="596" t="s">
        <v>11</v>
      </c>
      <c r="E45" s="596" t="str">
        <f t="shared" si="6"/>
        <v>Differential Assembly</v>
      </c>
      <c r="F45" s="597" t="str">
        <f>EN_0900_008!B5</f>
        <v>Left Jacking Bar bracket</v>
      </c>
      <c r="G45" s="596"/>
      <c r="H45" s="598">
        <f t="shared" si="3"/>
        <v>2.2021247500000003</v>
      </c>
      <c r="I45" s="599">
        <f>EN_A0900_q*EN_0900_008_q</f>
        <v>1</v>
      </c>
      <c r="J45" s="600">
        <f>EN_0900_008_m</f>
        <v>0.14942475</v>
      </c>
      <c r="K45" s="600">
        <f>EN_0900_008_p</f>
        <v>2.0527000000000002</v>
      </c>
      <c r="L45" s="600">
        <v>0</v>
      </c>
      <c r="M45" s="600">
        <v>0</v>
      </c>
      <c r="N45" s="601">
        <f t="shared" si="0"/>
        <v>2.2021247500000003</v>
      </c>
      <c r="O45" s="602"/>
    </row>
    <row r="46" spans="1:15" ht="15" x14ac:dyDescent="0.25">
      <c r="A46" s="593"/>
      <c r="B46" s="594" t="str">
        <f>EN_0900_001!$B$3</f>
        <v>Engine &amp; Drivetrain</v>
      </c>
      <c r="C46" s="595" t="str">
        <f>EN_0900_009</f>
        <v>EN_0900_009</v>
      </c>
      <c r="D46" s="596" t="s">
        <v>11</v>
      </c>
      <c r="E46" s="596" t="str">
        <f t="shared" si="6"/>
        <v>Differential Assembly</v>
      </c>
      <c r="F46" s="597" t="str">
        <f>EN_0900_009!B5</f>
        <v>Right Jacking Bar bracket</v>
      </c>
      <c r="G46" s="596"/>
      <c r="H46" s="598">
        <f t="shared" si="3"/>
        <v>2.2130151625000001</v>
      </c>
      <c r="I46" s="599">
        <f>EN_A0900_q*EN_0900_009_q</f>
        <v>1</v>
      </c>
      <c r="J46" s="600">
        <f>EN_0900_009_m</f>
        <v>0.15191516250000001</v>
      </c>
      <c r="K46" s="600">
        <f>EN_0900_009_p</f>
        <v>2.0611000000000002</v>
      </c>
      <c r="L46" s="600">
        <v>0</v>
      </c>
      <c r="M46" s="600">
        <v>0</v>
      </c>
      <c r="N46" s="601">
        <f t="shared" si="0"/>
        <v>2.2130151625000001</v>
      </c>
      <c r="O46" s="602"/>
    </row>
    <row r="47" spans="1:15" ht="15" x14ac:dyDescent="0.25">
      <c r="A47" s="620"/>
      <c r="B47" s="621"/>
      <c r="C47" s="622"/>
      <c r="D47" s="623"/>
      <c r="E47" s="623"/>
      <c r="F47" s="624"/>
      <c r="G47" s="623"/>
      <c r="H47" s="625"/>
      <c r="I47" s="626"/>
      <c r="J47" s="627"/>
      <c r="K47" s="627"/>
      <c r="L47" s="627"/>
      <c r="M47" s="627"/>
      <c r="N47" s="628"/>
      <c r="O47" s="629"/>
    </row>
    <row r="48" spans="1:15" ht="15.75" thickBot="1" x14ac:dyDescent="0.3">
      <c r="A48" s="631"/>
      <c r="B48" s="585"/>
      <c r="C48" s="586"/>
      <c r="D48" s="587"/>
      <c r="E48" s="587"/>
      <c r="F48" s="588"/>
      <c r="G48" s="587"/>
      <c r="H48" s="589"/>
      <c r="I48" s="590"/>
      <c r="J48" s="591"/>
      <c r="K48" s="591"/>
      <c r="L48" s="591"/>
      <c r="M48" s="591"/>
      <c r="N48" s="592"/>
      <c r="O48" s="632"/>
    </row>
    <row r="49" spans="1:15" s="7" customFormat="1" ht="15" thickBot="1" x14ac:dyDescent="0.25">
      <c r="A49" s="613"/>
      <c r="B49" s="614" t="str">
        <f>'EN A0200'!B3</f>
        <v>Engine and Drivetrain</v>
      </c>
      <c r="C49" s="615"/>
      <c r="D49" s="615"/>
      <c r="E49" s="615"/>
      <c r="F49" s="614" t="s">
        <v>65</v>
      </c>
      <c r="G49" s="615"/>
      <c r="H49" s="616"/>
      <c r="I49" s="617"/>
      <c r="J49" s="618">
        <f>SUMPRODUCT($I7:$I48,J7:J48)</f>
        <v>412.64566032274814</v>
      </c>
      <c r="K49" s="618">
        <f>SUMPRODUCT($I7:$I48,K7:K48)</f>
        <v>625.37568752053699</v>
      </c>
      <c r="L49" s="618">
        <f>SUMPRODUCT($I7:$I48,L7:L48)</f>
        <v>12.029017096791033</v>
      </c>
      <c r="M49" s="618">
        <f>SUMPRODUCT($I7:$I48,M7:M48)</f>
        <v>17.204000000000001</v>
      </c>
      <c r="N49" s="618">
        <f>SUM(N7:N48)</f>
        <v>1067.2543649400759</v>
      </c>
      <c r="O49" s="619"/>
    </row>
    <row r="50" spans="1:15" x14ac:dyDescent="0.2">
      <c r="A50" s="6"/>
      <c r="B50" s="27"/>
      <c r="C50" s="8"/>
      <c r="D50" s="8"/>
      <c r="E50" s="8"/>
      <c r="F50" s="8"/>
      <c r="G50" s="8"/>
      <c r="H50" s="3"/>
      <c r="I50" s="8"/>
      <c r="J50" s="8"/>
      <c r="K50" s="8"/>
      <c r="L50" s="8"/>
      <c r="M50" s="8"/>
      <c r="N50" s="8"/>
    </row>
    <row r="51" spans="1:15" x14ac:dyDescent="0.2">
      <c r="A51" s="6"/>
      <c r="B51" s="27"/>
      <c r="C51" s="8"/>
      <c r="D51" s="8"/>
      <c r="E51" s="8"/>
      <c r="F51" s="8"/>
      <c r="G51" s="8"/>
      <c r="H51" s="3"/>
      <c r="I51" s="8"/>
      <c r="J51" s="8"/>
      <c r="K51" s="8"/>
      <c r="L51" s="8"/>
      <c r="M51" s="8"/>
      <c r="N51" s="8"/>
    </row>
    <row r="52" spans="1:15" x14ac:dyDescent="0.2">
      <c r="A52" s="6"/>
      <c r="B52" s="6"/>
      <c r="D52" s="8"/>
      <c r="E52" s="8"/>
      <c r="G52" s="8"/>
      <c r="H52" s="8"/>
      <c r="I52" s="3"/>
      <c r="J52" s="3"/>
      <c r="K52" s="3"/>
      <c r="L52" s="3"/>
      <c r="M52" s="3"/>
      <c r="N52" s="8"/>
    </row>
    <row r="53" spans="1:15" x14ac:dyDescent="0.2">
      <c r="A53" s="6"/>
      <c r="B53" s="6"/>
      <c r="D53" s="8"/>
      <c r="E53" s="8"/>
      <c r="G53" s="8"/>
      <c r="H53" s="8"/>
      <c r="I53" s="3"/>
      <c r="J53" s="3"/>
      <c r="K53" s="3"/>
      <c r="L53" s="3"/>
      <c r="M53" s="3"/>
      <c r="N53" s="30"/>
    </row>
    <row r="54" spans="1:15" x14ac:dyDescent="0.2">
      <c r="A54" s="6"/>
      <c r="B54" s="6"/>
      <c r="D54" s="8"/>
      <c r="E54" s="8"/>
      <c r="G54" s="8"/>
      <c r="H54" s="8"/>
      <c r="I54" s="3"/>
      <c r="J54" s="3"/>
      <c r="K54" s="3"/>
      <c r="L54" s="3"/>
      <c r="M54" s="3"/>
      <c r="N54" s="8"/>
    </row>
    <row r="55" spans="1:15" x14ac:dyDescent="0.2">
      <c r="A55" s="6"/>
      <c r="B55" s="6"/>
      <c r="D55" s="8"/>
      <c r="E55" s="8"/>
      <c r="G55" s="8"/>
      <c r="H55" s="8"/>
      <c r="I55" s="3"/>
      <c r="J55" s="3"/>
      <c r="K55" s="3"/>
      <c r="L55" s="3"/>
      <c r="M55" s="3"/>
      <c r="N55" s="30"/>
    </row>
    <row r="56" spans="1:15" x14ac:dyDescent="0.2">
      <c r="A56" s="6"/>
      <c r="B56" s="6"/>
      <c r="D56" s="8"/>
      <c r="E56" s="8"/>
      <c r="G56" s="8"/>
      <c r="H56" s="8"/>
      <c r="I56" s="3"/>
      <c r="J56" s="3"/>
      <c r="K56" s="3"/>
      <c r="L56" s="3"/>
      <c r="M56" s="3"/>
      <c r="N56" s="8"/>
    </row>
    <row r="57" spans="1:15" x14ac:dyDescent="0.2">
      <c r="A57" s="6"/>
      <c r="B57" s="6"/>
      <c r="D57" s="8"/>
      <c r="E57" s="8"/>
      <c r="G57" s="8"/>
      <c r="H57" s="8"/>
      <c r="I57" s="3"/>
      <c r="J57" s="3"/>
      <c r="K57" s="3"/>
      <c r="L57" s="3"/>
      <c r="M57" s="3"/>
      <c r="N57" s="8"/>
    </row>
    <row r="58" spans="1:15" x14ac:dyDescent="0.2">
      <c r="A58" s="6"/>
      <c r="B58" s="6"/>
      <c r="D58" s="8"/>
      <c r="E58" s="8"/>
      <c r="G58" s="8"/>
      <c r="H58" s="8"/>
      <c r="I58" s="3"/>
      <c r="J58" s="3"/>
      <c r="K58" s="3"/>
      <c r="L58" s="3"/>
      <c r="M58" s="3"/>
      <c r="N58" s="8"/>
    </row>
    <row r="59" spans="1:15" x14ac:dyDescent="0.2">
      <c r="A59" s="6"/>
      <c r="B59" s="6"/>
      <c r="D59" s="8"/>
      <c r="E59" s="8"/>
      <c r="G59" s="8"/>
      <c r="H59" s="8"/>
      <c r="I59" s="3"/>
      <c r="J59" s="3"/>
      <c r="K59" s="3"/>
      <c r="L59" s="3"/>
      <c r="M59" s="3"/>
      <c r="N59" s="8"/>
    </row>
    <row r="60" spans="1:15" x14ac:dyDescent="0.2">
      <c r="A60" s="6"/>
      <c r="B60" s="6"/>
      <c r="D60" s="8"/>
      <c r="E60" s="8"/>
      <c r="G60" s="8"/>
      <c r="H60" s="8"/>
      <c r="I60" s="3"/>
      <c r="J60" s="3"/>
      <c r="K60" s="3"/>
      <c r="L60" s="3"/>
      <c r="M60" s="3"/>
      <c r="N60" s="8"/>
    </row>
    <row r="61" spans="1:15" x14ac:dyDescent="0.2">
      <c r="A61" s="6"/>
      <c r="B61" s="6"/>
      <c r="D61" s="8"/>
      <c r="E61" s="8"/>
      <c r="G61" s="8"/>
      <c r="H61" s="8"/>
      <c r="I61" s="3"/>
      <c r="J61" s="3"/>
      <c r="K61" s="3"/>
      <c r="L61" s="3"/>
      <c r="M61" s="3"/>
      <c r="N61" s="8"/>
    </row>
    <row r="62" spans="1:15" x14ac:dyDescent="0.2">
      <c r="A62" s="6"/>
      <c r="B62" s="6"/>
      <c r="D62" s="8"/>
      <c r="E62" s="8"/>
      <c r="G62" s="8"/>
      <c r="H62" s="8"/>
      <c r="I62" s="3"/>
      <c r="J62" s="3"/>
      <c r="K62" s="3"/>
      <c r="L62" s="3"/>
      <c r="M62" s="3"/>
      <c r="N62" s="8"/>
    </row>
    <row r="63" spans="1:15" x14ac:dyDescent="0.2">
      <c r="A63" s="6"/>
      <c r="B63" s="6"/>
      <c r="D63" s="8"/>
      <c r="E63" s="8"/>
      <c r="G63" s="8"/>
      <c r="H63" s="8"/>
      <c r="I63" s="3"/>
      <c r="J63" s="3"/>
      <c r="K63" s="3"/>
      <c r="L63" s="3"/>
      <c r="M63" s="3"/>
      <c r="N63" s="8"/>
    </row>
    <row r="64" spans="1:15" x14ac:dyDescent="0.2">
      <c r="A64" s="6"/>
      <c r="B64" s="6"/>
      <c r="D64" s="8"/>
      <c r="E64" s="8"/>
      <c r="G64" s="8"/>
      <c r="H64" s="8"/>
      <c r="I64" s="3"/>
      <c r="J64" s="3"/>
      <c r="K64" s="3"/>
      <c r="L64" s="3"/>
      <c r="M64" s="3"/>
      <c r="N64" s="8"/>
    </row>
    <row r="65" spans="1:14" x14ac:dyDescent="0.2">
      <c r="A65" s="6"/>
      <c r="B65" s="6"/>
      <c r="D65" s="8"/>
      <c r="E65" s="8"/>
      <c r="G65" s="8"/>
      <c r="H65" s="8"/>
      <c r="I65" s="3"/>
      <c r="J65" s="3"/>
      <c r="K65" s="3"/>
      <c r="L65" s="3"/>
      <c r="M65" s="3"/>
      <c r="N65" s="8"/>
    </row>
    <row r="66" spans="1:14" x14ac:dyDescent="0.2">
      <c r="A66" s="6"/>
      <c r="B66" s="6"/>
      <c r="D66" s="8"/>
      <c r="E66" s="8"/>
      <c r="G66" s="8"/>
      <c r="H66" s="8"/>
      <c r="I66" s="3"/>
      <c r="J66" s="3"/>
      <c r="K66" s="3"/>
      <c r="L66" s="3"/>
      <c r="M66" s="3"/>
      <c r="N66" s="8"/>
    </row>
    <row r="67" spans="1:14" x14ac:dyDescent="0.2">
      <c r="A67" s="6"/>
      <c r="B67" s="6"/>
      <c r="D67" s="8"/>
      <c r="E67" s="8"/>
      <c r="G67" s="8"/>
      <c r="H67" s="8"/>
      <c r="I67" s="3"/>
      <c r="J67" s="3"/>
      <c r="K67" s="3"/>
      <c r="L67" s="3"/>
      <c r="M67" s="3"/>
      <c r="N67" s="8"/>
    </row>
    <row r="68" spans="1:14" x14ac:dyDescent="0.2">
      <c r="A68" s="6"/>
      <c r="B68" s="6"/>
      <c r="D68" s="8"/>
      <c r="E68" s="8"/>
      <c r="G68" s="8"/>
      <c r="H68" s="8"/>
      <c r="I68" s="3"/>
      <c r="J68" s="3"/>
      <c r="K68" s="3"/>
      <c r="L68" s="3"/>
      <c r="M68" s="3"/>
      <c r="N68" s="8"/>
    </row>
    <row r="69" spans="1:14" x14ac:dyDescent="0.2">
      <c r="A69" s="6"/>
      <c r="B69" s="6"/>
      <c r="D69" s="8"/>
      <c r="E69" s="8"/>
      <c r="G69" s="8"/>
      <c r="H69" s="8"/>
      <c r="I69" s="3"/>
      <c r="J69" s="3"/>
      <c r="K69" s="3"/>
      <c r="L69" s="3"/>
      <c r="M69" s="3"/>
      <c r="N69" s="8"/>
    </row>
    <row r="70" spans="1:14" x14ac:dyDescent="0.2">
      <c r="A70" s="6"/>
      <c r="B70" s="6"/>
      <c r="D70" s="8"/>
      <c r="E70" s="8"/>
      <c r="G70" s="8"/>
      <c r="H70" s="8"/>
      <c r="I70" s="3"/>
      <c r="J70" s="3"/>
      <c r="K70" s="3"/>
      <c r="L70" s="3"/>
      <c r="M70" s="3"/>
      <c r="N70" s="8"/>
    </row>
    <row r="71" spans="1:14" x14ac:dyDescent="0.2">
      <c r="A71" s="6"/>
      <c r="B71" s="6"/>
      <c r="D71" s="8"/>
      <c r="E71" s="8"/>
      <c r="G71" s="8"/>
      <c r="H71" s="8"/>
      <c r="I71" s="3"/>
      <c r="J71" s="3"/>
      <c r="K71" s="3"/>
      <c r="L71" s="3"/>
      <c r="M71" s="3"/>
      <c r="N71" s="8"/>
    </row>
    <row r="72" spans="1:14" x14ac:dyDescent="0.2">
      <c r="A72" s="6"/>
      <c r="B72" s="6"/>
      <c r="D72" s="8"/>
      <c r="E72" s="8"/>
      <c r="G72" s="8"/>
      <c r="H72" s="8"/>
      <c r="I72" s="3"/>
      <c r="J72" s="3"/>
      <c r="K72" s="3"/>
      <c r="L72" s="3"/>
      <c r="M72" s="3"/>
      <c r="N72" s="8"/>
    </row>
    <row r="73" spans="1:14" x14ac:dyDescent="0.2">
      <c r="A73" s="6"/>
      <c r="B73" s="6"/>
      <c r="D73" s="8"/>
      <c r="E73" s="8"/>
      <c r="G73" s="8"/>
      <c r="H73" s="8"/>
      <c r="I73" s="3"/>
      <c r="J73" s="3"/>
      <c r="K73" s="3"/>
      <c r="L73" s="3"/>
      <c r="M73" s="3"/>
      <c r="N73" s="8"/>
    </row>
    <row r="74" spans="1:14" x14ac:dyDescent="0.2">
      <c r="A74" s="6"/>
      <c r="B74" s="6"/>
      <c r="D74" s="8"/>
      <c r="E74" s="8"/>
      <c r="G74" s="8"/>
      <c r="H74" s="8"/>
      <c r="I74" s="3"/>
      <c r="J74" s="3"/>
      <c r="K74" s="3"/>
      <c r="L74" s="3"/>
      <c r="M74" s="3"/>
      <c r="N74" s="8"/>
    </row>
    <row r="75" spans="1:14" x14ac:dyDescent="0.2">
      <c r="A75" s="6"/>
      <c r="B75" s="6"/>
      <c r="D75" s="8"/>
      <c r="E75" s="8"/>
      <c r="G75" s="8"/>
      <c r="H75" s="8"/>
      <c r="I75" s="3"/>
      <c r="J75" s="3"/>
      <c r="K75" s="3"/>
      <c r="L75" s="3"/>
      <c r="M75" s="3"/>
      <c r="N75" s="8"/>
    </row>
    <row r="76" spans="1:14" x14ac:dyDescent="0.2">
      <c r="A76" s="6"/>
      <c r="B76" s="6"/>
      <c r="D76" s="8"/>
      <c r="E76" s="8"/>
      <c r="G76" s="8"/>
      <c r="H76" s="8"/>
      <c r="I76" s="3"/>
      <c r="J76" s="3"/>
      <c r="K76" s="3"/>
      <c r="L76" s="3"/>
      <c r="M76" s="3"/>
      <c r="N76" s="8"/>
    </row>
    <row r="77" spans="1:14" x14ac:dyDescent="0.2">
      <c r="A77" s="6"/>
      <c r="B77" s="6"/>
      <c r="D77" s="8"/>
      <c r="E77" s="8"/>
      <c r="G77" s="8"/>
      <c r="H77" s="8"/>
      <c r="I77" s="3"/>
      <c r="J77" s="3"/>
      <c r="K77" s="3"/>
      <c r="L77" s="3"/>
      <c r="M77" s="3"/>
      <c r="N77" s="8"/>
    </row>
    <row r="78" spans="1:14" x14ac:dyDescent="0.2">
      <c r="A78" s="6"/>
      <c r="B78" s="6"/>
      <c r="D78" s="8"/>
      <c r="E78" s="8"/>
      <c r="G78" s="8"/>
      <c r="H78" s="8"/>
      <c r="I78" s="3"/>
      <c r="J78" s="3"/>
      <c r="K78" s="3"/>
      <c r="L78" s="3"/>
      <c r="M78" s="3"/>
      <c r="N78" s="8"/>
    </row>
    <row r="79" spans="1:14" x14ac:dyDescent="0.2">
      <c r="A79" s="6"/>
      <c r="B79" s="6"/>
      <c r="D79" s="8"/>
      <c r="E79" s="8"/>
      <c r="G79" s="8"/>
      <c r="H79" s="8"/>
      <c r="I79" s="3"/>
      <c r="J79" s="3"/>
      <c r="K79" s="3"/>
      <c r="L79" s="3"/>
      <c r="M79" s="3"/>
      <c r="N79" s="8"/>
    </row>
    <row r="80" spans="1:14" s="4" customFormat="1" x14ac:dyDescent="0.2">
      <c r="A80" s="2"/>
      <c r="B80" s="6"/>
      <c r="F80" s="27"/>
      <c r="I80" s="1"/>
      <c r="J80" s="1"/>
      <c r="K80" s="1"/>
      <c r="L80" s="1"/>
      <c r="M80" s="1"/>
    </row>
    <row r="81" spans="1:14" s="4" customFormat="1" x14ac:dyDescent="0.2">
      <c r="A81" s="2"/>
      <c r="B81" s="6"/>
      <c r="F81" s="27"/>
      <c r="I81" s="1"/>
      <c r="J81" s="1"/>
      <c r="K81" s="1"/>
      <c r="L81" s="1"/>
      <c r="M81" s="1"/>
    </row>
    <row r="82" spans="1:14" s="4" customFormat="1" x14ac:dyDescent="0.2">
      <c r="A82" s="2"/>
      <c r="B82" s="6"/>
      <c r="F82" s="27"/>
      <c r="I82" s="1"/>
      <c r="J82" s="1"/>
      <c r="K82" s="1"/>
      <c r="L82" s="1"/>
      <c r="M82" s="1"/>
    </row>
    <row r="83" spans="1:14" s="4" customFormat="1" x14ac:dyDescent="0.2">
      <c r="A83" s="2"/>
      <c r="B83" s="6"/>
      <c r="F83" s="27"/>
      <c r="I83" s="1"/>
      <c r="J83" s="1"/>
      <c r="K83" s="1"/>
      <c r="L83" s="1"/>
      <c r="M83" s="1"/>
    </row>
    <row r="84" spans="1:14" s="4" customFormat="1" x14ac:dyDescent="0.2">
      <c r="A84" s="2"/>
      <c r="B84" s="6"/>
      <c r="F84" s="27"/>
      <c r="I84" s="1"/>
      <c r="J84" s="1"/>
      <c r="K84" s="1"/>
      <c r="L84" s="1"/>
      <c r="M84" s="1"/>
    </row>
    <row r="85" spans="1:14" s="4" customFormat="1" x14ac:dyDescent="0.2">
      <c r="A85" s="2"/>
      <c r="B85" s="6"/>
      <c r="F85" s="27"/>
      <c r="I85" s="1"/>
      <c r="J85" s="1"/>
      <c r="K85" s="1"/>
      <c r="L85" s="1"/>
      <c r="M85" s="1"/>
    </row>
    <row r="86" spans="1:14" s="4" customFormat="1" x14ac:dyDescent="0.2">
      <c r="A86" s="2"/>
      <c r="B86" s="6"/>
      <c r="F86" s="27"/>
      <c r="I86" s="1"/>
      <c r="J86" s="1"/>
      <c r="K86" s="1"/>
      <c r="L86" s="1"/>
      <c r="M86" s="1"/>
    </row>
    <row r="87" spans="1:14" s="4" customFormat="1" x14ac:dyDescent="0.2">
      <c r="A87" s="2"/>
      <c r="B87" s="6"/>
      <c r="F87" s="27"/>
      <c r="I87" s="1"/>
      <c r="J87" s="1"/>
      <c r="K87" s="1"/>
      <c r="L87" s="1"/>
      <c r="M87" s="1"/>
    </row>
    <row r="88" spans="1:14" s="4" customFormat="1" x14ac:dyDescent="0.2">
      <c r="A88" s="2"/>
      <c r="B88" s="6"/>
      <c r="F88" s="27"/>
      <c r="I88" s="1"/>
      <c r="J88" s="1"/>
      <c r="K88" s="1"/>
      <c r="L88" s="1"/>
      <c r="M88" s="1"/>
    </row>
    <row r="89" spans="1:14" s="4" customFormat="1" x14ac:dyDescent="0.2">
      <c r="A89" s="2"/>
      <c r="B89" s="6"/>
      <c r="F89" s="27"/>
      <c r="I89" s="1"/>
      <c r="J89" s="1"/>
      <c r="K89" s="1"/>
      <c r="L89" s="1"/>
      <c r="M89" s="1"/>
    </row>
    <row r="90" spans="1:14" s="5" customFormat="1" x14ac:dyDescent="0.2">
      <c r="A90" s="2"/>
      <c r="B90" s="6"/>
      <c r="C90" s="4"/>
      <c r="D90" s="4"/>
      <c r="E90" s="4"/>
      <c r="F90" s="27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">
      <c r="A91" s="2"/>
      <c r="B91" s="6"/>
      <c r="C91" s="4"/>
      <c r="D91" s="4"/>
      <c r="E91" s="4"/>
      <c r="F91" s="27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">
      <c r="A92" s="2"/>
      <c r="B92" s="6"/>
      <c r="C92" s="4"/>
      <c r="D92" s="4"/>
      <c r="E92" s="4"/>
      <c r="F92" s="27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">
      <c r="A93" s="2"/>
      <c r="B93" s="6"/>
      <c r="C93" s="4"/>
      <c r="D93" s="4"/>
      <c r="E93" s="4"/>
      <c r="F93" s="27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">
      <c r="A94" s="2"/>
      <c r="B94" s="6"/>
      <c r="C94" s="4"/>
      <c r="D94" s="4"/>
      <c r="E94" s="4"/>
      <c r="F94" s="27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">
      <c r="A95" s="2"/>
      <c r="B95" s="6"/>
      <c r="C95" s="4"/>
      <c r="D95" s="4"/>
      <c r="E95" s="4"/>
      <c r="F95" s="27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">
      <c r="A96" s="2"/>
      <c r="B96" s="6"/>
      <c r="C96" s="4"/>
      <c r="D96" s="4"/>
      <c r="E96" s="4"/>
      <c r="F96" s="27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">
      <c r="A97" s="2"/>
      <c r="B97" s="6"/>
      <c r="C97" s="4"/>
      <c r="D97" s="4"/>
      <c r="E97" s="4"/>
      <c r="F97" s="27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">
      <c r="A98" s="2"/>
      <c r="B98" s="6"/>
      <c r="C98" s="4"/>
      <c r="D98" s="4"/>
      <c r="E98" s="4"/>
      <c r="F98" s="27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">
      <c r="A99" s="2"/>
      <c r="B99" s="6"/>
      <c r="C99" s="4"/>
      <c r="D99" s="4"/>
      <c r="E99" s="4"/>
      <c r="F99" s="27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">
      <c r="A100" s="2"/>
      <c r="B100" s="6"/>
      <c r="C100" s="4"/>
      <c r="D100" s="4"/>
      <c r="E100" s="4"/>
      <c r="F100" s="27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">
      <c r="A101" s="2"/>
      <c r="B101" s="6"/>
      <c r="C101" s="4"/>
      <c r="D101" s="4"/>
      <c r="E101" s="4"/>
      <c r="F101" s="27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">
      <c r="A102" s="2"/>
      <c r="B102" s="6"/>
      <c r="C102" s="4"/>
      <c r="D102" s="4"/>
      <c r="E102" s="4"/>
      <c r="F102" s="27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">
      <c r="A103" s="2"/>
      <c r="B103" s="6"/>
      <c r="C103" s="4"/>
      <c r="D103" s="4"/>
      <c r="E103" s="4"/>
      <c r="F103" s="27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">
      <c r="A104" s="2"/>
      <c r="B104" s="6"/>
      <c r="C104" s="4"/>
      <c r="D104" s="4"/>
      <c r="E104" s="4"/>
      <c r="F104" s="27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">
      <c r="A105" s="2"/>
      <c r="B105" s="6"/>
      <c r="C105" s="4"/>
      <c r="D105" s="4"/>
      <c r="E105" s="4"/>
      <c r="F105" s="27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">
      <c r="A106" s="2"/>
      <c r="B106" s="6"/>
      <c r="C106" s="4"/>
      <c r="D106" s="4"/>
      <c r="E106" s="4"/>
      <c r="F106" s="27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">
      <c r="A107" s="2"/>
      <c r="B107" s="6"/>
      <c r="C107" s="4"/>
      <c r="D107" s="4"/>
      <c r="E107" s="4"/>
      <c r="F107" s="27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">
      <c r="A108" s="2"/>
      <c r="B108" s="6"/>
      <c r="C108" s="4"/>
      <c r="D108" s="4"/>
      <c r="E108" s="4"/>
      <c r="F108" s="27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">
      <c r="A109" s="2"/>
      <c r="B109" s="6"/>
      <c r="C109" s="4"/>
      <c r="D109" s="4"/>
      <c r="E109" s="4"/>
      <c r="F109" s="27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">
      <c r="A110" s="2"/>
      <c r="B110" s="6"/>
      <c r="C110" s="4"/>
      <c r="D110" s="4"/>
      <c r="E110" s="4"/>
      <c r="F110" s="27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">
      <c r="A111" s="2"/>
      <c r="B111" s="6"/>
      <c r="C111" s="4"/>
      <c r="D111" s="4"/>
      <c r="E111" s="4"/>
      <c r="F111" s="27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">
      <c r="A112" s="2"/>
      <c r="B112" s="6"/>
      <c r="C112" s="4"/>
      <c r="D112" s="4"/>
      <c r="E112" s="4"/>
      <c r="F112" s="27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">
      <c r="A113" s="2"/>
      <c r="B113" s="6"/>
      <c r="C113" s="4"/>
      <c r="D113" s="4"/>
      <c r="E113" s="4"/>
      <c r="F113" s="27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">
      <c r="A114" s="2"/>
      <c r="B114" s="6"/>
      <c r="C114" s="4"/>
      <c r="D114" s="4"/>
      <c r="E114" s="4"/>
      <c r="F114" s="27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">
      <c r="A115" s="2"/>
      <c r="B115" s="6"/>
      <c r="C115" s="4"/>
      <c r="D115" s="4"/>
      <c r="E115" s="4"/>
      <c r="F115" s="27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">
      <c r="A116" s="2"/>
      <c r="B116" s="6"/>
      <c r="C116" s="4"/>
      <c r="D116" s="4"/>
      <c r="E116" s="4"/>
      <c r="F116" s="27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">
      <c r="A117" s="2"/>
      <c r="B117" s="6"/>
      <c r="C117" s="4"/>
      <c r="D117" s="4"/>
      <c r="E117" s="4"/>
      <c r="F117" s="27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">
      <c r="A118" s="2"/>
      <c r="B118" s="6"/>
      <c r="C118" s="4"/>
      <c r="D118" s="4"/>
      <c r="E118" s="4"/>
      <c r="F118" s="27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">
      <c r="A119" s="2"/>
      <c r="B119" s="6"/>
      <c r="C119" s="4"/>
      <c r="D119" s="4"/>
      <c r="E119" s="4"/>
      <c r="F119" s="27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">
      <c r="A120" s="2"/>
      <c r="B120" s="6"/>
      <c r="C120" s="4"/>
      <c r="D120" s="4"/>
      <c r="E120" s="4"/>
      <c r="F120" s="27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">
      <c r="A121" s="2"/>
      <c r="B121" s="6"/>
      <c r="C121" s="4"/>
      <c r="D121" s="4"/>
      <c r="E121" s="4"/>
      <c r="F121" s="27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">
      <c r="A122" s="2"/>
      <c r="B122" s="6"/>
      <c r="C122" s="4"/>
      <c r="D122" s="4"/>
      <c r="E122" s="4"/>
      <c r="F122" s="27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">
      <c r="A123" s="2"/>
      <c r="B123" s="6"/>
      <c r="C123" s="4"/>
      <c r="D123" s="4"/>
      <c r="E123" s="4"/>
      <c r="F123" s="27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">
      <c r="A124" s="2"/>
      <c r="B124" s="6"/>
      <c r="C124" s="4"/>
      <c r="D124" s="4"/>
      <c r="E124" s="4"/>
      <c r="F124" s="27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">
      <c r="A125" s="2"/>
      <c r="B125" s="6"/>
      <c r="C125" s="4"/>
      <c r="D125" s="4"/>
      <c r="E125" s="4"/>
      <c r="F125" s="27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">
      <c r="A126" s="2"/>
      <c r="B126" s="6"/>
      <c r="C126" s="4"/>
      <c r="D126" s="4"/>
      <c r="E126" s="4"/>
      <c r="F126" s="27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">
      <c r="A127" s="2"/>
      <c r="B127" s="6"/>
      <c r="C127" s="4"/>
      <c r="D127" s="4"/>
      <c r="E127" s="4"/>
      <c r="F127" s="27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">
      <c r="A128" s="2"/>
      <c r="B128" s="6"/>
      <c r="C128" s="4"/>
      <c r="D128" s="4"/>
      <c r="E128" s="4"/>
      <c r="F128" s="27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">
      <c r="A129" s="2"/>
      <c r="B129" s="6"/>
      <c r="C129" s="4"/>
      <c r="D129" s="4"/>
      <c r="E129" s="4"/>
      <c r="F129" s="27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">
      <c r="A130" s="2"/>
      <c r="B130" s="6"/>
      <c r="C130" s="4"/>
      <c r="D130" s="4"/>
      <c r="E130" s="4"/>
      <c r="F130" s="27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">
      <c r="A131" s="2"/>
      <c r="B131" s="6"/>
      <c r="C131" s="4"/>
      <c r="D131" s="4"/>
      <c r="E131" s="4"/>
      <c r="F131" s="27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">
      <c r="A132" s="2"/>
      <c r="B132" s="6"/>
      <c r="C132" s="4"/>
      <c r="D132" s="4"/>
      <c r="E132" s="4"/>
      <c r="F132" s="27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">
      <c r="A133" s="2"/>
      <c r="B133" s="6"/>
      <c r="C133" s="4"/>
      <c r="D133" s="4"/>
      <c r="E133" s="4"/>
      <c r="F133" s="27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">
      <c r="A134" s="2"/>
      <c r="B134" s="6"/>
      <c r="C134" s="4"/>
      <c r="D134" s="4"/>
      <c r="E134" s="4"/>
      <c r="F134" s="27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">
      <c r="A135" s="2"/>
      <c r="B135" s="6"/>
      <c r="C135" s="4"/>
      <c r="D135" s="4"/>
      <c r="E135" s="4"/>
      <c r="F135" s="27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">
      <c r="A136" s="2"/>
      <c r="B136" s="6"/>
      <c r="C136" s="4"/>
      <c r="D136" s="4"/>
      <c r="E136" s="4"/>
      <c r="F136" s="27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">
      <c r="A137" s="2"/>
      <c r="B137" s="6"/>
      <c r="C137" s="4"/>
      <c r="D137" s="4"/>
      <c r="E137" s="4"/>
      <c r="F137" s="27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">
      <c r="A138" s="2"/>
      <c r="B138" s="6"/>
      <c r="C138" s="4"/>
      <c r="D138" s="4"/>
      <c r="E138" s="4"/>
      <c r="F138" s="27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">
      <c r="A139" s="2"/>
      <c r="B139" s="6"/>
      <c r="C139" s="4"/>
      <c r="D139" s="4"/>
      <c r="E139" s="4"/>
      <c r="F139" s="27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">
      <c r="A140" s="2"/>
      <c r="B140" s="6"/>
      <c r="C140" s="4"/>
      <c r="D140" s="4"/>
      <c r="E140" s="4"/>
      <c r="F140" s="27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">
      <c r="A141" s="2"/>
      <c r="B141" s="6"/>
      <c r="C141" s="4"/>
      <c r="D141" s="4"/>
      <c r="E141" s="4"/>
      <c r="F141" s="27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">
      <c r="A142" s="2"/>
      <c r="B142" s="6"/>
      <c r="C142" s="4"/>
      <c r="D142" s="4"/>
      <c r="E142" s="4"/>
      <c r="F142" s="27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">
      <c r="A143" s="2"/>
      <c r="B143" s="6"/>
      <c r="C143" s="4"/>
      <c r="D143" s="4"/>
      <c r="E143" s="4"/>
      <c r="F143" s="27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">
      <c r="A144" s="2"/>
      <c r="B144" s="6"/>
      <c r="C144" s="4"/>
      <c r="D144" s="4"/>
      <c r="E144" s="4"/>
      <c r="F144" s="27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">
      <c r="A145" s="2"/>
      <c r="B145" s="6"/>
      <c r="C145" s="4"/>
      <c r="D145" s="4"/>
      <c r="E145" s="4"/>
      <c r="F145" s="27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">
      <c r="A146" s="2"/>
      <c r="B146" s="6"/>
      <c r="C146" s="4"/>
      <c r="D146" s="4"/>
      <c r="E146" s="4"/>
      <c r="F146" s="27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">
      <c r="A147" s="2"/>
      <c r="B147" s="6"/>
      <c r="C147" s="4"/>
      <c r="D147" s="4"/>
      <c r="E147" s="4"/>
      <c r="F147" s="27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">
      <c r="A148" s="2"/>
      <c r="B148" s="6"/>
      <c r="C148" s="4"/>
      <c r="D148" s="4"/>
      <c r="E148" s="4"/>
      <c r="F148" s="27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">
      <c r="A149" s="2"/>
      <c r="B149" s="6"/>
      <c r="C149" s="4"/>
      <c r="D149" s="4"/>
      <c r="E149" s="4"/>
      <c r="F149" s="27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">
      <c r="A150" s="2"/>
      <c r="B150" s="6"/>
      <c r="C150" s="4"/>
      <c r="D150" s="4"/>
      <c r="E150" s="4"/>
      <c r="F150" s="27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">
      <c r="A151" s="2"/>
      <c r="B151" s="6"/>
      <c r="C151" s="4"/>
      <c r="D151" s="4"/>
      <c r="E151" s="4"/>
      <c r="F151" s="27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">
      <c r="A152" s="2"/>
      <c r="B152" s="6"/>
      <c r="C152" s="4"/>
      <c r="D152" s="4"/>
      <c r="E152" s="4"/>
      <c r="F152" s="27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">
      <c r="A153" s="2"/>
      <c r="B153" s="6"/>
      <c r="C153" s="4"/>
      <c r="D153" s="4"/>
      <c r="E153" s="4"/>
      <c r="F153" s="27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">
      <c r="A154" s="2"/>
      <c r="B154" s="6"/>
      <c r="C154" s="4"/>
      <c r="D154" s="4"/>
      <c r="E154" s="4"/>
      <c r="F154" s="27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">
      <c r="A155" s="2"/>
      <c r="B155" s="6"/>
      <c r="C155" s="4"/>
      <c r="D155" s="4"/>
      <c r="E155" s="4"/>
      <c r="F155" s="27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">
      <c r="A156" s="2"/>
      <c r="B156" s="6"/>
      <c r="C156" s="4"/>
      <c r="D156" s="4"/>
      <c r="E156" s="4"/>
      <c r="F156" s="27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">
      <c r="A157" s="2"/>
      <c r="B157" s="6"/>
      <c r="C157" s="4"/>
      <c r="D157" s="4"/>
      <c r="E157" s="4"/>
      <c r="F157" s="27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">
      <c r="A158" s="2"/>
      <c r="B158" s="6"/>
      <c r="C158" s="4"/>
      <c r="D158" s="4"/>
      <c r="E158" s="4"/>
      <c r="F158" s="27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">
      <c r="A159" s="2"/>
      <c r="B159" s="6"/>
      <c r="C159" s="4"/>
      <c r="D159" s="4"/>
      <c r="E159" s="4"/>
      <c r="F159" s="27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">
      <c r="A160" s="2"/>
      <c r="B160" s="6"/>
      <c r="C160" s="4"/>
      <c r="D160" s="4"/>
      <c r="E160" s="4"/>
      <c r="F160" s="27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">
      <c r="A161" s="2"/>
      <c r="B161" s="6"/>
      <c r="C161" s="4"/>
      <c r="D161" s="4"/>
      <c r="E161" s="4"/>
      <c r="F161" s="27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">
      <c r="A162" s="2"/>
      <c r="B162" s="6"/>
      <c r="C162" s="4"/>
      <c r="D162" s="4"/>
      <c r="E162" s="4"/>
      <c r="F162" s="27"/>
      <c r="G162" s="4"/>
      <c r="H162" s="4"/>
      <c r="I162" s="1"/>
      <c r="J162" s="1"/>
      <c r="K162" s="1"/>
      <c r="L162" s="1"/>
      <c r="M162" s="1"/>
      <c r="N162" s="4"/>
    </row>
    <row r="163" spans="1:14" s="5" customFormat="1" x14ac:dyDescent="0.2">
      <c r="A163" s="2"/>
      <c r="B163" s="6"/>
      <c r="C163" s="4"/>
      <c r="D163" s="4"/>
      <c r="E163" s="4"/>
      <c r="F163" s="27"/>
      <c r="G163" s="4"/>
      <c r="H163" s="4"/>
      <c r="I163" s="1"/>
      <c r="J163" s="1"/>
      <c r="K163" s="1"/>
      <c r="L163" s="1"/>
      <c r="M163" s="1"/>
      <c r="N163" s="4"/>
    </row>
    <row r="164" spans="1:14" s="5" customFormat="1" x14ac:dyDescent="0.2">
      <c r="A164" s="2"/>
      <c r="B164" s="6"/>
      <c r="C164" s="4"/>
      <c r="D164" s="4"/>
      <c r="E164" s="4"/>
      <c r="F164" s="27"/>
      <c r="G164" s="4"/>
      <c r="H164" s="4"/>
      <c r="I164" s="1"/>
      <c r="J164" s="1"/>
      <c r="K164" s="1"/>
      <c r="L164" s="1"/>
      <c r="M164" s="1"/>
      <c r="N164" s="4"/>
    </row>
    <row r="165" spans="1:14" s="5" customFormat="1" x14ac:dyDescent="0.2">
      <c r="A165" s="2"/>
      <c r="B165" s="6"/>
      <c r="C165" s="4"/>
      <c r="D165" s="4"/>
      <c r="E165" s="4"/>
      <c r="F165" s="27"/>
      <c r="G165" s="4"/>
      <c r="H165" s="4"/>
      <c r="I165" s="1"/>
      <c r="J165" s="1"/>
      <c r="K165" s="1"/>
      <c r="L165" s="1"/>
      <c r="M165" s="1"/>
      <c r="N165" s="4"/>
    </row>
    <row r="166" spans="1:14" s="5" customFormat="1" x14ac:dyDescent="0.2">
      <c r="A166" s="2"/>
      <c r="B166" s="6"/>
      <c r="C166" s="4"/>
      <c r="D166" s="4"/>
      <c r="E166" s="4"/>
      <c r="F166" s="27"/>
      <c r="G166" s="4"/>
      <c r="H166" s="4"/>
      <c r="I166" s="1"/>
      <c r="J166" s="1"/>
      <c r="K166" s="1"/>
      <c r="L166" s="1"/>
      <c r="M166" s="1"/>
      <c r="N166" s="4"/>
    </row>
    <row r="167" spans="1:14" s="5" customFormat="1" x14ac:dyDescent="0.2">
      <c r="A167" s="2"/>
      <c r="B167" s="6"/>
      <c r="C167" s="4"/>
      <c r="D167" s="4"/>
      <c r="E167" s="4"/>
      <c r="F167" s="27"/>
      <c r="G167" s="4"/>
      <c r="H167" s="4"/>
      <c r="I167" s="1"/>
      <c r="J167" s="1"/>
      <c r="K167" s="1"/>
      <c r="L167" s="1"/>
      <c r="M167" s="1"/>
      <c r="N167" s="4"/>
    </row>
    <row r="168" spans="1:14" s="5" customFormat="1" x14ac:dyDescent="0.2">
      <c r="A168" s="2"/>
      <c r="B168" s="6"/>
      <c r="C168" s="4"/>
      <c r="D168" s="4"/>
      <c r="E168" s="4"/>
      <c r="F168" s="27"/>
      <c r="G168" s="4"/>
      <c r="H168" s="4"/>
      <c r="I168" s="1"/>
      <c r="J168" s="1"/>
      <c r="K168" s="1"/>
      <c r="L168" s="1"/>
      <c r="M168" s="1"/>
      <c r="N168" s="4"/>
    </row>
    <row r="169" spans="1:14" s="5" customFormat="1" x14ac:dyDescent="0.2">
      <c r="A169" s="2"/>
      <c r="B169" s="6"/>
      <c r="C169" s="4"/>
      <c r="D169" s="4"/>
      <c r="E169" s="4"/>
      <c r="F169" s="27"/>
      <c r="G169" s="4"/>
      <c r="H169" s="4"/>
      <c r="I169" s="1"/>
      <c r="J169" s="1"/>
      <c r="K169" s="1"/>
      <c r="L169" s="1"/>
      <c r="M169" s="1"/>
      <c r="N169" s="4"/>
    </row>
    <row r="170" spans="1:14" s="5" customFormat="1" x14ac:dyDescent="0.2">
      <c r="A170" s="2"/>
      <c r="B170" s="6"/>
      <c r="C170" s="4"/>
      <c r="D170" s="4"/>
      <c r="E170" s="4"/>
      <c r="F170" s="27"/>
      <c r="G170" s="4"/>
      <c r="H170" s="4"/>
      <c r="I170" s="1"/>
      <c r="J170" s="1"/>
      <c r="K170" s="1"/>
      <c r="L170" s="1"/>
      <c r="M170" s="1"/>
      <c r="N170" s="4"/>
    </row>
    <row r="171" spans="1:14" s="5" customFormat="1" x14ac:dyDescent="0.2">
      <c r="A171" s="2"/>
      <c r="B171" s="6"/>
      <c r="C171" s="4"/>
      <c r="D171" s="4"/>
      <c r="E171" s="4"/>
      <c r="F171" s="27"/>
      <c r="G171" s="4"/>
      <c r="H171" s="4"/>
      <c r="I171" s="1"/>
      <c r="J171" s="1"/>
      <c r="K171" s="1"/>
      <c r="L171" s="1"/>
      <c r="M171" s="1"/>
      <c r="N171" s="4"/>
    </row>
    <row r="172" spans="1:14" s="5" customFormat="1" x14ac:dyDescent="0.2">
      <c r="A172" s="2"/>
      <c r="B172" s="6"/>
      <c r="C172" s="4"/>
      <c r="D172" s="4"/>
      <c r="E172" s="4"/>
      <c r="F172" s="27"/>
      <c r="G172" s="4"/>
      <c r="H172" s="4"/>
      <c r="I172" s="1"/>
      <c r="J172" s="1"/>
      <c r="K172" s="1"/>
      <c r="L172" s="1"/>
      <c r="M172" s="1"/>
      <c r="N172" s="4"/>
    </row>
    <row r="173" spans="1:14" s="5" customFormat="1" x14ac:dyDescent="0.2">
      <c r="A173" s="2"/>
      <c r="B173" s="6"/>
      <c r="C173" s="4"/>
      <c r="D173" s="4"/>
      <c r="E173" s="4"/>
      <c r="F173" s="27"/>
      <c r="G173" s="4"/>
      <c r="H173" s="4"/>
      <c r="I173" s="1"/>
      <c r="J173" s="1"/>
      <c r="K173" s="1"/>
      <c r="L173" s="1"/>
      <c r="M173" s="1"/>
      <c r="N173" s="4"/>
    </row>
    <row r="174" spans="1:14" s="5" customFormat="1" x14ac:dyDescent="0.2">
      <c r="A174" s="2"/>
      <c r="B174" s="6"/>
      <c r="C174" s="4"/>
      <c r="D174" s="4"/>
      <c r="E174" s="4"/>
      <c r="F174" s="27"/>
      <c r="G174" s="4"/>
      <c r="H174" s="4"/>
      <c r="I174" s="1"/>
      <c r="J174" s="1"/>
      <c r="K174" s="1"/>
      <c r="L174" s="1"/>
      <c r="M174" s="1"/>
      <c r="N174" s="4"/>
    </row>
    <row r="175" spans="1:14" s="5" customFormat="1" x14ac:dyDescent="0.2">
      <c r="A175" s="2"/>
      <c r="B175" s="6"/>
      <c r="C175" s="4"/>
      <c r="D175" s="4"/>
      <c r="E175" s="4"/>
      <c r="F175" s="27"/>
      <c r="G175" s="4"/>
      <c r="H175" s="4"/>
      <c r="I175" s="1"/>
      <c r="J175" s="1"/>
      <c r="K175" s="1"/>
      <c r="L175" s="1"/>
      <c r="M175" s="1"/>
      <c r="N175" s="4"/>
    </row>
    <row r="176" spans="1:14" s="5" customFormat="1" x14ac:dyDescent="0.2">
      <c r="A176" s="2"/>
      <c r="B176" s="6"/>
      <c r="C176" s="4"/>
      <c r="D176" s="4"/>
      <c r="E176" s="4"/>
      <c r="F176" s="27"/>
      <c r="G176" s="4"/>
      <c r="H176" s="4"/>
      <c r="I176" s="1"/>
      <c r="J176" s="1"/>
      <c r="K176" s="1"/>
      <c r="L176" s="1"/>
      <c r="M176" s="1"/>
      <c r="N176" s="4"/>
    </row>
    <row r="177" spans="1:14" s="5" customFormat="1" x14ac:dyDescent="0.2">
      <c r="A177" s="2"/>
      <c r="B177" s="6"/>
      <c r="C177" s="4"/>
      <c r="D177" s="4"/>
      <c r="E177" s="4"/>
      <c r="F177" s="27"/>
      <c r="G177" s="4"/>
      <c r="H177" s="4"/>
      <c r="I177" s="1"/>
      <c r="J177" s="1"/>
      <c r="K177" s="1"/>
      <c r="L177" s="1"/>
      <c r="M177" s="1"/>
      <c r="N177" s="4"/>
    </row>
    <row r="178" spans="1:14" s="5" customFormat="1" x14ac:dyDescent="0.2">
      <c r="A178" s="2"/>
      <c r="B178" s="6"/>
      <c r="C178" s="4"/>
      <c r="D178" s="4"/>
      <c r="E178" s="4"/>
      <c r="F178" s="27"/>
      <c r="G178" s="4"/>
      <c r="H178" s="4"/>
      <c r="I178" s="1"/>
      <c r="J178" s="1"/>
      <c r="K178" s="1"/>
      <c r="L178" s="1"/>
      <c r="M178" s="1"/>
      <c r="N178" s="4"/>
    </row>
    <row r="179" spans="1:14" s="5" customFormat="1" x14ac:dyDescent="0.2">
      <c r="A179" s="2"/>
      <c r="B179" s="6"/>
      <c r="C179" s="4"/>
      <c r="D179" s="4"/>
      <c r="E179" s="4"/>
      <c r="F179" s="27"/>
      <c r="G179" s="4"/>
      <c r="H179" s="4"/>
      <c r="I179" s="1"/>
      <c r="J179" s="1"/>
      <c r="K179" s="1"/>
      <c r="L179" s="1"/>
      <c r="M179" s="1"/>
      <c r="N179" s="4"/>
    </row>
    <row r="180" spans="1:14" s="5" customFormat="1" x14ac:dyDescent="0.2">
      <c r="A180" s="2"/>
      <c r="B180" s="6"/>
      <c r="C180" s="4"/>
      <c r="D180" s="4"/>
      <c r="E180" s="4"/>
      <c r="F180" s="27"/>
      <c r="G180" s="4"/>
      <c r="H180" s="4"/>
      <c r="I180" s="1"/>
      <c r="J180" s="1"/>
      <c r="K180" s="1"/>
      <c r="L180" s="1"/>
      <c r="M180" s="1"/>
      <c r="N180" s="4"/>
    </row>
    <row r="181" spans="1:14" s="5" customFormat="1" x14ac:dyDescent="0.2">
      <c r="A181" s="2"/>
      <c r="B181" s="6"/>
      <c r="C181" s="4"/>
      <c r="D181" s="4"/>
      <c r="E181" s="4"/>
      <c r="F181" s="27"/>
      <c r="G181" s="4"/>
      <c r="H181" s="4"/>
      <c r="I181" s="1"/>
      <c r="J181" s="1"/>
      <c r="K181" s="1"/>
      <c r="L181" s="1"/>
      <c r="M181" s="1"/>
      <c r="N181" s="4"/>
    </row>
    <row r="182" spans="1:14" s="5" customFormat="1" x14ac:dyDescent="0.2">
      <c r="A182" s="2"/>
      <c r="B182" s="6"/>
      <c r="C182" s="4"/>
      <c r="D182" s="4"/>
      <c r="E182" s="4"/>
      <c r="F182" s="27"/>
      <c r="G182" s="4"/>
      <c r="H182" s="4"/>
      <c r="I182" s="1"/>
      <c r="J182" s="1"/>
      <c r="K182" s="1"/>
      <c r="L182" s="1"/>
      <c r="M182" s="1"/>
      <c r="N182" s="4"/>
    </row>
    <row r="183" spans="1:14" s="5" customFormat="1" x14ac:dyDescent="0.2">
      <c r="A183" s="2"/>
      <c r="B183" s="6"/>
      <c r="C183" s="4"/>
      <c r="D183" s="4"/>
      <c r="E183" s="4"/>
      <c r="F183" s="27"/>
      <c r="G183" s="4"/>
      <c r="H183" s="4"/>
      <c r="I183" s="1"/>
      <c r="J183" s="1"/>
      <c r="K183" s="1"/>
      <c r="L183" s="1"/>
      <c r="M183" s="1"/>
      <c r="N183" s="4"/>
    </row>
    <row r="184" spans="1:14" s="5" customFormat="1" x14ac:dyDescent="0.2">
      <c r="A184" s="2"/>
      <c r="B184" s="6"/>
      <c r="C184" s="4"/>
      <c r="D184" s="4"/>
      <c r="E184" s="4"/>
      <c r="F184" s="27"/>
      <c r="G184" s="4"/>
      <c r="H184" s="4"/>
      <c r="I184" s="1"/>
      <c r="J184" s="1"/>
      <c r="K184" s="1"/>
      <c r="L184" s="1"/>
      <c r="M184" s="1"/>
      <c r="N184" s="4"/>
    </row>
    <row r="185" spans="1:14" s="5" customFormat="1" x14ac:dyDescent="0.2">
      <c r="A185" s="2"/>
      <c r="B185" s="6"/>
      <c r="C185" s="4"/>
      <c r="D185" s="4"/>
      <c r="E185" s="4"/>
      <c r="F185" s="27"/>
      <c r="G185" s="4"/>
      <c r="H185" s="4"/>
      <c r="I185" s="1"/>
      <c r="J185" s="1"/>
      <c r="K185" s="1"/>
      <c r="L185" s="1"/>
      <c r="M185" s="1"/>
      <c r="N185" s="4"/>
    </row>
    <row r="186" spans="1:14" s="5" customFormat="1" x14ac:dyDescent="0.2">
      <c r="A186" s="2"/>
      <c r="B186" s="6"/>
      <c r="C186" s="4"/>
      <c r="D186" s="4"/>
      <c r="E186" s="4"/>
      <c r="F186" s="27"/>
      <c r="G186" s="4"/>
      <c r="H186" s="4"/>
      <c r="I186" s="1"/>
      <c r="J186" s="1"/>
      <c r="K186" s="1"/>
      <c r="L186" s="1"/>
      <c r="M186" s="1"/>
      <c r="N186" s="4"/>
    </row>
    <row r="187" spans="1:14" s="5" customFormat="1" x14ac:dyDescent="0.2">
      <c r="A187" s="2"/>
      <c r="B187" s="6"/>
      <c r="C187" s="4"/>
      <c r="D187" s="4"/>
      <c r="E187" s="4"/>
      <c r="F187" s="27"/>
      <c r="G187" s="4"/>
      <c r="H187" s="4"/>
      <c r="I187" s="1"/>
      <c r="J187" s="1"/>
      <c r="K187" s="1"/>
      <c r="L187" s="1"/>
      <c r="M187" s="1"/>
      <c r="N187" s="4"/>
    </row>
    <row r="188" spans="1:14" s="5" customFormat="1" x14ac:dyDescent="0.2">
      <c r="A188" s="2"/>
      <c r="B188" s="6"/>
      <c r="C188" s="4"/>
      <c r="D188" s="4"/>
      <c r="E188" s="4"/>
      <c r="F188" s="27"/>
      <c r="G188" s="4"/>
      <c r="H188" s="4"/>
      <c r="I188" s="1"/>
      <c r="J188" s="1"/>
      <c r="K188" s="1"/>
      <c r="L188" s="1"/>
      <c r="M188" s="1"/>
      <c r="N188" s="4"/>
    </row>
    <row r="189" spans="1:14" s="5" customFormat="1" x14ac:dyDescent="0.2">
      <c r="A189" s="2"/>
      <c r="B189" s="6"/>
      <c r="C189" s="4"/>
      <c r="D189" s="4"/>
      <c r="E189" s="4"/>
      <c r="F189" s="27"/>
      <c r="G189" s="4"/>
      <c r="H189" s="4"/>
      <c r="I189" s="1"/>
      <c r="J189" s="1"/>
      <c r="K189" s="1"/>
      <c r="L189" s="1"/>
      <c r="M189" s="1"/>
      <c r="N189" s="4"/>
    </row>
    <row r="190" spans="1:14" s="5" customFormat="1" x14ac:dyDescent="0.2">
      <c r="A190" s="2"/>
      <c r="B190" s="6"/>
      <c r="C190" s="4"/>
      <c r="D190" s="4"/>
      <c r="E190" s="4"/>
      <c r="F190" s="27"/>
      <c r="G190" s="4"/>
      <c r="H190" s="4"/>
      <c r="I190" s="1"/>
      <c r="J190" s="1"/>
      <c r="K190" s="1"/>
      <c r="L190" s="1"/>
      <c r="M190" s="1"/>
      <c r="N190" s="4"/>
    </row>
    <row r="191" spans="1:14" s="5" customFormat="1" x14ac:dyDescent="0.2">
      <c r="A191" s="2"/>
      <c r="B191" s="6"/>
      <c r="C191" s="4"/>
      <c r="D191" s="4"/>
      <c r="E191" s="4"/>
      <c r="F191" s="27"/>
      <c r="G191" s="4"/>
      <c r="H191" s="4"/>
      <c r="I191" s="1"/>
      <c r="J191" s="1"/>
      <c r="K191" s="1"/>
      <c r="L191" s="1"/>
      <c r="M191" s="1"/>
      <c r="N191" s="4"/>
    </row>
    <row r="192" spans="1:14" s="5" customFormat="1" x14ac:dyDescent="0.2">
      <c r="A192" s="2"/>
      <c r="B192" s="6"/>
      <c r="C192" s="4"/>
      <c r="D192" s="4"/>
      <c r="E192" s="4"/>
      <c r="F192" s="27"/>
      <c r="G192" s="4"/>
      <c r="H192" s="4"/>
      <c r="I192" s="1"/>
      <c r="J192" s="1"/>
      <c r="K192" s="1"/>
      <c r="L192" s="1"/>
      <c r="M192" s="1"/>
      <c r="N192" s="4"/>
    </row>
    <row r="193" spans="1:14" s="5" customFormat="1" x14ac:dyDescent="0.2">
      <c r="A193" s="2"/>
      <c r="B193" s="6"/>
      <c r="C193" s="4"/>
      <c r="D193" s="4"/>
      <c r="E193" s="4"/>
      <c r="F193" s="27"/>
      <c r="G193" s="4"/>
      <c r="H193" s="4"/>
      <c r="I193" s="1"/>
      <c r="J193" s="1"/>
      <c r="K193" s="1"/>
      <c r="L193" s="1"/>
      <c r="M193" s="1"/>
      <c r="N193" s="4"/>
    </row>
    <row r="194" spans="1:14" s="5" customFormat="1" x14ac:dyDescent="0.2">
      <c r="A194" s="2"/>
      <c r="B194" s="6"/>
      <c r="C194" s="4"/>
      <c r="D194" s="4"/>
      <c r="E194" s="4"/>
      <c r="F194" s="27"/>
      <c r="G194" s="4"/>
      <c r="H194" s="4"/>
      <c r="I194" s="1"/>
      <c r="J194" s="1"/>
      <c r="K194" s="1"/>
      <c r="L194" s="1"/>
      <c r="M194" s="1"/>
      <c r="N194" s="4"/>
    </row>
    <row r="195" spans="1:14" s="5" customFormat="1" x14ac:dyDescent="0.2">
      <c r="A195" s="2"/>
      <c r="B195" s="6"/>
      <c r="C195" s="4"/>
      <c r="D195" s="4"/>
      <c r="E195" s="4"/>
      <c r="F195" s="27"/>
      <c r="G195" s="4"/>
      <c r="H195" s="4"/>
      <c r="I195" s="1"/>
      <c r="J195" s="1"/>
      <c r="K195" s="1"/>
      <c r="L195" s="1"/>
      <c r="M195" s="1"/>
      <c r="N195" s="4"/>
    </row>
  </sheetData>
  <hyperlinks>
    <hyperlink ref="F7" location="EN_A0200" display="EN_A0200" xr:uid="{00000000-0004-0000-0100-000000000000}"/>
    <hyperlink ref="F8" location="EN_02001" display="EN_02001" xr:uid="{00000000-0004-0000-0100-000002000000}"/>
    <hyperlink ref="F13" location="EN_02006" display="EN_02006" xr:uid="{8DC7C31D-2930-4918-88F8-63D388AB7C6D}"/>
    <hyperlink ref="F11" location="EN_02004" display="EN_02004" xr:uid="{0D6FE8CE-887B-41AF-B9B7-F5A536CA3D4C}"/>
    <hyperlink ref="F9" location="EN_02002" display="EN_02002" xr:uid="{99A382C8-9D95-4FD5-8FC8-58A2DBB584C4}"/>
    <hyperlink ref="F10" location="EN_02003" display="EN_02003" xr:uid="{0C59BE62-57CC-4DA5-A68B-61B1EE2071D2}"/>
    <hyperlink ref="F12" location="EN_02005" display="EN_02005" xr:uid="{4DB53CCB-3F5F-4329-87E9-27B357C92CEC}"/>
    <hyperlink ref="F14" location="EN_02007" display="EN_02007" xr:uid="{3FA44985-3EFE-4596-9069-5FAE84127DF9}"/>
    <hyperlink ref="F15" location="EN_02008" display="EN_02008" xr:uid="{D7693EBB-000D-47C6-A38E-1B3DF5D8A2F6}"/>
    <hyperlink ref="F16" location="EN_02009" display="EN_02009" xr:uid="{56CA2DF8-26BD-4EC4-9351-D0B138A543B6}"/>
    <hyperlink ref="F17" location="EN_02010" display="EN_02010" xr:uid="{3EE989AF-60AF-410F-840E-652722A6EFFB}"/>
    <hyperlink ref="F18" location="EN_A0300" display="EN_A0300" xr:uid="{5752FD56-964C-4FF2-989E-C973ECDE51E3}"/>
    <hyperlink ref="F19" location="EN_0300_001" display="EN_0300_001" xr:uid="{A850C6BC-9196-47A2-B933-51CF724DC952}"/>
    <hyperlink ref="F20" location="EN_0300_002" display="EN_0300_002" xr:uid="{0343C266-EE41-4631-98B9-57DA2896BCE0}"/>
    <hyperlink ref="F21" location="EN_0300_003" display="EN_0300_003" xr:uid="{D03C3FEC-1CBF-436E-8FFC-946669ECC35C}"/>
    <hyperlink ref="F22" location="EN_0300_009" display="EN_0300_009" xr:uid="{C8B06A84-95DE-4B10-AF4D-EC6E5D534785}"/>
    <hyperlink ref="F23" location="EN_0300_010" display="EN_0300_010" xr:uid="{DAA7D34A-1943-4C88-A48F-35DFFB59B35B}"/>
    <hyperlink ref="F24" location="EN_0300_011" display="EN_0300_011" xr:uid="{722484AC-7865-41B7-AB4C-AA4033C989EE}"/>
    <hyperlink ref="F25" location="EN_0300_012" display="EN_0300_012" xr:uid="{03819F93-170C-4267-BA58-3AE00F428DC9}"/>
    <hyperlink ref="F26" location="EN_0300_013" display="EN_0300_013" xr:uid="{5A255CA1-BEB0-4A6B-9958-8B2960E26304}"/>
    <hyperlink ref="F27" location="EN_A0400" display="EN_A0400" xr:uid="{B1112CC2-DDB4-4AD4-9548-67626C3C1EB0}"/>
    <hyperlink ref="F28" location="EN_0400_001" display="EN_0400_001" xr:uid="{A1E04200-7F56-4649-9390-10708392E9C5}"/>
    <hyperlink ref="F29:F36" location="BR_01001" display="BR_01001" xr:uid="{09533877-DCE2-4747-AA25-1DB1B5A28A37}"/>
    <hyperlink ref="F29" location="EN_0400_002" display="EN_0400_002" xr:uid="{519F451A-7D86-48BA-89A3-84ACC4B6591D}"/>
    <hyperlink ref="F30" location="EN_0400_003" display="EN_0400_003" xr:uid="{45919A53-563B-438E-AF38-79C71F1C7AB8}"/>
    <hyperlink ref="F31" location="EN_0400_004" display="EN_0400_004" xr:uid="{1B115649-B2A8-42A4-861F-E01EA6068C1A}"/>
    <hyperlink ref="F32" location="EN_0400_005" display="EN_0400_005" xr:uid="{4E2C38B9-48B4-4F12-8CE9-4D20CA3C3122}"/>
    <hyperlink ref="F34" location="EN_0400_007" display="EN_0400_007" xr:uid="{20D039BD-5F7C-46C8-9EAE-D249199C8F46}"/>
    <hyperlink ref="F35" location="EN_0400_008" display="EN_0400_008" xr:uid="{E9FA4B25-A785-4FBC-8038-230C2376EA57}"/>
    <hyperlink ref="F36" location="EN_0400_009" display="EN_0400_009" xr:uid="{0D88357A-3630-4BFA-A4CB-0B8A51807D92}"/>
    <hyperlink ref="F33" location="EN_0400_006" display="EN_0400_006" xr:uid="{9A3CA536-D1E2-4727-A907-2BE07A8CFA6C}"/>
    <hyperlink ref="F37" location="EN_A0900" display="EN_A0900" xr:uid="{EA6A7C65-1B39-4370-B02B-D4BE808B2DF4}"/>
    <hyperlink ref="F38" location="EN_0900_001" display="EN_0900_001" xr:uid="{8BEB7B00-C81F-4D9B-8A91-892EACEFE864}"/>
    <hyperlink ref="F39" location="EN_0900_002" display="EN_0900_002" xr:uid="{CA3CC439-0BC0-4B21-9D5C-CC8766974A45}"/>
    <hyperlink ref="F40" location="EN_0900_003" display="EN_0900_003" xr:uid="{7EC2399E-66DF-4D3B-8FCF-B20DD59FD9AF}"/>
    <hyperlink ref="F41" location="EN_0900_004" display="EN_0900_004" xr:uid="{209AFBA1-C8B8-4F84-B741-D0E1438A9DE3}"/>
    <hyperlink ref="F42" location="EN_0900_005" display="EN_0900_005" xr:uid="{8553B938-AC66-4F6E-9CBC-4A02AE482F8A}"/>
    <hyperlink ref="F43" location="EN_0900_006" display="EN_0900_006" xr:uid="{BB470543-7D0A-419B-B5DC-43EB098DF645}"/>
    <hyperlink ref="F44" location="EN_0900_007" display="EN_0900_007" xr:uid="{57567E2E-022B-47F6-A662-7229FC902E47}"/>
    <hyperlink ref="F45" location="EN_0900_008" display="EN_0900_008" xr:uid="{AD3836F5-9F55-4915-87D1-64847E98E26C}"/>
    <hyperlink ref="F46" location="EN_0900_009" display="EN_0900_009" xr:uid="{79A496DC-B69A-41B7-A806-0DE72BDD7412}"/>
  </hyperlinks>
  <pageMargins left="0.41" right="0.22" top="0.72" bottom="0.57999999999999996" header="0.5" footer="0.26"/>
  <pageSetup scale="58" fitToHeight="99" orientation="landscape" r:id="rId1"/>
  <headerFooter alignWithMargins="0"/>
  <rowBreaks count="1" manualBreakCount="1">
    <brk id="6" max="16383" man="1"/>
  </rowBreaks>
  <ignoredErrors>
    <ignoredError sqref="H8 H9:H17 H7" unlocked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AECB-8C6E-468B-BD4B-3697079732B6}">
  <sheetPr>
    <tabColor theme="6" tint="0.39997558519241921"/>
  </sheetPr>
  <dimension ref="A1:O21"/>
  <sheetViews>
    <sheetView zoomScale="77" zoomScaleNormal="77" workbookViewId="0">
      <selection activeCell="G2" sqref="G2"/>
    </sheetView>
  </sheetViews>
  <sheetFormatPr baseColWidth="10" defaultColWidth="9.140625" defaultRowHeight="15" x14ac:dyDescent="0.25"/>
  <cols>
    <col min="2" max="2" width="23.5703125" customWidth="1"/>
    <col min="3" max="3" width="24.7109375" customWidth="1"/>
    <col min="15" max="15" width="3.140625" customWidth="1"/>
  </cols>
  <sheetData>
    <row r="1" spans="1:15" x14ac:dyDescent="0.25">
      <c r="A1" s="133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EN_0300_003_m+EN_0300_003_p</f>
        <v>18.119250000000001</v>
      </c>
      <c r="O2" s="47"/>
    </row>
    <row r="3" spans="1:15" x14ac:dyDescent="0.25">
      <c r="A3" s="103" t="s">
        <v>3</v>
      </c>
      <c r="B3" s="11" t="str">
        <f>EN_A0300!B3</f>
        <v>Engine and Drivetrain</v>
      </c>
      <c r="C3" s="41"/>
      <c r="D3" s="103" t="s">
        <v>6</v>
      </c>
      <c r="E3" s="70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47"/>
    </row>
    <row r="4" spans="1:15" x14ac:dyDescent="0.25">
      <c r="A4" s="103" t="s">
        <v>5</v>
      </c>
      <c r="B4" s="69" t="str">
        <f>EN_A0300!B4</f>
        <v>Air Intake System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230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18.119250000000001</v>
      </c>
      <c r="O5" s="47"/>
    </row>
    <row r="6" spans="1:15" x14ac:dyDescent="0.25">
      <c r="A6" s="103" t="s">
        <v>7</v>
      </c>
      <c r="B6" s="17" t="s">
        <v>162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229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 t="s">
        <v>217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20" t="s">
        <v>23</v>
      </c>
      <c r="G10" s="120" t="s">
        <v>24</v>
      </c>
      <c r="H10" s="120" t="s">
        <v>25</v>
      </c>
      <c r="I10" s="120" t="s">
        <v>26</v>
      </c>
      <c r="J10" s="120" t="s">
        <v>27</v>
      </c>
      <c r="K10" s="120" t="s">
        <v>28</v>
      </c>
      <c r="L10" s="120" t="s">
        <v>29</v>
      </c>
      <c r="M10" s="120" t="s">
        <v>17</v>
      </c>
      <c r="N10" s="120" t="s">
        <v>18</v>
      </c>
      <c r="O10" s="47"/>
    </row>
    <row r="11" spans="1:15" s="14" customFormat="1" x14ac:dyDescent="0.25">
      <c r="A11" s="132">
        <v>10</v>
      </c>
      <c r="B11" s="131" t="s">
        <v>216</v>
      </c>
      <c r="C11" s="130" t="s">
        <v>215</v>
      </c>
      <c r="D11" s="123">
        <v>3.3</v>
      </c>
      <c r="E11" s="130"/>
      <c r="F11" s="130" t="s">
        <v>144</v>
      </c>
      <c r="G11" s="130"/>
      <c r="H11" s="129"/>
      <c r="I11" s="128"/>
      <c r="J11" s="127"/>
      <c r="K11" s="126"/>
      <c r="L11" s="125">
        <v>1140</v>
      </c>
      <c r="M11" s="124">
        <v>0.495</v>
      </c>
      <c r="N11" s="123">
        <f>IF(J11="",D11*M11,D11*J11*K11*L11*M11)</f>
        <v>1.6335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22" t="s">
        <v>18</v>
      </c>
      <c r="N12" s="106">
        <f>SUM(N11:N11)</f>
        <v>1.6335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21" t="s">
        <v>14</v>
      </c>
      <c r="B14" s="120" t="s">
        <v>31</v>
      </c>
      <c r="C14" s="120" t="s">
        <v>20</v>
      </c>
      <c r="D14" s="120" t="s">
        <v>21</v>
      </c>
      <c r="E14" s="120" t="s">
        <v>32</v>
      </c>
      <c r="F14" s="120" t="s">
        <v>17</v>
      </c>
      <c r="G14" s="120" t="s">
        <v>33</v>
      </c>
      <c r="H14" s="120" t="s">
        <v>34</v>
      </c>
      <c r="I14" s="12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214</v>
      </c>
      <c r="C15" s="57" t="s">
        <v>213</v>
      </c>
      <c r="D15" s="58">
        <v>32</v>
      </c>
      <c r="E15" s="57" t="s">
        <v>144</v>
      </c>
      <c r="F15" s="63">
        <v>0.495</v>
      </c>
      <c r="G15" s="63"/>
      <c r="H15" s="63"/>
      <c r="I15" s="58">
        <f>IF(H15="",D15*F15,D15*F15*H15)</f>
        <v>15.84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212</v>
      </c>
      <c r="C16" s="57" t="s">
        <v>228</v>
      </c>
      <c r="D16" s="58">
        <v>5.25</v>
      </c>
      <c r="E16" s="57" t="s">
        <v>155</v>
      </c>
      <c r="F16" s="63">
        <v>0.123</v>
      </c>
      <c r="G16" s="63"/>
      <c r="H16" s="63"/>
      <c r="I16" s="58">
        <f>IF(H16="",D16*F16,D16*F16*H16)</f>
        <v>0.64575000000000005</v>
      </c>
      <c r="J16" s="42"/>
      <c r="K16" s="42"/>
      <c r="L16" s="42"/>
      <c r="M16" s="42"/>
      <c r="N16" s="42"/>
      <c r="O16" s="53"/>
    </row>
    <row r="17" spans="1:15" x14ac:dyDescent="0.25">
      <c r="A17" s="52"/>
      <c r="B17" s="15"/>
      <c r="C17" s="15"/>
      <c r="D17" s="15"/>
      <c r="E17" s="15"/>
      <c r="F17" s="15"/>
      <c r="G17" s="15"/>
      <c r="H17" s="109" t="s">
        <v>18</v>
      </c>
      <c r="I17" s="106">
        <f>SUM(I15:I16)</f>
        <v>16.485749999999999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35"/>
      <c r="I18" s="134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35"/>
      <c r="I19" s="134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35"/>
      <c r="I20" s="134"/>
      <c r="J20" s="15"/>
      <c r="K20" s="15"/>
      <c r="L20" s="15"/>
      <c r="M20" s="15"/>
      <c r="N20" s="15"/>
      <c r="O20" s="47"/>
    </row>
    <row r="21" spans="1:15" ht="15.75" thickBo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</row>
  </sheetData>
  <hyperlinks>
    <hyperlink ref="B4" location="EN_A0300" display="EN_A0300" xr:uid="{00000000-0004-0000-0600-000000000000}"/>
    <hyperlink ref="E3" location="dBR_01001" display="Drawing" xr:uid="{00000000-0004-0000-0600-000001000000}"/>
    <hyperlink ref="G2" location="EN_A0300_BOM" display="Back to BOM" xr:uid="{1A31FAF5-0B20-494F-BE20-0E8A46C14565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5BE8-ADB6-411E-ADC0-2BD37AAB2BAC}">
  <sheetPr>
    <tabColor theme="6" tint="0.39997558519241921"/>
  </sheetPr>
  <dimension ref="A1:O22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31" customWidth="1"/>
    <col min="5" max="5" width="10.140625" customWidth="1"/>
    <col min="7" max="7" width="8.85546875" customWidth="1"/>
    <col min="9" max="9" width="25.85546875" customWidth="1"/>
    <col min="15" max="15" width="3.140625" customWidth="1"/>
  </cols>
  <sheetData>
    <row r="1" spans="1:15" x14ac:dyDescent="0.25">
      <c r="A1" s="133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EN_0300_009_m+EN_0300_009_p</f>
        <v>1.6890000000000001</v>
      </c>
      <c r="O2" s="47"/>
    </row>
    <row r="3" spans="1:15" x14ac:dyDescent="0.25">
      <c r="A3" s="103" t="s">
        <v>3</v>
      </c>
      <c r="B3" s="11" t="str">
        <f>EN_A0300!B3</f>
        <v>Engine and Drivetrain</v>
      </c>
      <c r="C3" s="41"/>
      <c r="D3" s="103" t="s">
        <v>6</v>
      </c>
      <c r="E3" s="70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47"/>
    </row>
    <row r="4" spans="1:15" x14ac:dyDescent="0.25">
      <c r="A4" s="103" t="s">
        <v>5</v>
      </c>
      <c r="B4" s="69" t="str">
        <f>EN_A0300!B4</f>
        <v>Air Intake System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233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1.6890000000000001</v>
      </c>
      <c r="O5" s="47"/>
    </row>
    <row r="6" spans="1:15" x14ac:dyDescent="0.25">
      <c r="A6" s="103" t="s">
        <v>7</v>
      </c>
      <c r="B6" s="17" t="s">
        <v>161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 t="s">
        <v>225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20" t="s">
        <v>23</v>
      </c>
      <c r="G10" s="120" t="s">
        <v>24</v>
      </c>
      <c r="H10" s="120" t="s">
        <v>25</v>
      </c>
      <c r="I10" s="120" t="s">
        <v>26</v>
      </c>
      <c r="J10" s="120" t="s">
        <v>27</v>
      </c>
      <c r="K10" s="120" t="s">
        <v>28</v>
      </c>
      <c r="L10" s="120" t="s">
        <v>29</v>
      </c>
      <c r="M10" s="120" t="s">
        <v>17</v>
      </c>
      <c r="N10" s="120" t="s">
        <v>18</v>
      </c>
      <c r="O10" s="47"/>
    </row>
    <row r="11" spans="1:15" s="14" customFormat="1" x14ac:dyDescent="0.25">
      <c r="A11" s="132">
        <v>10</v>
      </c>
      <c r="B11" s="131" t="s">
        <v>224</v>
      </c>
      <c r="C11" s="130" t="s">
        <v>215</v>
      </c>
      <c r="D11" s="123">
        <v>4.2</v>
      </c>
      <c r="E11" s="130">
        <v>0.01</v>
      </c>
      <c r="F11" s="130" t="s">
        <v>144</v>
      </c>
      <c r="G11" s="130"/>
      <c r="H11" s="129"/>
      <c r="I11" s="128" t="s">
        <v>232</v>
      </c>
      <c r="J11" s="127">
        <f>0.225*0.016</f>
        <v>3.6000000000000003E-3</v>
      </c>
      <c r="K11" s="126">
        <v>2E-3</v>
      </c>
      <c r="L11" s="125">
        <v>2712</v>
      </c>
      <c r="M11" s="124">
        <v>0.01</v>
      </c>
      <c r="N11" s="123">
        <f>D11*E11</f>
        <v>4.2000000000000003E-2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22" t="s">
        <v>18</v>
      </c>
      <c r="N12" s="106">
        <f>SUM(N11:N11)</f>
        <v>4.2000000000000003E-2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21" t="s">
        <v>14</v>
      </c>
      <c r="B14" s="120" t="s">
        <v>31</v>
      </c>
      <c r="C14" s="120" t="s">
        <v>20</v>
      </c>
      <c r="D14" s="120" t="s">
        <v>21</v>
      </c>
      <c r="E14" s="120" t="s">
        <v>32</v>
      </c>
      <c r="F14" s="120" t="s">
        <v>17</v>
      </c>
      <c r="G14" s="120" t="s">
        <v>33</v>
      </c>
      <c r="H14" s="120" t="s">
        <v>34</v>
      </c>
      <c r="I14" s="12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222</v>
      </c>
      <c r="C15" s="57" t="s">
        <v>221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149</v>
      </c>
      <c r="C16" s="57" t="s">
        <v>231</v>
      </c>
      <c r="D16" s="58">
        <v>0.01</v>
      </c>
      <c r="E16" s="57" t="s">
        <v>46</v>
      </c>
      <c r="F16" s="63">
        <v>34.700000000000003</v>
      </c>
      <c r="G16" s="63"/>
      <c r="H16" s="63"/>
      <c r="I16" s="58">
        <f>IF(H16="",D16*F16,D16*F16*H16)</f>
        <v>0.34700000000000003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9" t="s">
        <v>18</v>
      </c>
      <c r="I17" s="106">
        <f>SUM(I15:I16)</f>
        <v>1.647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9"/>
      <c r="I18" s="118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9"/>
      <c r="I19" s="118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9"/>
      <c r="I20" s="118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9"/>
      <c r="I21" s="118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0700-000000000000}"/>
    <hyperlink ref="E3" location="dEN_0300_009" display="Drawing" xr:uid="{00000000-0004-0000-0700-000001000000}"/>
    <hyperlink ref="G2" location="EN_A0300_BOM" display="Back to BOM" xr:uid="{EE3ECCC3-D9A4-4006-BB98-6C496BE5A6A7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F7B04-C8AA-4398-9779-4697945BBEB9}">
  <sheetPr>
    <tabColor theme="6" tint="0.39997558519241921"/>
  </sheetPr>
  <dimension ref="A1:H11"/>
  <sheetViews>
    <sheetView workbookViewId="0">
      <selection activeCell="D22" sqref="D22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91</v>
      </c>
      <c r="B1" s="70" t="str">
        <f>EN_0300_009</f>
        <v>Left frame bracket</v>
      </c>
    </row>
    <row r="11" spans="1:8" x14ac:dyDescent="0.25">
      <c r="H11" s="70"/>
    </row>
  </sheetData>
  <hyperlinks>
    <hyperlink ref="A1" location="EL_01001" display="Drawing part :" xr:uid="{00000000-0004-0000-0800-000000000000}"/>
    <hyperlink ref="B1" location="EN_0300_009" display="EN_0300_009" xr:uid="{00000000-0004-0000-0800-000001000000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2A43-32F3-4C14-AD3C-DF7AE9AEDB03}">
  <sheetPr>
    <tabColor theme="6" tint="0.39997558519241921"/>
  </sheetPr>
  <dimension ref="A1:O22"/>
  <sheetViews>
    <sheetView zoomScale="85" zoomScaleNormal="85" workbookViewId="0">
      <selection activeCell="B4" sqref="B4"/>
    </sheetView>
  </sheetViews>
  <sheetFormatPr baseColWidth="10" defaultColWidth="9.140625" defaultRowHeight="15" x14ac:dyDescent="0.25"/>
  <cols>
    <col min="2" max="2" width="35.42578125" customWidth="1"/>
    <col min="3" max="3" width="32.57031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3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EN_0300_010_m+EN_0300_010_p</f>
        <v>1.7614000000000001</v>
      </c>
      <c r="O2" s="47"/>
    </row>
    <row r="3" spans="1:15" x14ac:dyDescent="0.25">
      <c r="A3" s="103" t="s">
        <v>3</v>
      </c>
      <c r="B3" s="11" t="str">
        <f>EN_A0300!B3</f>
        <v>Engine and Drivetrain</v>
      </c>
      <c r="C3" s="41"/>
      <c r="D3" s="103" t="s">
        <v>6</v>
      </c>
      <c r="E3" s="70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47"/>
    </row>
    <row r="4" spans="1:15" x14ac:dyDescent="0.25">
      <c r="A4" s="103" t="s">
        <v>5</v>
      </c>
      <c r="B4" s="69" t="str">
        <f>EN_A0300!B4</f>
        <v>Air Intake System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236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1.7614000000000001</v>
      </c>
      <c r="O5" s="47"/>
    </row>
    <row r="6" spans="1:15" x14ac:dyDescent="0.25">
      <c r="A6" s="103" t="s">
        <v>7</v>
      </c>
      <c r="B6" s="17" t="s">
        <v>160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 t="s">
        <v>225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20" t="s">
        <v>23</v>
      </c>
      <c r="G10" s="120" t="s">
        <v>24</v>
      </c>
      <c r="H10" s="120" t="s">
        <v>25</v>
      </c>
      <c r="I10" s="120" t="s">
        <v>26</v>
      </c>
      <c r="J10" s="120" t="s">
        <v>27</v>
      </c>
      <c r="K10" s="120" t="s">
        <v>28</v>
      </c>
      <c r="L10" s="120" t="s">
        <v>29</v>
      </c>
      <c r="M10" s="120" t="s">
        <v>17</v>
      </c>
      <c r="N10" s="120" t="s">
        <v>18</v>
      </c>
      <c r="O10" s="47"/>
    </row>
    <row r="11" spans="1:15" s="14" customFormat="1" x14ac:dyDescent="0.25">
      <c r="A11" s="132">
        <v>10</v>
      </c>
      <c r="B11" s="131" t="s">
        <v>224</v>
      </c>
      <c r="C11" s="130" t="s">
        <v>215</v>
      </c>
      <c r="D11" s="123">
        <v>4.2</v>
      </c>
      <c r="E11" s="130">
        <v>1.2E-2</v>
      </c>
      <c r="F11" s="130" t="s">
        <v>144</v>
      </c>
      <c r="G11" s="130"/>
      <c r="H11" s="129"/>
      <c r="I11" s="128" t="s">
        <v>235</v>
      </c>
      <c r="J11" s="127">
        <f>0.156*0.016</f>
        <v>2.496E-3</v>
      </c>
      <c r="K11" s="126">
        <v>2E-3</v>
      </c>
      <c r="L11" s="125">
        <v>2712</v>
      </c>
      <c r="M11" s="124">
        <v>1</v>
      </c>
      <c r="N11" s="123">
        <f>D11*E11</f>
        <v>5.04E-2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22" t="s">
        <v>18</v>
      </c>
      <c r="N12" s="106">
        <f>SUM(N11:N11)</f>
        <v>5.04E-2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21" t="s">
        <v>14</v>
      </c>
      <c r="B14" s="120" t="s">
        <v>31</v>
      </c>
      <c r="C14" s="120" t="s">
        <v>20</v>
      </c>
      <c r="D14" s="120" t="s">
        <v>21</v>
      </c>
      <c r="E14" s="120" t="s">
        <v>32</v>
      </c>
      <c r="F14" s="120" t="s">
        <v>17</v>
      </c>
      <c r="G14" s="120" t="s">
        <v>33</v>
      </c>
      <c r="H14" s="120" t="s">
        <v>34</v>
      </c>
      <c r="I14" s="12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222</v>
      </c>
      <c r="C15" s="57" t="s">
        <v>221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149</v>
      </c>
      <c r="C16" s="57" t="s">
        <v>234</v>
      </c>
      <c r="D16" s="58">
        <v>0.01</v>
      </c>
      <c r="E16" s="57" t="s">
        <v>46</v>
      </c>
      <c r="F16" s="63">
        <v>41.1</v>
      </c>
      <c r="G16" s="63"/>
      <c r="H16" s="63"/>
      <c r="I16" s="58">
        <f>IF(H16="",D16*F16,D16*F16*H16)</f>
        <v>0.41100000000000003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9" t="s">
        <v>18</v>
      </c>
      <c r="I17" s="106">
        <f>SUM(I15:I16)</f>
        <v>1.7110000000000001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9"/>
      <c r="I18" s="118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9"/>
      <c r="I19" s="118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9"/>
      <c r="I20" s="118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9"/>
      <c r="I21" s="118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0900-000000000000}"/>
    <hyperlink ref="E3" location="dEN_0300_010" display="Drawing" xr:uid="{00000000-0004-0000-0900-000001000000}"/>
    <hyperlink ref="G2" location="EN_A0300_BOM" display="Back to BOM" xr:uid="{88AD1F32-F02E-468B-8C10-E4C934FD6E6B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4953-9BFE-4EF1-ABD5-D78B6A72A91E}">
  <sheetPr>
    <tabColor theme="6" tint="0.39997558519241921"/>
  </sheetPr>
  <dimension ref="A1:H11"/>
  <sheetViews>
    <sheetView workbookViewId="0"/>
  </sheetViews>
  <sheetFormatPr baseColWidth="10" defaultRowHeight="15" x14ac:dyDescent="0.25"/>
  <cols>
    <col min="1" max="1" width="14" customWidth="1"/>
  </cols>
  <sheetData>
    <row r="1" spans="1:8" x14ac:dyDescent="0.25">
      <c r="A1" t="s">
        <v>91</v>
      </c>
      <c r="B1" s="70" t="str">
        <f>EN_0300_010</f>
        <v>Right frame bracket</v>
      </c>
    </row>
    <row r="11" spans="1:8" x14ac:dyDescent="0.25">
      <c r="H11" s="70"/>
    </row>
  </sheetData>
  <hyperlinks>
    <hyperlink ref="A1" location="EL_01001" display="Drawing part :" xr:uid="{00000000-0004-0000-0A00-000000000000}"/>
    <hyperlink ref="B1" location="EN_0300_010" display="EN_0300_010" xr:uid="{00000000-0004-0000-0A00-000001000000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FB4E-5A46-457E-A2E5-58EBBECFB64A}">
  <sheetPr>
    <tabColor theme="6" tint="0.39997558519241921"/>
  </sheetPr>
  <dimension ref="A1:O22"/>
  <sheetViews>
    <sheetView zoomScale="85" zoomScaleNormal="85"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24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3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EN_0300_011_m+EN_0300_011_p</f>
        <v>1.9656000000000002</v>
      </c>
      <c r="O2" s="47"/>
    </row>
    <row r="3" spans="1:15" x14ac:dyDescent="0.25">
      <c r="A3" s="103" t="s">
        <v>3</v>
      </c>
      <c r="B3" s="11" t="str">
        <f>EN_A0300!B3</f>
        <v>Engine and Drivetrain</v>
      </c>
      <c r="C3" s="41"/>
      <c r="D3" s="103" t="s">
        <v>6</v>
      </c>
      <c r="E3" s="70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2</v>
      </c>
      <c r="O3" s="47"/>
    </row>
    <row r="4" spans="1:15" x14ac:dyDescent="0.25">
      <c r="A4" s="103" t="s">
        <v>5</v>
      </c>
      <c r="B4" s="69" t="str">
        <f>EN_A0300!B4</f>
        <v>Air Intake System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239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3.9312000000000005</v>
      </c>
      <c r="O5" s="47"/>
    </row>
    <row r="6" spans="1:15" x14ac:dyDescent="0.25">
      <c r="A6" s="103" t="s">
        <v>7</v>
      </c>
      <c r="B6" s="17" t="s">
        <v>159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 t="s">
        <v>225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20" t="s">
        <v>23</v>
      </c>
      <c r="G10" s="120" t="s">
        <v>24</v>
      </c>
      <c r="H10" s="120" t="s">
        <v>25</v>
      </c>
      <c r="I10" s="120" t="s">
        <v>26</v>
      </c>
      <c r="J10" s="120" t="s">
        <v>27</v>
      </c>
      <c r="K10" s="120" t="s">
        <v>28</v>
      </c>
      <c r="L10" s="120" t="s">
        <v>29</v>
      </c>
      <c r="M10" s="120" t="s">
        <v>17</v>
      </c>
      <c r="N10" s="120" t="s">
        <v>18</v>
      </c>
      <c r="O10" s="47"/>
    </row>
    <row r="11" spans="1:15" s="14" customFormat="1" x14ac:dyDescent="0.25">
      <c r="A11" s="132">
        <v>10</v>
      </c>
      <c r="B11" s="131" t="s">
        <v>224</v>
      </c>
      <c r="C11" s="130" t="s">
        <v>215</v>
      </c>
      <c r="D11" s="123">
        <v>4.2</v>
      </c>
      <c r="E11" s="130">
        <v>1.7999999999999999E-2</v>
      </c>
      <c r="F11" s="130" t="s">
        <v>144</v>
      </c>
      <c r="G11" s="130"/>
      <c r="H11" s="129"/>
      <c r="I11" s="128" t="s">
        <v>238</v>
      </c>
      <c r="J11" s="127">
        <f>0.08*0.055</f>
        <v>4.4000000000000003E-3</v>
      </c>
      <c r="K11" s="126">
        <v>2E-3</v>
      </c>
      <c r="L11" s="125">
        <v>2712</v>
      </c>
      <c r="M11" s="124">
        <v>1</v>
      </c>
      <c r="N11" s="123">
        <f>D11*E11</f>
        <v>7.5600000000000001E-2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22" t="s">
        <v>18</v>
      </c>
      <c r="N12" s="106">
        <f>SUM(N11:N11)</f>
        <v>7.5600000000000001E-2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21" t="s">
        <v>14</v>
      </c>
      <c r="B14" s="120" t="s">
        <v>31</v>
      </c>
      <c r="C14" s="120" t="s">
        <v>20</v>
      </c>
      <c r="D14" s="120" t="s">
        <v>21</v>
      </c>
      <c r="E14" s="120" t="s">
        <v>32</v>
      </c>
      <c r="F14" s="120" t="s">
        <v>17</v>
      </c>
      <c r="G14" s="120" t="s">
        <v>33</v>
      </c>
      <c r="H14" s="120" t="s">
        <v>34</v>
      </c>
      <c r="I14" s="12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222</v>
      </c>
      <c r="C15" s="57" t="s">
        <v>221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149</v>
      </c>
      <c r="C16" s="57" t="s">
        <v>237</v>
      </c>
      <c r="D16" s="58">
        <v>0.01</v>
      </c>
      <c r="E16" s="57" t="s">
        <v>46</v>
      </c>
      <c r="F16" s="63">
        <v>59</v>
      </c>
      <c r="G16" s="63"/>
      <c r="H16" s="63"/>
      <c r="I16" s="58">
        <f>IF(H16="",D16*F16,D16*F16*H16)</f>
        <v>0.59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9" t="s">
        <v>18</v>
      </c>
      <c r="I17" s="106">
        <f>SUM(I15:I16)</f>
        <v>1.8900000000000001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9"/>
      <c r="I18" s="118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9"/>
      <c r="I19" s="118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9"/>
      <c r="I20" s="118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9"/>
      <c r="I21" s="118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0B00-000000000000}"/>
    <hyperlink ref="E3" location="dEN_0300_011" display="Drawing" xr:uid="{00000000-0004-0000-0B00-000001000000}"/>
    <hyperlink ref="G2" location="EN_A0300_BOM" display="Back to BOM" xr:uid="{105057DE-7B0E-4A19-93D1-0CBF6F82EE13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380A-F2D5-4B11-8ECC-371EF1D53964}">
  <sheetPr>
    <tabColor theme="6" tint="0.39997558519241921"/>
  </sheetPr>
  <dimension ref="A1:H1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91</v>
      </c>
      <c r="B1" s="70" t="str">
        <f>EN_0300_011</f>
        <v>PAIR plate</v>
      </c>
    </row>
    <row r="11" spans="1:8" x14ac:dyDescent="0.25">
      <c r="H11" s="70"/>
    </row>
  </sheetData>
  <hyperlinks>
    <hyperlink ref="B1" location="EN_0300_011" display="EN_0300_011" xr:uid="{00000000-0004-0000-0C00-000000000000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3236B-0F46-4E70-ACC3-B623B62527DC}">
  <sheetPr>
    <tabColor theme="6" tint="0.39997558519241921"/>
  </sheetPr>
  <dimension ref="A1:O23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32.57031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3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EN_0300_012_m+EN_0300_012_p</f>
        <v>4.1755999999999993</v>
      </c>
      <c r="O2" s="47"/>
    </row>
    <row r="3" spans="1:15" x14ac:dyDescent="0.25">
      <c r="A3" s="103" t="s">
        <v>3</v>
      </c>
      <c r="B3" s="11" t="str">
        <f>EN_A0300!B3</f>
        <v>Engine and Drivetrain</v>
      </c>
      <c r="C3" s="41"/>
      <c r="D3" s="103" t="s">
        <v>6</v>
      </c>
      <c r="E3" s="70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47"/>
    </row>
    <row r="4" spans="1:15" x14ac:dyDescent="0.25">
      <c r="A4" s="103" t="s">
        <v>5</v>
      </c>
      <c r="B4" s="69" t="str">
        <f>EN_A0300!B4</f>
        <v>Air Intake System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243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4.1755999999999993</v>
      </c>
      <c r="O5" s="47"/>
    </row>
    <row r="6" spans="1:15" x14ac:dyDescent="0.25">
      <c r="A6" s="103" t="s">
        <v>7</v>
      </c>
      <c r="B6" s="17" t="s">
        <v>158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242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 t="s">
        <v>225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20" t="s">
        <v>23</v>
      </c>
      <c r="G10" s="120" t="s">
        <v>24</v>
      </c>
      <c r="H10" s="120" t="s">
        <v>25</v>
      </c>
      <c r="I10" s="120" t="s">
        <v>26</v>
      </c>
      <c r="J10" s="120" t="s">
        <v>27</v>
      </c>
      <c r="K10" s="120" t="s">
        <v>28</v>
      </c>
      <c r="L10" s="120" t="s">
        <v>29</v>
      </c>
      <c r="M10" s="120" t="s">
        <v>17</v>
      </c>
      <c r="N10" s="120" t="s">
        <v>18</v>
      </c>
      <c r="O10" s="47"/>
    </row>
    <row r="11" spans="1:15" s="14" customFormat="1" x14ac:dyDescent="0.25">
      <c r="A11" s="132">
        <v>10</v>
      </c>
      <c r="B11" s="131" t="s">
        <v>224</v>
      </c>
      <c r="C11" s="130" t="s">
        <v>215</v>
      </c>
      <c r="D11" s="123">
        <v>4.2</v>
      </c>
      <c r="E11" s="130">
        <v>6.8000000000000005E-2</v>
      </c>
      <c r="F11" s="130" t="s">
        <v>144</v>
      </c>
      <c r="G11" s="130"/>
      <c r="H11" s="129"/>
      <c r="I11" s="128" t="s">
        <v>241</v>
      </c>
      <c r="J11" s="127">
        <f>0.275*0.075</f>
        <v>2.0625000000000001E-2</v>
      </c>
      <c r="K11" s="126">
        <v>2E-3</v>
      </c>
      <c r="L11" s="125">
        <v>2712</v>
      </c>
      <c r="M11" s="124">
        <v>1</v>
      </c>
      <c r="N11" s="123">
        <f>D11*E11</f>
        <v>0.28560000000000002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22" t="s">
        <v>18</v>
      </c>
      <c r="N12" s="106">
        <f>SUM(N11:N11)</f>
        <v>0.28560000000000002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21" t="s">
        <v>14</v>
      </c>
      <c r="B14" s="120" t="s">
        <v>31</v>
      </c>
      <c r="C14" s="120" t="s">
        <v>20</v>
      </c>
      <c r="D14" s="120" t="s">
        <v>21</v>
      </c>
      <c r="E14" s="120" t="s">
        <v>32</v>
      </c>
      <c r="F14" s="120" t="s">
        <v>17</v>
      </c>
      <c r="G14" s="120" t="s">
        <v>33</v>
      </c>
      <c r="H14" s="120" t="s">
        <v>34</v>
      </c>
      <c r="I14" s="12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222</v>
      </c>
      <c r="C15" s="57" t="s">
        <v>221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149</v>
      </c>
      <c r="C16" s="57" t="s">
        <v>234</v>
      </c>
      <c r="D16" s="58">
        <v>0.01</v>
      </c>
      <c r="E16" s="57" t="s">
        <v>46</v>
      </c>
      <c r="F16" s="63">
        <v>209</v>
      </c>
      <c r="G16" s="63"/>
      <c r="H16" s="63"/>
      <c r="I16" s="58">
        <f>IF(H16="",D16*F16,D16*F16*H16)</f>
        <v>2.09</v>
      </c>
      <c r="J16" s="41"/>
      <c r="K16" s="41"/>
      <c r="L16" s="41"/>
      <c r="M16" s="41"/>
      <c r="N16" s="41"/>
      <c r="O16" s="47"/>
    </row>
    <row r="17" spans="1:15" x14ac:dyDescent="0.25">
      <c r="A17" s="57">
        <v>30</v>
      </c>
      <c r="B17" s="57" t="s">
        <v>152</v>
      </c>
      <c r="C17" s="57" t="s">
        <v>240</v>
      </c>
      <c r="D17" s="58">
        <v>0.25</v>
      </c>
      <c r="E17" s="57" t="s">
        <v>151</v>
      </c>
      <c r="F17" s="63">
        <v>2</v>
      </c>
      <c r="G17" s="63"/>
      <c r="H17" s="63"/>
      <c r="I17" s="58">
        <f>IF(H17="",D17*F17,D17*F17*H17)</f>
        <v>0.5</v>
      </c>
      <c r="J17" s="41"/>
      <c r="K17" s="41"/>
      <c r="L17" s="41"/>
      <c r="M17" s="41"/>
      <c r="N17" s="41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09" t="s">
        <v>18</v>
      </c>
      <c r="I18" s="106">
        <f>SUM(I15:I17)</f>
        <v>3.8899999999999997</v>
      </c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9"/>
      <c r="I19" s="118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9"/>
      <c r="I20" s="118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9"/>
      <c r="I21" s="118"/>
      <c r="J21" s="15"/>
      <c r="K21" s="15"/>
      <c r="L21" s="15"/>
      <c r="M21" s="15"/>
      <c r="N21" s="15"/>
      <c r="O21" s="47"/>
    </row>
    <row r="22" spans="1:15" x14ac:dyDescent="0.25">
      <c r="A22" s="52"/>
      <c r="B22" s="15"/>
      <c r="C22" s="15"/>
      <c r="D22" s="15"/>
      <c r="E22" s="15"/>
      <c r="F22" s="15"/>
      <c r="G22" s="15"/>
      <c r="H22" s="119"/>
      <c r="I22" s="118"/>
      <c r="J22" s="15"/>
      <c r="K22" s="15"/>
      <c r="L22" s="15"/>
      <c r="M22" s="15"/>
      <c r="N22" s="15"/>
      <c r="O22" s="47"/>
    </row>
    <row r="23" spans="1:15" ht="15.75" thickBot="1" x14ac:dyDescent="0.3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</sheetData>
  <hyperlinks>
    <hyperlink ref="B4" location="EN_A0300" display="EN_A0300" xr:uid="{00000000-0004-0000-0D00-000000000000}"/>
    <hyperlink ref="E3" location="dEN_0300_012" display="Drawing" xr:uid="{00000000-0004-0000-0D00-000001000000}"/>
    <hyperlink ref="G2" location="EN_A0300_BOM" display="Back to BOM" xr:uid="{BCCF96E3-AC63-4003-AE34-65E501403DB2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15B7D-E13F-4C24-AA22-80DD998CAC1E}">
  <sheetPr>
    <tabColor theme="6" tint="0.39997558519241921"/>
  </sheetPr>
  <dimension ref="A1:H11"/>
  <sheetViews>
    <sheetView workbookViewId="0">
      <selection activeCell="D22" sqref="D22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91</v>
      </c>
      <c r="B1" s="70" t="str">
        <f>EN_0300_012</f>
        <v>Motor bracket</v>
      </c>
    </row>
    <row r="11" spans="1:8" x14ac:dyDescent="0.25">
      <c r="H11" s="70"/>
    </row>
  </sheetData>
  <hyperlinks>
    <hyperlink ref="B1" location="EN_0300_012" display="EN_0300_012" xr:uid="{00000000-0004-0000-0E00-000000000000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B35A2-741F-4868-B32A-E6587B528770}">
  <sheetPr>
    <tabColor theme="6" tint="0.39997558519241921"/>
  </sheetPr>
  <dimension ref="A1:O22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33.1406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3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EN_0300_013_m+EN_0300_013_p</f>
        <v>1.38425</v>
      </c>
      <c r="O2" s="47"/>
    </row>
    <row r="3" spans="1:15" x14ac:dyDescent="0.25">
      <c r="A3" s="103" t="s">
        <v>3</v>
      </c>
      <c r="B3" s="11" t="str">
        <f>EN_A0300!B3</f>
        <v>Engine and Drivetrain</v>
      </c>
      <c r="C3" s="41"/>
      <c r="D3" s="103" t="s">
        <v>6</v>
      </c>
      <c r="E3" s="70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2</v>
      </c>
      <c r="O3" s="47"/>
    </row>
    <row r="4" spans="1:15" x14ac:dyDescent="0.25">
      <c r="A4" s="103" t="s">
        <v>5</v>
      </c>
      <c r="B4" s="69" t="str">
        <f>EN_A0300!B4</f>
        <v>Air Intake System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246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2.7685</v>
      </c>
      <c r="O5" s="47"/>
    </row>
    <row r="6" spans="1:15" x14ac:dyDescent="0.25">
      <c r="A6" s="103" t="s">
        <v>7</v>
      </c>
      <c r="B6" s="17" t="s">
        <v>157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 t="s">
        <v>225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20" t="s">
        <v>23</v>
      </c>
      <c r="G10" s="120" t="s">
        <v>24</v>
      </c>
      <c r="H10" s="120" t="s">
        <v>25</v>
      </c>
      <c r="I10" s="120" t="s">
        <v>26</v>
      </c>
      <c r="J10" s="120" t="s">
        <v>27</v>
      </c>
      <c r="K10" s="120" t="s">
        <v>28</v>
      </c>
      <c r="L10" s="120" t="s">
        <v>29</v>
      </c>
      <c r="M10" s="120" t="s">
        <v>17</v>
      </c>
      <c r="N10" s="120" t="s">
        <v>18</v>
      </c>
      <c r="O10" s="47"/>
    </row>
    <row r="11" spans="1:15" s="14" customFormat="1" x14ac:dyDescent="0.25">
      <c r="A11" s="132">
        <v>10</v>
      </c>
      <c r="B11" s="131" t="s">
        <v>245</v>
      </c>
      <c r="C11" s="130" t="s">
        <v>244</v>
      </c>
      <c r="D11" s="123">
        <v>2.25</v>
      </c>
      <c r="E11" s="128">
        <v>3.0000000000000001E-3</v>
      </c>
      <c r="F11" s="130" t="s">
        <v>144</v>
      </c>
      <c r="G11" s="130"/>
      <c r="H11" s="129"/>
      <c r="I11" s="128"/>
      <c r="J11" s="127"/>
      <c r="K11" s="126"/>
      <c r="L11" s="136">
        <v>2E-3</v>
      </c>
      <c r="M11" s="124">
        <v>1</v>
      </c>
      <c r="N11" s="123">
        <f>D11*E11</f>
        <v>6.7499999999999999E-3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22" t="s">
        <v>18</v>
      </c>
      <c r="N12" s="106">
        <f>SUM(N11:N11)</f>
        <v>6.7499999999999999E-3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21" t="s">
        <v>14</v>
      </c>
      <c r="B14" s="120" t="s">
        <v>31</v>
      </c>
      <c r="C14" s="120" t="s">
        <v>20</v>
      </c>
      <c r="D14" s="120" t="s">
        <v>21</v>
      </c>
      <c r="E14" s="120" t="s">
        <v>32</v>
      </c>
      <c r="F14" s="120" t="s">
        <v>17</v>
      </c>
      <c r="G14" s="120" t="s">
        <v>33</v>
      </c>
      <c r="H14" s="120" t="s">
        <v>34</v>
      </c>
      <c r="I14" s="12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222</v>
      </c>
      <c r="C15" s="57" t="s">
        <v>221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149</v>
      </c>
      <c r="C16" s="57" t="s">
        <v>237</v>
      </c>
      <c r="D16" s="58">
        <v>0.01</v>
      </c>
      <c r="E16" s="57" t="s">
        <v>46</v>
      </c>
      <c r="F16" s="63">
        <v>7.75</v>
      </c>
      <c r="G16" s="63"/>
      <c r="H16" s="63"/>
      <c r="I16" s="58">
        <f>IF(H16="",D16*F16,D16*F16*H16)</f>
        <v>7.7499999999999999E-2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9" t="s">
        <v>18</v>
      </c>
      <c r="I17" s="106">
        <f>SUM(I15:I16)</f>
        <v>1.3774999999999999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9"/>
      <c r="I18" s="118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9"/>
      <c r="I19" s="118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9"/>
      <c r="I20" s="118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9"/>
      <c r="I21" s="118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0F00-000000000000}"/>
    <hyperlink ref="E3" location="dEN_0300_013" display="Drawing" xr:uid="{00000000-0004-0000-0F00-000001000000}"/>
    <hyperlink ref="G2" location="EN_A0300_BOM" display="Back to BOM" xr:uid="{C08FC343-A071-49CA-941D-6D781A4ABB3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BD5F4-3292-4377-8C87-4EF28D260C6A}">
  <sheetPr>
    <tabColor theme="6" tint="-0.249977111117893"/>
    <pageSetUpPr fitToPage="1"/>
  </sheetPr>
  <dimension ref="A1:O59"/>
  <sheetViews>
    <sheetView zoomScale="70" zoomScaleNormal="70" zoomScaleSheetLayoutView="80" workbookViewId="0">
      <selection activeCell="B18" sqref="B18"/>
    </sheetView>
  </sheetViews>
  <sheetFormatPr baseColWidth="10" defaultColWidth="9.140625" defaultRowHeight="15" x14ac:dyDescent="0.25"/>
  <cols>
    <col min="2" max="2" width="37.85546875" customWidth="1"/>
    <col min="3" max="3" width="49.28515625" customWidth="1"/>
    <col min="7" max="7" width="16.28515625" customWidth="1"/>
    <col min="10" max="10" width="13.42578125" customWidth="1"/>
    <col min="15" max="15" width="5.28515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97" t="s">
        <v>0</v>
      </c>
      <c r="B2" s="11" t="s">
        <v>44</v>
      </c>
      <c r="C2" s="41"/>
      <c r="D2" s="41"/>
      <c r="E2" s="69" t="s">
        <v>121</v>
      </c>
      <c r="F2" s="41"/>
      <c r="G2" s="41"/>
      <c r="H2" s="41"/>
      <c r="I2" s="41"/>
      <c r="J2" s="97" t="s">
        <v>1</v>
      </c>
      <c r="K2" s="65">
        <v>81</v>
      </c>
      <c r="L2" s="41"/>
      <c r="M2" s="97" t="s">
        <v>2</v>
      </c>
      <c r="N2" s="76">
        <f>EN_A0200_pa+EN_A0200_m+EN_A0200_p+EN_A0200_f+EN_A0200_t</f>
        <v>361.4250322955744</v>
      </c>
      <c r="O2" s="47"/>
    </row>
    <row r="3" spans="1:15" x14ac:dyDescent="0.25">
      <c r="A3" s="97" t="s">
        <v>3</v>
      </c>
      <c r="B3" s="11" t="s">
        <v>135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97" t="s">
        <v>4</v>
      </c>
      <c r="N3" s="64">
        <v>1</v>
      </c>
      <c r="O3" s="47"/>
    </row>
    <row r="4" spans="1:15" x14ac:dyDescent="0.25">
      <c r="A4" s="97" t="s">
        <v>5</v>
      </c>
      <c r="B4" s="42" t="s">
        <v>576</v>
      </c>
      <c r="C4" s="41"/>
      <c r="D4" s="41"/>
      <c r="E4" s="41"/>
      <c r="F4" s="41"/>
      <c r="G4" s="41"/>
      <c r="H4" s="41"/>
      <c r="I4" s="41"/>
      <c r="J4" s="100" t="s">
        <v>6</v>
      </c>
      <c r="K4" s="41"/>
      <c r="L4" s="41"/>
      <c r="M4" s="41"/>
      <c r="N4" s="41"/>
      <c r="O4" s="47"/>
    </row>
    <row r="5" spans="1:15" x14ac:dyDescent="0.25">
      <c r="A5" s="97" t="s">
        <v>7</v>
      </c>
      <c r="B5" s="13" t="s">
        <v>575</v>
      </c>
      <c r="C5" s="41"/>
      <c r="D5" s="41"/>
      <c r="E5" s="41"/>
      <c r="F5" s="41"/>
      <c r="G5" s="41"/>
      <c r="H5" s="41"/>
      <c r="I5" s="41"/>
      <c r="J5" s="100" t="s">
        <v>8</v>
      </c>
      <c r="K5" s="41"/>
      <c r="L5" s="41"/>
      <c r="M5" s="97" t="s">
        <v>9</v>
      </c>
      <c r="N5" s="58">
        <f>N2*N3</f>
        <v>361.4250322955744</v>
      </c>
      <c r="O5" s="47"/>
    </row>
    <row r="6" spans="1:15" x14ac:dyDescent="0.25">
      <c r="A6" s="97" t="s">
        <v>10</v>
      </c>
      <c r="B6" s="11" t="s">
        <v>11</v>
      </c>
      <c r="C6" s="41"/>
      <c r="D6" s="41"/>
      <c r="E6" s="41"/>
      <c r="F6" s="41"/>
      <c r="G6" s="41"/>
      <c r="H6" s="41"/>
      <c r="I6" s="41"/>
      <c r="J6" s="100" t="s">
        <v>12</v>
      </c>
      <c r="K6" s="41"/>
      <c r="L6" s="41"/>
      <c r="M6" s="41"/>
      <c r="N6" s="41"/>
      <c r="O6" s="47"/>
    </row>
    <row r="7" spans="1:15" x14ac:dyDescent="0.25">
      <c r="A7" s="97" t="s">
        <v>13</v>
      </c>
      <c r="B7" s="1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48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97" t="s">
        <v>14</v>
      </c>
      <c r="B9" s="97" t="s">
        <v>15</v>
      </c>
      <c r="C9" s="97" t="s">
        <v>16</v>
      </c>
      <c r="D9" s="97" t="s">
        <v>17</v>
      </c>
      <c r="E9" s="97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441">
        <v>10</v>
      </c>
      <c r="B10" s="454" t="str">
        <f>EN_02001!B5</f>
        <v>Exhaust Tip</v>
      </c>
      <c r="C10" s="453">
        <f>EN_02001!N2</f>
        <v>4.3537375941950689</v>
      </c>
      <c r="D10" s="452">
        <f>EN_02001_q</f>
        <v>4</v>
      </c>
      <c r="E10" s="392">
        <f>C10*D10</f>
        <v>17.414950376780276</v>
      </c>
      <c r="F10" s="41"/>
      <c r="G10" s="41"/>
      <c r="H10" s="41"/>
      <c r="I10" s="41"/>
      <c r="J10" s="41"/>
      <c r="K10" s="41"/>
      <c r="L10" s="41"/>
      <c r="M10" s="41"/>
      <c r="N10" s="41"/>
      <c r="O10" s="47"/>
    </row>
    <row r="11" spans="1:15" x14ac:dyDescent="0.25">
      <c r="A11" s="417">
        <v>20</v>
      </c>
      <c r="B11" s="440" t="str">
        <f>EN_02002!B5</f>
        <v>Exhaust Flange</v>
      </c>
      <c r="C11" s="451">
        <f>EN_02002!N2</f>
        <v>1.75075</v>
      </c>
      <c r="D11" s="450">
        <f>EN_02002_q</f>
        <v>4</v>
      </c>
      <c r="E11" s="438">
        <f>C11*D11</f>
        <v>7.0030000000000001</v>
      </c>
      <c r="F11" s="42"/>
      <c r="G11" s="42"/>
      <c r="H11" s="42"/>
      <c r="I11" s="42"/>
      <c r="J11" s="42"/>
      <c r="K11" s="42"/>
      <c r="L11" s="42"/>
      <c r="M11" s="42"/>
      <c r="N11" s="42"/>
      <c r="O11" s="47"/>
    </row>
    <row r="12" spans="1:15" x14ac:dyDescent="0.25">
      <c r="A12" s="447">
        <v>30</v>
      </c>
      <c r="B12" s="449" t="str">
        <f>EN_02003!B5</f>
        <v>Exhaust headers</v>
      </c>
      <c r="C12" s="448">
        <f>EN_02003!N2</f>
        <v>109.43393911329514</v>
      </c>
      <c r="D12" s="447">
        <f>EN_02003_q</f>
        <v>1</v>
      </c>
      <c r="E12" s="446">
        <f>C12*D12</f>
        <v>109.43393911329514</v>
      </c>
      <c r="F12" s="42"/>
      <c r="G12" s="42"/>
      <c r="H12" s="42"/>
      <c r="I12" s="42"/>
      <c r="J12" s="42"/>
      <c r="K12" s="42"/>
      <c r="L12" s="42"/>
      <c r="M12" s="42"/>
      <c r="N12" s="42"/>
      <c r="O12" s="49"/>
    </row>
    <row r="13" spans="1:15" s="12" customFormat="1" x14ac:dyDescent="0.25">
      <c r="A13" s="57">
        <v>40</v>
      </c>
      <c r="B13" s="67" t="str">
        <f>EN_02004!B5</f>
        <v>Primary collector</v>
      </c>
      <c r="C13" s="76">
        <f>EN_02004!N2</f>
        <v>20.228377789788073</v>
      </c>
      <c r="D13" s="57">
        <f>EN_02004_q</f>
        <v>2</v>
      </c>
      <c r="E13" s="58">
        <f>C13*D13</f>
        <v>40.456755579576146</v>
      </c>
      <c r="F13" s="42"/>
      <c r="G13" s="42"/>
      <c r="H13" s="42"/>
      <c r="I13" s="42"/>
      <c r="J13" s="42"/>
      <c r="K13" s="42"/>
      <c r="L13" s="42"/>
      <c r="M13" s="42"/>
      <c r="N13" s="42"/>
      <c r="O13" s="49"/>
    </row>
    <row r="14" spans="1:15" s="12" customFormat="1" x14ac:dyDescent="0.25">
      <c r="A14" s="57">
        <v>50</v>
      </c>
      <c r="B14" s="67" t="str">
        <f>EN_02005!B5</f>
        <v>Primary collector tubing</v>
      </c>
      <c r="C14" s="76">
        <f>EN_02005!N2</f>
        <v>1.2217583384506194</v>
      </c>
      <c r="D14" s="57">
        <f>EN_02005_q</f>
        <v>2</v>
      </c>
      <c r="E14" s="58">
        <f>C14*D14</f>
        <v>2.4435166769012389</v>
      </c>
      <c r="F14" s="42"/>
      <c r="G14" s="42"/>
      <c r="H14" s="42"/>
      <c r="I14" s="42"/>
      <c r="J14" s="42"/>
      <c r="K14" s="42"/>
      <c r="L14" s="42"/>
      <c r="M14" s="42"/>
      <c r="N14" s="42"/>
      <c r="O14" s="50"/>
    </row>
    <row r="15" spans="1:15" s="12" customFormat="1" x14ac:dyDescent="0.25">
      <c r="A15" s="57">
        <v>60</v>
      </c>
      <c r="B15" s="110" t="str">
        <f>EN_02006!B5</f>
        <v>Secondary collector</v>
      </c>
      <c r="C15" s="445">
        <f>EN_02006!N2</f>
        <v>22.466496278906856</v>
      </c>
      <c r="D15" s="57">
        <f>EN_02006_q</f>
        <v>1</v>
      </c>
      <c r="E15" s="58">
        <f>C15*D15</f>
        <v>22.466496278906856</v>
      </c>
      <c r="F15" s="42"/>
      <c r="G15" s="42"/>
      <c r="H15" s="42"/>
      <c r="I15" s="42"/>
      <c r="J15" s="42"/>
      <c r="K15" s="42"/>
      <c r="L15" s="42"/>
      <c r="M15" s="42"/>
      <c r="N15" s="42"/>
      <c r="O15" s="50"/>
    </row>
    <row r="16" spans="1:15" s="12" customFormat="1" x14ac:dyDescent="0.25">
      <c r="A16" s="57">
        <v>70</v>
      </c>
      <c r="B16" s="110" t="str">
        <f>EN_02007!B5</f>
        <v>Secondary collector tubing</v>
      </c>
      <c r="C16" s="444">
        <f>EN_02007!N2</f>
        <v>12.90112506395198</v>
      </c>
      <c r="D16" s="57">
        <f>EN_02007_q</f>
        <v>1</v>
      </c>
      <c r="E16" s="58">
        <f>C16*D16</f>
        <v>12.90112506395198</v>
      </c>
      <c r="F16" s="42"/>
      <c r="G16" s="42"/>
      <c r="H16" s="42"/>
      <c r="I16" s="42"/>
      <c r="J16" s="42"/>
      <c r="K16" s="42"/>
      <c r="L16" s="42"/>
      <c r="M16" s="42"/>
      <c r="N16" s="42"/>
      <c r="O16" s="50"/>
    </row>
    <row r="17" spans="1:15" x14ac:dyDescent="0.25">
      <c r="A17" s="441">
        <v>80</v>
      </c>
      <c r="B17" s="443" t="str">
        <f>EN_02008!B5</f>
        <v>Muffler</v>
      </c>
      <c r="C17" s="442">
        <f>EN_02008!N2</f>
        <v>40.144999999999996</v>
      </c>
      <c r="D17" s="441">
        <f>EN_02008_q</f>
        <v>1</v>
      </c>
      <c r="E17" s="392">
        <f>C17*D17</f>
        <v>40.144999999999996</v>
      </c>
      <c r="F17" s="41"/>
      <c r="G17" s="41"/>
      <c r="H17" s="41"/>
      <c r="I17" s="41"/>
      <c r="J17" s="41"/>
      <c r="K17" s="41"/>
      <c r="L17" s="41"/>
      <c r="M17" s="41"/>
      <c r="N17" s="41"/>
      <c r="O17" s="47"/>
    </row>
    <row r="18" spans="1:15" x14ac:dyDescent="0.25">
      <c r="A18" s="417">
        <v>90</v>
      </c>
      <c r="B18" s="440" t="str">
        <f>EN_02009!B5</f>
        <v>Muffler Collar</v>
      </c>
      <c r="C18" s="439">
        <f>EN_02009!N2</f>
        <v>6.208613333333334</v>
      </c>
      <c r="D18" s="417">
        <f>EN_02009_q</f>
        <v>1</v>
      </c>
      <c r="E18" s="438">
        <f>C18*D18</f>
        <v>6.208613333333334</v>
      </c>
      <c r="F18" s="41"/>
      <c r="G18" s="41"/>
      <c r="H18" s="41"/>
      <c r="I18" s="41"/>
      <c r="J18" s="41"/>
      <c r="K18" s="41"/>
      <c r="L18" s="41"/>
      <c r="M18" s="41"/>
      <c r="N18" s="41"/>
      <c r="O18" s="47"/>
    </row>
    <row r="19" spans="1:15" x14ac:dyDescent="0.25">
      <c r="A19" s="417">
        <v>100</v>
      </c>
      <c r="B19" s="440" t="str">
        <f>EN_02010!B5</f>
        <v>Spacer</v>
      </c>
      <c r="C19" s="439">
        <f>EN_02010!N2</f>
        <v>2.2250004878264873</v>
      </c>
      <c r="D19" s="417">
        <f>EN_02010_q</f>
        <v>1</v>
      </c>
      <c r="E19" s="438">
        <f>C19*D19</f>
        <v>2.2250004878264873</v>
      </c>
      <c r="F19" s="41"/>
      <c r="G19" s="41"/>
      <c r="H19" s="41"/>
      <c r="I19" s="41"/>
      <c r="J19" s="41"/>
      <c r="K19" s="41"/>
      <c r="L19" s="41"/>
      <c r="M19" s="41"/>
      <c r="N19" s="41"/>
      <c r="O19" s="47"/>
    </row>
    <row r="20" spans="1:15" x14ac:dyDescent="0.25">
      <c r="A20" s="48"/>
      <c r="B20" s="41"/>
      <c r="C20" s="41"/>
      <c r="D20" s="101" t="s">
        <v>18</v>
      </c>
      <c r="E20" s="102">
        <f>SUM(E10:E19)</f>
        <v>260.69839691057143</v>
      </c>
      <c r="F20" s="42"/>
      <c r="G20" s="42"/>
      <c r="H20" s="42"/>
      <c r="I20" s="42"/>
      <c r="J20" s="42"/>
      <c r="K20" s="42"/>
      <c r="L20" s="42"/>
      <c r="M20" s="42"/>
      <c r="N20" s="42"/>
      <c r="O20" s="47"/>
    </row>
    <row r="21" spans="1:15" x14ac:dyDescent="0.25">
      <c r="A21" s="48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7"/>
    </row>
    <row r="22" spans="1:15" x14ac:dyDescent="0.25">
      <c r="A22" s="97" t="s">
        <v>14</v>
      </c>
      <c r="B22" s="437" t="s">
        <v>19</v>
      </c>
      <c r="C22" s="97" t="s">
        <v>20</v>
      </c>
      <c r="D22" s="97" t="s">
        <v>21</v>
      </c>
      <c r="E22" s="97" t="s">
        <v>22</v>
      </c>
      <c r="F22" s="97" t="s">
        <v>23</v>
      </c>
      <c r="G22" s="97" t="s">
        <v>24</v>
      </c>
      <c r="H22" s="97" t="s">
        <v>25</v>
      </c>
      <c r="I22" s="97" t="s">
        <v>26</v>
      </c>
      <c r="J22" s="97" t="s">
        <v>27</v>
      </c>
      <c r="K22" s="97" t="s">
        <v>28</v>
      </c>
      <c r="L22" s="97" t="s">
        <v>29</v>
      </c>
      <c r="M22" s="97" t="s">
        <v>17</v>
      </c>
      <c r="N22" s="97" t="s">
        <v>18</v>
      </c>
      <c r="O22" s="47"/>
    </row>
    <row r="23" spans="1:15" x14ac:dyDescent="0.25">
      <c r="A23" s="112">
        <v>10</v>
      </c>
      <c r="B23" s="436" t="s">
        <v>574</v>
      </c>
      <c r="C23" s="435"/>
      <c r="D23" s="58">
        <v>1</v>
      </c>
      <c r="E23" s="57"/>
      <c r="F23" s="57"/>
      <c r="G23" s="57"/>
      <c r="H23" s="59"/>
      <c r="I23" s="60"/>
      <c r="J23" s="61"/>
      <c r="K23" s="59"/>
      <c r="L23" s="59"/>
      <c r="M23" s="62">
        <v>6</v>
      </c>
      <c r="N23" s="58">
        <f>M23*D23</f>
        <v>6</v>
      </c>
      <c r="O23" s="47"/>
    </row>
    <row r="24" spans="1:15" x14ac:dyDescent="0.25">
      <c r="A24" s="52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97" t="s">
        <v>18</v>
      </c>
      <c r="N24" s="99">
        <f>SUM(N23:N23)</f>
        <v>6</v>
      </c>
      <c r="O24" s="47"/>
    </row>
    <row r="25" spans="1:15" x14ac:dyDescent="0.25">
      <c r="A25" s="48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7"/>
    </row>
    <row r="26" spans="1:15" s="16" customFormat="1" x14ac:dyDescent="0.25">
      <c r="A26" s="97" t="s">
        <v>14</v>
      </c>
      <c r="B26" s="97" t="s">
        <v>31</v>
      </c>
      <c r="C26" s="97" t="s">
        <v>20</v>
      </c>
      <c r="D26" s="97" t="s">
        <v>21</v>
      </c>
      <c r="E26" s="97" t="s">
        <v>32</v>
      </c>
      <c r="F26" s="97" t="s">
        <v>17</v>
      </c>
      <c r="G26" s="97" t="s">
        <v>33</v>
      </c>
      <c r="H26" s="97" t="s">
        <v>34</v>
      </c>
      <c r="I26" s="97" t="s">
        <v>18</v>
      </c>
      <c r="J26" s="15"/>
      <c r="K26" s="15"/>
      <c r="L26" s="15"/>
      <c r="M26" s="15"/>
      <c r="N26" s="15"/>
      <c r="O26" s="53"/>
    </row>
    <row r="27" spans="1:15" x14ac:dyDescent="0.25">
      <c r="A27" s="57">
        <v>10</v>
      </c>
      <c r="B27" s="434" t="s">
        <v>139</v>
      </c>
      <c r="C27" s="57" t="s">
        <v>573</v>
      </c>
      <c r="D27" s="58">
        <v>0.06</v>
      </c>
      <c r="E27" s="57" t="s">
        <v>35</v>
      </c>
      <c r="F27" s="63">
        <v>4</v>
      </c>
      <c r="G27" s="57"/>
      <c r="H27" s="57"/>
      <c r="I27" s="58">
        <f>IF(H27="",D27*F27,D27*F27*H27)</f>
        <v>0.24</v>
      </c>
      <c r="J27" s="41"/>
      <c r="K27" s="41"/>
      <c r="L27" s="41"/>
      <c r="M27" s="41"/>
      <c r="N27" s="41"/>
      <c r="O27" s="47"/>
    </row>
    <row r="28" spans="1:15" x14ac:dyDescent="0.25">
      <c r="A28" s="57">
        <v>20</v>
      </c>
      <c r="B28" s="57" t="s">
        <v>138</v>
      </c>
      <c r="C28" s="57" t="s">
        <v>572</v>
      </c>
      <c r="D28" s="58">
        <v>0.15</v>
      </c>
      <c r="E28" s="434" t="s">
        <v>46</v>
      </c>
      <c r="F28" s="433">
        <f>4*3.4*PI()</f>
        <v>42.725660088821186</v>
      </c>
      <c r="G28" s="57"/>
      <c r="H28" s="57"/>
      <c r="I28" s="58">
        <f>IF(H28="",D28*F28,D28*F28*H28)</f>
        <v>6.4088490133231781</v>
      </c>
      <c r="J28" s="41"/>
      <c r="K28" s="41"/>
      <c r="L28" s="41"/>
      <c r="M28" s="41"/>
      <c r="N28" s="41"/>
      <c r="O28" s="47"/>
    </row>
    <row r="29" spans="1:15" x14ac:dyDescent="0.25">
      <c r="A29" s="57">
        <v>30</v>
      </c>
      <c r="B29" s="415" t="s">
        <v>141</v>
      </c>
      <c r="C29" s="425" t="s">
        <v>571</v>
      </c>
      <c r="D29" s="429">
        <v>0.19</v>
      </c>
      <c r="E29" s="425" t="s">
        <v>35</v>
      </c>
      <c r="F29" s="426">
        <v>1</v>
      </c>
      <c r="G29" s="425"/>
      <c r="H29" s="425"/>
      <c r="I29" s="428">
        <f>IF(H29="",D29*F29,D29*F29*H29)</f>
        <v>0.19</v>
      </c>
      <c r="J29" s="41"/>
      <c r="K29" s="41"/>
      <c r="L29" s="41"/>
      <c r="M29" s="41"/>
      <c r="N29" s="41"/>
      <c r="O29" s="47"/>
    </row>
    <row r="30" spans="1:15" x14ac:dyDescent="0.25">
      <c r="A30" s="57">
        <v>40</v>
      </c>
      <c r="B30" s="415" t="s">
        <v>140</v>
      </c>
      <c r="C30" s="425" t="s">
        <v>570</v>
      </c>
      <c r="D30" s="429">
        <v>0.75</v>
      </c>
      <c r="E30" s="425" t="s">
        <v>35</v>
      </c>
      <c r="F30" s="426">
        <v>8</v>
      </c>
      <c r="G30" s="425"/>
      <c r="H30" s="425"/>
      <c r="I30" s="428">
        <f>IF(H30="",D30*F30,D30*F30*H30)</f>
        <v>6</v>
      </c>
      <c r="J30" s="41"/>
      <c r="K30" s="41"/>
      <c r="L30" s="41"/>
      <c r="M30" s="41"/>
      <c r="N30" s="41"/>
      <c r="O30" s="47"/>
    </row>
    <row r="31" spans="1:15" x14ac:dyDescent="0.25">
      <c r="A31" s="57">
        <v>50</v>
      </c>
      <c r="B31" s="415" t="s">
        <v>565</v>
      </c>
      <c r="C31" s="425" t="s">
        <v>569</v>
      </c>
      <c r="D31" s="429">
        <v>0.75</v>
      </c>
      <c r="E31" s="425" t="s">
        <v>563</v>
      </c>
      <c r="F31" s="426">
        <v>4</v>
      </c>
      <c r="G31" s="425"/>
      <c r="H31" s="425"/>
      <c r="I31" s="428">
        <f>IF(H31="",D31*F31,D31*F31*H31)</f>
        <v>3</v>
      </c>
      <c r="J31" s="41"/>
      <c r="K31" s="41"/>
      <c r="L31" s="41"/>
      <c r="M31" s="41"/>
      <c r="N31" s="41"/>
      <c r="O31" s="47"/>
    </row>
    <row r="32" spans="1:15" x14ac:dyDescent="0.25">
      <c r="A32" s="57">
        <v>60</v>
      </c>
      <c r="B32" s="415" t="s">
        <v>562</v>
      </c>
      <c r="C32" s="425" t="s">
        <v>568</v>
      </c>
      <c r="D32" s="429">
        <v>0.5</v>
      </c>
      <c r="E32" s="425" t="s">
        <v>46</v>
      </c>
      <c r="F32" s="432">
        <f>4.21*2</f>
        <v>8.42</v>
      </c>
      <c r="G32" s="425"/>
      <c r="H32" s="425"/>
      <c r="I32" s="428">
        <f>F32*D32</f>
        <v>4.21</v>
      </c>
      <c r="J32" s="41"/>
      <c r="K32" s="41"/>
      <c r="L32" s="41"/>
      <c r="M32" s="41"/>
      <c r="N32" s="41"/>
      <c r="O32" s="47"/>
    </row>
    <row r="33" spans="1:15" x14ac:dyDescent="0.25">
      <c r="A33" s="57">
        <v>70</v>
      </c>
      <c r="B33" s="415" t="s">
        <v>567</v>
      </c>
      <c r="C33" s="425" t="s">
        <v>566</v>
      </c>
      <c r="D33" s="429">
        <v>0.19</v>
      </c>
      <c r="E33" s="425" t="s">
        <v>35</v>
      </c>
      <c r="F33" s="426">
        <v>2</v>
      </c>
      <c r="G33" s="425"/>
      <c r="H33" s="425"/>
      <c r="I33" s="428">
        <f>IF(H33="",D33*F33,D33*F33*H33)</f>
        <v>0.38</v>
      </c>
      <c r="J33" s="41"/>
      <c r="K33" s="41"/>
      <c r="L33" s="41"/>
      <c r="M33" s="41"/>
      <c r="N33" s="41"/>
      <c r="O33" s="47"/>
    </row>
    <row r="34" spans="1:15" x14ac:dyDescent="0.25">
      <c r="A34" s="57">
        <v>80</v>
      </c>
      <c r="B34" s="415" t="s">
        <v>565</v>
      </c>
      <c r="C34" s="425" t="s">
        <v>564</v>
      </c>
      <c r="D34" s="429">
        <v>0.75</v>
      </c>
      <c r="E34" s="425" t="s">
        <v>563</v>
      </c>
      <c r="F34" s="426">
        <v>2</v>
      </c>
      <c r="G34" s="425"/>
      <c r="H34" s="425"/>
      <c r="I34" s="428">
        <f>IF(H34="",D34*F34,D34*F34*H34)</f>
        <v>1.5</v>
      </c>
      <c r="J34" s="41"/>
      <c r="K34" s="41"/>
      <c r="L34" s="41"/>
      <c r="M34" s="41"/>
      <c r="N34" s="41"/>
      <c r="O34" s="47"/>
    </row>
    <row r="35" spans="1:15" x14ac:dyDescent="0.25">
      <c r="A35" s="57">
        <v>90</v>
      </c>
      <c r="B35" s="415" t="s">
        <v>562</v>
      </c>
      <c r="C35" s="425" t="s">
        <v>561</v>
      </c>
      <c r="D35" s="429">
        <v>0.5</v>
      </c>
      <c r="E35" s="425" t="s">
        <v>46</v>
      </c>
      <c r="F35" s="432">
        <f>4.98</f>
        <v>4.9800000000000004</v>
      </c>
      <c r="G35" s="425"/>
      <c r="H35" s="425"/>
      <c r="I35" s="428">
        <f>IF(H35="",D35*F35,D35*F35*H35)</f>
        <v>2.4900000000000002</v>
      </c>
      <c r="J35" s="41"/>
      <c r="K35" s="41"/>
      <c r="L35" s="41"/>
      <c r="M35" s="41"/>
      <c r="N35" s="41"/>
      <c r="O35" s="47"/>
    </row>
    <row r="36" spans="1:15" x14ac:dyDescent="0.25">
      <c r="A36" s="57">
        <v>100</v>
      </c>
      <c r="B36" s="431" t="s">
        <v>141</v>
      </c>
      <c r="C36" s="430" t="s">
        <v>560</v>
      </c>
      <c r="D36" s="429">
        <v>0.19</v>
      </c>
      <c r="E36" s="425" t="s">
        <v>35</v>
      </c>
      <c r="F36" s="426">
        <v>1</v>
      </c>
      <c r="G36" s="425"/>
      <c r="H36" s="425"/>
      <c r="I36" s="428">
        <f>IF(H36="",D36*F36,D36*F36*H36)</f>
        <v>0.19</v>
      </c>
      <c r="J36" s="41"/>
      <c r="K36" s="41"/>
      <c r="L36" s="41"/>
      <c r="M36" s="41"/>
      <c r="N36" s="41"/>
      <c r="O36" s="47"/>
    </row>
    <row r="37" spans="1:15" x14ac:dyDescent="0.25">
      <c r="A37" s="57">
        <v>110</v>
      </c>
      <c r="B37" s="415" t="s">
        <v>143</v>
      </c>
      <c r="C37" s="425" t="s">
        <v>559</v>
      </c>
      <c r="D37" s="427">
        <v>0.38</v>
      </c>
      <c r="E37" s="425" t="s">
        <v>35</v>
      </c>
      <c r="F37" s="426">
        <v>1</v>
      </c>
      <c r="G37" s="425"/>
      <c r="H37" s="425"/>
      <c r="I37" s="418">
        <f>IF(H37="",D37*F37,D37*F37*H37)</f>
        <v>0.38</v>
      </c>
      <c r="J37" s="41"/>
      <c r="K37" s="41"/>
      <c r="L37" s="41"/>
      <c r="M37" s="41"/>
      <c r="N37" s="41"/>
      <c r="O37" s="47"/>
    </row>
    <row r="38" spans="1:15" x14ac:dyDescent="0.25">
      <c r="A38" s="57">
        <v>120</v>
      </c>
      <c r="B38" s="422" t="s">
        <v>139</v>
      </c>
      <c r="C38" s="421" t="s">
        <v>558</v>
      </c>
      <c r="D38" s="286">
        <v>0.06</v>
      </c>
      <c r="E38" s="420" t="s">
        <v>35</v>
      </c>
      <c r="F38" s="420">
        <v>1</v>
      </c>
      <c r="G38" s="420"/>
      <c r="H38" s="420"/>
      <c r="I38" s="418">
        <f>IF(H38="",D38*F38,D38*F38*H38)</f>
        <v>0.06</v>
      </c>
      <c r="J38" s="41"/>
      <c r="K38" s="41"/>
      <c r="L38" s="41"/>
      <c r="M38" s="41"/>
      <c r="N38" s="41"/>
      <c r="O38" s="47"/>
    </row>
    <row r="39" spans="1:15" x14ac:dyDescent="0.25">
      <c r="A39" s="57">
        <v>130</v>
      </c>
      <c r="B39" s="424" t="s">
        <v>557</v>
      </c>
      <c r="C39" s="421" t="s">
        <v>556</v>
      </c>
      <c r="D39" s="286">
        <v>0.25</v>
      </c>
      <c r="E39" s="420" t="s">
        <v>35</v>
      </c>
      <c r="F39" s="420">
        <v>1</v>
      </c>
      <c r="G39" s="420"/>
      <c r="H39" s="420"/>
      <c r="I39" s="418">
        <f>IF(H39="",D39*F39,D39*F39*H39)</f>
        <v>0.25</v>
      </c>
      <c r="J39" s="41"/>
      <c r="K39" s="41"/>
      <c r="L39" s="41"/>
      <c r="M39" s="41"/>
      <c r="N39" s="41"/>
      <c r="O39" s="47"/>
    </row>
    <row r="40" spans="1:15" x14ac:dyDescent="0.25">
      <c r="A40" s="57">
        <v>140</v>
      </c>
      <c r="B40" s="422" t="s">
        <v>154</v>
      </c>
      <c r="C40" s="423" t="s">
        <v>555</v>
      </c>
      <c r="D40" s="286">
        <v>0.13</v>
      </c>
      <c r="E40" s="420" t="s">
        <v>35</v>
      </c>
      <c r="F40" s="420">
        <v>3</v>
      </c>
      <c r="G40" s="420"/>
      <c r="H40" s="420"/>
      <c r="I40" s="418">
        <f>IF(H40="",D40*F40,D40*F40*H40)</f>
        <v>0.39</v>
      </c>
      <c r="J40" s="41"/>
      <c r="K40" s="41"/>
      <c r="L40" s="41"/>
      <c r="M40" s="41"/>
      <c r="N40" s="41"/>
      <c r="O40" s="47"/>
    </row>
    <row r="41" spans="1:15" x14ac:dyDescent="0.25">
      <c r="A41" s="57">
        <v>160</v>
      </c>
      <c r="B41" s="422" t="s">
        <v>379</v>
      </c>
      <c r="C41" s="421" t="s">
        <v>554</v>
      </c>
      <c r="D41" s="286">
        <v>0.75</v>
      </c>
      <c r="E41" s="420" t="s">
        <v>35</v>
      </c>
      <c r="F41" s="420">
        <v>1</v>
      </c>
      <c r="G41" s="419"/>
      <c r="H41" s="419"/>
      <c r="I41" s="418">
        <f>IF(H41="",D41*F41,D41*F41*H41)</f>
        <v>0.75</v>
      </c>
      <c r="J41" s="41"/>
      <c r="K41" s="41"/>
      <c r="L41" s="41"/>
      <c r="M41" s="41"/>
      <c r="N41" s="41"/>
      <c r="O41" s="47"/>
    </row>
    <row r="42" spans="1:15" s="16" customFormat="1" x14ac:dyDescent="0.25">
      <c r="A42" s="57">
        <v>170</v>
      </c>
      <c r="B42" s="415" t="s">
        <v>553</v>
      </c>
      <c r="C42" s="417"/>
      <c r="D42" s="416">
        <v>25</v>
      </c>
      <c r="E42" s="415" t="s">
        <v>137</v>
      </c>
      <c r="F42" s="414">
        <v>2.65</v>
      </c>
      <c r="G42" s="413"/>
      <c r="H42" s="413"/>
      <c r="I42" s="58">
        <f>IF(H42="",D42*F42,D42*F42*H42)</f>
        <v>66.25</v>
      </c>
      <c r="J42" s="42"/>
      <c r="K42" s="42"/>
      <c r="L42" s="42"/>
      <c r="M42" s="42"/>
      <c r="N42" s="42"/>
      <c r="O42" s="53"/>
    </row>
    <row r="43" spans="1:15" x14ac:dyDescent="0.25">
      <c r="A43" s="52"/>
      <c r="B43" s="15"/>
      <c r="C43" s="15"/>
      <c r="D43" s="15"/>
      <c r="E43" s="15"/>
      <c r="F43" s="15"/>
      <c r="G43" s="15"/>
      <c r="H43" s="98" t="s">
        <v>18</v>
      </c>
      <c r="I43" s="99">
        <f>SUM(I27:I42)</f>
        <v>92.688849013323178</v>
      </c>
      <c r="J43" s="41"/>
      <c r="K43" s="41"/>
      <c r="L43" s="41"/>
      <c r="M43" s="41"/>
      <c r="N43" s="41"/>
      <c r="O43" s="47"/>
    </row>
    <row r="44" spans="1:15" x14ac:dyDescent="0.25">
      <c r="A44" s="48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7"/>
    </row>
    <row r="45" spans="1:15" x14ac:dyDescent="0.25">
      <c r="A45" s="97" t="s">
        <v>14</v>
      </c>
      <c r="B45" s="97" t="s">
        <v>36</v>
      </c>
      <c r="C45" s="97" t="s">
        <v>20</v>
      </c>
      <c r="D45" s="97" t="s">
        <v>21</v>
      </c>
      <c r="E45" s="97" t="s">
        <v>22</v>
      </c>
      <c r="F45" s="97" t="s">
        <v>23</v>
      </c>
      <c r="G45" s="97" t="s">
        <v>24</v>
      </c>
      <c r="H45" s="97" t="s">
        <v>25</v>
      </c>
      <c r="I45" s="97" t="s">
        <v>17</v>
      </c>
      <c r="J45" s="97" t="s">
        <v>18</v>
      </c>
      <c r="K45" s="41"/>
      <c r="L45" s="41"/>
      <c r="M45" s="41"/>
      <c r="N45" s="41"/>
      <c r="O45" s="47"/>
    </row>
    <row r="46" spans="1:15" x14ac:dyDescent="0.25">
      <c r="A46" s="57">
        <v>10</v>
      </c>
      <c r="B46" s="412" t="s">
        <v>38</v>
      </c>
      <c r="C46" s="401" t="s">
        <v>552</v>
      </c>
      <c r="D46" s="404">
        <v>0.04</v>
      </c>
      <c r="E46" s="401">
        <v>8</v>
      </c>
      <c r="F46" s="401" t="s">
        <v>30</v>
      </c>
      <c r="G46" s="401"/>
      <c r="H46" s="401"/>
      <c r="I46" s="401">
        <v>8</v>
      </c>
      <c r="J46" s="58">
        <f>I46*D46</f>
        <v>0.32</v>
      </c>
      <c r="K46" s="41"/>
      <c r="L46" s="41"/>
      <c r="M46" s="41"/>
      <c r="N46" s="41"/>
      <c r="O46" s="47"/>
    </row>
    <row r="47" spans="1:15" x14ac:dyDescent="0.25">
      <c r="A47" s="57">
        <v>20</v>
      </c>
      <c r="B47" s="401" t="s">
        <v>37</v>
      </c>
      <c r="C47" s="401" t="s">
        <v>551</v>
      </c>
      <c r="D47" s="404">
        <v>0.01</v>
      </c>
      <c r="E47" s="401">
        <v>40</v>
      </c>
      <c r="F47" s="401" t="s">
        <v>30</v>
      </c>
      <c r="G47" s="401"/>
      <c r="H47" s="401"/>
      <c r="I47" s="401">
        <v>4</v>
      </c>
      <c r="J47" s="58">
        <f>I47*D47</f>
        <v>0.04</v>
      </c>
      <c r="K47" s="41"/>
      <c r="L47" s="41"/>
      <c r="M47" s="41"/>
      <c r="N47" s="41"/>
      <c r="O47" s="47"/>
    </row>
    <row r="48" spans="1:15" x14ac:dyDescent="0.25">
      <c r="A48" s="57">
        <v>30</v>
      </c>
      <c r="B48" s="411" t="s">
        <v>550</v>
      </c>
      <c r="C48" s="408" t="s">
        <v>549</v>
      </c>
      <c r="D48" s="410">
        <f>0.01*E48+0.01</f>
        <v>0.31</v>
      </c>
      <c r="E48" s="408">
        <v>30</v>
      </c>
      <c r="F48" s="409" t="s">
        <v>30</v>
      </c>
      <c r="G48" s="408"/>
      <c r="H48" s="407"/>
      <c r="I48" s="406">
        <v>1</v>
      </c>
      <c r="J48" s="405">
        <f>D48*I48</f>
        <v>0.31</v>
      </c>
      <c r="K48" s="41"/>
      <c r="L48" s="41"/>
      <c r="M48" s="41"/>
      <c r="N48" s="41"/>
      <c r="O48" s="47"/>
    </row>
    <row r="49" spans="1:15" x14ac:dyDescent="0.25">
      <c r="A49" s="57">
        <v>40</v>
      </c>
      <c r="B49" s="401" t="s">
        <v>37</v>
      </c>
      <c r="C49" s="401" t="s">
        <v>548</v>
      </c>
      <c r="D49" s="404">
        <v>0.01</v>
      </c>
      <c r="E49" s="401">
        <v>8</v>
      </c>
      <c r="F49" s="401" t="s">
        <v>30</v>
      </c>
      <c r="G49" s="401"/>
      <c r="H49" s="403"/>
      <c r="I49" s="401">
        <v>2</v>
      </c>
      <c r="J49" s="58">
        <f>I49*D49</f>
        <v>0.02</v>
      </c>
      <c r="K49" s="41"/>
      <c r="L49" s="41"/>
      <c r="M49" s="41"/>
      <c r="N49" s="41"/>
      <c r="O49" s="47"/>
    </row>
    <row r="50" spans="1:15" x14ac:dyDescent="0.25">
      <c r="A50" s="57">
        <v>50</v>
      </c>
      <c r="B50" s="402" t="s">
        <v>156</v>
      </c>
      <c r="C50" s="401" t="s">
        <v>547</v>
      </c>
      <c r="D50" s="400">
        <v>0.32365994940100623</v>
      </c>
      <c r="E50" s="388">
        <v>8</v>
      </c>
      <c r="F50" s="388" t="s">
        <v>30</v>
      </c>
      <c r="G50" s="399">
        <v>70</v>
      </c>
      <c r="H50" s="388" t="s">
        <v>30</v>
      </c>
      <c r="I50" s="388">
        <v>1</v>
      </c>
      <c r="J50" s="58">
        <f>I50*D50</f>
        <v>0.32365994940100623</v>
      </c>
      <c r="K50" s="41"/>
      <c r="L50" s="41"/>
      <c r="M50" s="41"/>
      <c r="N50" s="41"/>
      <c r="O50" s="47"/>
    </row>
    <row r="51" spans="1:15" x14ac:dyDescent="0.25">
      <c r="A51" s="57">
        <v>60</v>
      </c>
      <c r="B51" s="398" t="s">
        <v>38</v>
      </c>
      <c r="C51" s="395" t="s">
        <v>546</v>
      </c>
      <c r="D51" s="397">
        <v>1.34264222787714E-2</v>
      </c>
      <c r="E51" s="395">
        <v>2</v>
      </c>
      <c r="F51" s="396" t="s">
        <v>30</v>
      </c>
      <c r="G51" s="395"/>
      <c r="H51" s="394"/>
      <c r="I51" s="393">
        <v>1</v>
      </c>
      <c r="J51" s="392">
        <f>I51*D51</f>
        <v>1.34264222787714E-2</v>
      </c>
      <c r="K51" s="43"/>
      <c r="L51" s="43"/>
      <c r="M51" s="43"/>
      <c r="N51" s="43"/>
      <c r="O51" s="47"/>
    </row>
    <row r="52" spans="1:15" x14ac:dyDescent="0.25">
      <c r="A52" s="112">
        <v>70</v>
      </c>
      <c r="B52" s="391" t="s">
        <v>156</v>
      </c>
      <c r="C52" s="388" t="s">
        <v>545</v>
      </c>
      <c r="D52" s="390">
        <v>1.0699999999999999E-2</v>
      </c>
      <c r="E52" s="388">
        <v>2</v>
      </c>
      <c r="F52" s="389" t="s">
        <v>30</v>
      </c>
      <c r="G52" s="388">
        <v>30</v>
      </c>
      <c r="H52" s="387" t="s">
        <v>30</v>
      </c>
      <c r="I52" s="386">
        <v>1</v>
      </c>
      <c r="J52" s="385">
        <f>I52*D52</f>
        <v>1.0699999999999999E-2</v>
      </c>
      <c r="K52" s="43"/>
      <c r="L52" s="43"/>
      <c r="M52" s="43"/>
      <c r="N52" s="43"/>
      <c r="O52" s="47"/>
    </row>
    <row r="53" spans="1:15" x14ac:dyDescent="0.25">
      <c r="A53" s="52"/>
      <c r="B53" s="15"/>
      <c r="C53" s="15"/>
      <c r="D53" s="15"/>
      <c r="E53" s="15"/>
      <c r="F53" s="15"/>
      <c r="G53" s="15"/>
      <c r="H53" s="15"/>
      <c r="I53" s="101" t="s">
        <v>18</v>
      </c>
      <c r="J53" s="102">
        <f>SUM(J46:J52)</f>
        <v>1.0377863716797775</v>
      </c>
      <c r="K53" s="41"/>
      <c r="L53" s="41"/>
      <c r="M53" s="41"/>
      <c r="N53" s="41"/>
      <c r="O53" s="47"/>
    </row>
    <row r="54" spans="1:15" x14ac:dyDescent="0.25">
      <c r="A54" s="48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7"/>
    </row>
    <row r="55" spans="1:15" x14ac:dyDescent="0.25">
      <c r="A55" s="97" t="s">
        <v>14</v>
      </c>
      <c r="B55" s="97" t="s">
        <v>39</v>
      </c>
      <c r="C55" s="97" t="s">
        <v>20</v>
      </c>
      <c r="D55" s="97" t="s">
        <v>21</v>
      </c>
      <c r="E55" s="97" t="s">
        <v>32</v>
      </c>
      <c r="F55" s="97" t="s">
        <v>17</v>
      </c>
      <c r="G55" s="97" t="s">
        <v>40</v>
      </c>
      <c r="H55" s="97" t="s">
        <v>41</v>
      </c>
      <c r="I55" s="97" t="s">
        <v>18</v>
      </c>
      <c r="J55" s="15"/>
      <c r="K55" s="41"/>
      <c r="L55" s="41"/>
      <c r="M55" s="41"/>
      <c r="N55" s="41"/>
      <c r="O55" s="47"/>
    </row>
    <row r="56" spans="1:15" x14ac:dyDescent="0.25">
      <c r="A56" s="57">
        <v>10</v>
      </c>
      <c r="B56" s="57" t="s">
        <v>42</v>
      </c>
      <c r="C56" s="57"/>
      <c r="D56" s="58">
        <v>500</v>
      </c>
      <c r="E56" s="57" t="s">
        <v>43</v>
      </c>
      <c r="F56" s="57">
        <v>6</v>
      </c>
      <c r="G56" s="57">
        <v>3000</v>
      </c>
      <c r="H56" s="57">
        <v>1</v>
      </c>
      <c r="I56" s="58">
        <f>D56*F56/G56*H56</f>
        <v>1</v>
      </c>
      <c r="J56" s="15"/>
      <c r="K56" s="41"/>
      <c r="L56" s="41"/>
      <c r="M56" s="41"/>
      <c r="N56" s="41"/>
      <c r="O56" s="47"/>
    </row>
    <row r="57" spans="1:15" x14ac:dyDescent="0.25">
      <c r="A57" s="52"/>
      <c r="B57" s="15"/>
      <c r="C57" s="15"/>
      <c r="D57" s="15"/>
      <c r="E57" s="15"/>
      <c r="F57" s="15"/>
      <c r="G57" s="15"/>
      <c r="H57" s="101" t="s">
        <v>18</v>
      </c>
      <c r="I57" s="102">
        <f>SUM(I56:I56)</f>
        <v>1</v>
      </c>
      <c r="J57" s="15"/>
      <c r="K57" s="41"/>
      <c r="L57" s="41"/>
      <c r="M57" s="41"/>
      <c r="N57" s="41"/>
      <c r="O57" s="47"/>
    </row>
    <row r="58" spans="1:15" ht="15.75" thickBot="1" x14ac:dyDescent="0.3">
      <c r="A58" s="54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6"/>
    </row>
    <row r="59" spans="1:15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</row>
  </sheetData>
  <hyperlinks>
    <hyperlink ref="B10" location="EN_02001" display="EN_02001" xr:uid="{00000000-0004-0000-0200-000000000000}"/>
    <hyperlink ref="B12" location="EN_02003" display="EN_02003" xr:uid="{137EE0DB-805D-4615-A65C-4ED97C5D9992}"/>
    <hyperlink ref="B13" location="EN_02004" display="EN_02004" xr:uid="{C8A249C9-1B75-45D4-8A79-6CCE8A081FDC}"/>
    <hyperlink ref="B14" location="EN_02005" display="EN_02005" xr:uid="{7E50FA7F-5AE3-4A8E-92F5-8C5204A17BC1}"/>
    <hyperlink ref="B15" location="EN_02006" display="EN_02006" xr:uid="{46A91444-B390-49AD-8CAD-991BB0FE1923}"/>
    <hyperlink ref="B16" location="EN_02007" display="EN_02007" xr:uid="{43988BD2-7B04-48A3-95DE-CAA5293CD7C9}"/>
    <hyperlink ref="B17" location="EN_02008" display="EN_02008" xr:uid="{399E42AE-6152-4C2D-ACA5-7ACA8154CC60}"/>
    <hyperlink ref="B11" location="EN_02002" display="EN_02002" xr:uid="{7EF9A4A9-46CC-407C-B2A7-A0BDA4AFC08D}"/>
    <hyperlink ref="B18" location="EN_02009" display="EN_02009" xr:uid="{BFA08FBD-C506-4FB2-B2DF-BDEA70B1620E}"/>
    <hyperlink ref="B19" location="EN_02010" display="EN_02010" xr:uid="{3101A830-D300-4765-B44D-ED46DCCC37C7}"/>
    <hyperlink ref="E2" location="EN_A0200_BOM" display="Back to BOM" xr:uid="{32FDC91F-96BE-4EB8-8332-28C92248B682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8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9635-5D8A-4B57-819E-3E9F22118C50}">
  <sheetPr>
    <tabColor theme="6" tint="0.39997558519241921"/>
  </sheetPr>
  <dimension ref="A1:H11"/>
  <sheetViews>
    <sheetView workbookViewId="0">
      <selection activeCell="D22" sqref="D22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91</v>
      </c>
      <c r="B1" s="70" t="str">
        <f>EN_0300_013</f>
        <v>Intake bracket</v>
      </c>
    </row>
    <row r="11" spans="1:8" x14ac:dyDescent="0.25">
      <c r="H11" s="70"/>
    </row>
  </sheetData>
  <hyperlinks>
    <hyperlink ref="B1" location="EN_0300_013" display="EN_0300_013" xr:uid="{00000000-0004-0000-1000-000000000000}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96BF2-43D0-4123-86B6-F4250C3EB79A}">
  <sheetPr>
    <tabColor theme="6" tint="-0.249977111117893"/>
    <pageSetUpPr fitToPage="1"/>
  </sheetPr>
  <dimension ref="A1:O67"/>
  <sheetViews>
    <sheetView zoomScale="70" zoomScaleNormal="70" zoomScaleSheetLayoutView="80" workbookViewId="0">
      <selection activeCell="E2" sqref="E2"/>
    </sheetView>
  </sheetViews>
  <sheetFormatPr baseColWidth="10" defaultColWidth="9.140625" defaultRowHeight="15" x14ac:dyDescent="0.25"/>
  <cols>
    <col min="2" max="2" width="35.28515625" customWidth="1"/>
    <col min="3" max="3" width="68.42578125" customWidth="1"/>
    <col min="4" max="4" width="11.42578125" customWidth="1"/>
    <col min="10" max="10" width="13.42578125" customWidth="1"/>
    <col min="15" max="15" width="5.28515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97" t="s">
        <v>0</v>
      </c>
      <c r="B2" s="11" t="s">
        <v>44</v>
      </c>
      <c r="C2" s="41"/>
      <c r="D2" s="41"/>
      <c r="E2" s="69" t="s">
        <v>121</v>
      </c>
      <c r="F2" s="41"/>
      <c r="G2" s="41"/>
      <c r="H2" s="41"/>
      <c r="I2" s="41"/>
      <c r="J2" s="97" t="s">
        <v>1</v>
      </c>
      <c r="K2" s="65">
        <v>81</v>
      </c>
      <c r="L2" s="41"/>
      <c r="M2" s="97" t="s">
        <v>2</v>
      </c>
      <c r="N2" s="76">
        <f>EN_A0400_pa+EN_A0400_m+EN_A0400_p+EN_A0400_f+EN_A0400_t</f>
        <v>170.23768559999999</v>
      </c>
      <c r="O2" s="47"/>
    </row>
    <row r="3" spans="1:15" x14ac:dyDescent="0.25">
      <c r="A3" s="97" t="s">
        <v>3</v>
      </c>
      <c r="B3" s="11" t="s">
        <v>135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97" t="s">
        <v>4</v>
      </c>
      <c r="N3" s="64">
        <v>1</v>
      </c>
      <c r="O3" s="47"/>
    </row>
    <row r="4" spans="1:15" x14ac:dyDescent="0.25">
      <c r="A4" s="97" t="s">
        <v>5</v>
      </c>
      <c r="B4" s="42" t="s">
        <v>307</v>
      </c>
      <c r="C4" s="41"/>
      <c r="D4" s="41"/>
      <c r="E4" s="41"/>
      <c r="F4" s="41"/>
      <c r="G4" s="41"/>
      <c r="H4" s="41"/>
      <c r="I4" s="41"/>
      <c r="J4" s="100" t="s">
        <v>6</v>
      </c>
      <c r="K4" s="41"/>
      <c r="L4" s="41"/>
      <c r="M4" s="41"/>
      <c r="N4" s="41"/>
      <c r="O4" s="47"/>
    </row>
    <row r="5" spans="1:15" x14ac:dyDescent="0.25">
      <c r="A5" s="97" t="s">
        <v>7</v>
      </c>
      <c r="B5" s="13" t="s">
        <v>306</v>
      </c>
      <c r="C5" s="41"/>
      <c r="D5" s="41"/>
      <c r="E5" s="41"/>
      <c r="F5" s="41"/>
      <c r="G5" s="41"/>
      <c r="H5" s="41"/>
      <c r="I5" s="41"/>
      <c r="J5" s="100" t="s">
        <v>8</v>
      </c>
      <c r="K5" s="41"/>
      <c r="L5" s="41"/>
      <c r="M5" s="97" t="s">
        <v>9</v>
      </c>
      <c r="N5" s="58">
        <f>N2*N3</f>
        <v>170.23768559999999</v>
      </c>
      <c r="O5" s="47"/>
    </row>
    <row r="6" spans="1:15" x14ac:dyDescent="0.25">
      <c r="A6" s="97" t="s">
        <v>10</v>
      </c>
      <c r="B6" s="11" t="s">
        <v>11</v>
      </c>
      <c r="C6" s="41"/>
      <c r="D6" s="41"/>
      <c r="E6" s="41"/>
      <c r="F6" s="41"/>
      <c r="G6" s="41"/>
      <c r="H6" s="41"/>
      <c r="I6" s="41"/>
      <c r="J6" s="100" t="s">
        <v>12</v>
      </c>
      <c r="K6" s="41"/>
      <c r="L6" s="41"/>
      <c r="M6" s="41"/>
      <c r="N6" s="41"/>
      <c r="O6" s="47"/>
    </row>
    <row r="7" spans="1:15" x14ac:dyDescent="0.25">
      <c r="A7" s="97" t="s">
        <v>13</v>
      </c>
      <c r="B7" s="11" t="s">
        <v>305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48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97" t="s">
        <v>14</v>
      </c>
      <c r="B9" s="97" t="s">
        <v>15</v>
      </c>
      <c r="C9" s="97" t="s">
        <v>16</v>
      </c>
      <c r="D9" s="97" t="s">
        <v>17</v>
      </c>
      <c r="E9" s="97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57">
        <v>10</v>
      </c>
      <c r="B10" s="67" t="str">
        <f>EN_0400_001!B5</f>
        <v>Throttle Frange</v>
      </c>
      <c r="C10" s="58">
        <f>EN_0400_001!N$2</f>
        <v>5.1789856000000007</v>
      </c>
      <c r="D10" s="117">
        <f>EN_0400_001!N$3</f>
        <v>1</v>
      </c>
      <c r="E10" s="58">
        <f t="shared" ref="E10:E18" si="0">C10*D10</f>
        <v>5.1789856000000007</v>
      </c>
      <c r="F10" s="41"/>
      <c r="G10" s="41"/>
      <c r="H10" s="41"/>
      <c r="I10" s="41"/>
      <c r="J10" s="41"/>
      <c r="K10" s="41"/>
      <c r="L10" s="41"/>
      <c r="M10" s="41"/>
      <c r="N10" s="41"/>
      <c r="O10" s="47"/>
    </row>
    <row r="11" spans="1:15" x14ac:dyDescent="0.25">
      <c r="A11" s="57">
        <v>20</v>
      </c>
      <c r="B11" s="70" t="str">
        <f>EN_0400_002!B5</f>
        <v>Restrictor</v>
      </c>
      <c r="C11" s="58">
        <f>EN_0400_002!N2</f>
        <v>5.7292000000000005</v>
      </c>
      <c r="D11" s="117">
        <f>EN_0400_002!N3</f>
        <v>1</v>
      </c>
      <c r="E11" s="58">
        <f t="shared" si="0"/>
        <v>5.7292000000000005</v>
      </c>
      <c r="F11" s="42"/>
      <c r="G11" s="42"/>
      <c r="H11" s="42"/>
      <c r="I11" s="42"/>
      <c r="J11" s="42"/>
      <c r="K11" s="42"/>
      <c r="L11" s="42"/>
      <c r="M11" s="42"/>
      <c r="N11" s="42"/>
      <c r="O11" s="47"/>
    </row>
    <row r="12" spans="1:15" x14ac:dyDescent="0.25">
      <c r="A12" s="57">
        <v>30</v>
      </c>
      <c r="B12" s="67" t="s">
        <v>304</v>
      </c>
      <c r="C12" s="58">
        <f>EN_0400_003!N2</f>
        <v>4.2741999999999996</v>
      </c>
      <c r="D12" s="117">
        <f>EN_0400_003!N3</f>
        <v>1</v>
      </c>
      <c r="E12" s="58">
        <f t="shared" si="0"/>
        <v>4.2741999999999996</v>
      </c>
      <c r="F12" s="42"/>
      <c r="G12" s="42"/>
      <c r="H12" s="42"/>
      <c r="I12" s="42"/>
      <c r="J12" s="42"/>
      <c r="K12" s="42"/>
      <c r="L12" s="42"/>
      <c r="M12" s="42"/>
      <c r="N12" s="42"/>
      <c r="O12" s="49"/>
    </row>
    <row r="13" spans="1:15" s="12" customFormat="1" x14ac:dyDescent="0.25">
      <c r="A13" s="57">
        <v>40</v>
      </c>
      <c r="B13" s="67" t="s">
        <v>303</v>
      </c>
      <c r="C13" s="58">
        <f>EN_0400_004!N2</f>
        <v>2.7262499999999998</v>
      </c>
      <c r="D13" s="117">
        <f>EN_0400_004!N3</f>
        <v>1</v>
      </c>
      <c r="E13" s="58">
        <f t="shared" si="0"/>
        <v>2.7262499999999998</v>
      </c>
      <c r="F13" s="42"/>
      <c r="G13" s="42"/>
      <c r="H13" s="42"/>
      <c r="I13" s="42"/>
      <c r="J13" s="42"/>
      <c r="K13" s="42"/>
      <c r="L13" s="42"/>
      <c r="M13" s="42"/>
      <c r="N13" s="42"/>
      <c r="O13" s="49"/>
    </row>
    <row r="14" spans="1:15" s="12" customFormat="1" x14ac:dyDescent="0.25">
      <c r="A14" s="57">
        <v>50</v>
      </c>
      <c r="B14" s="110" t="s">
        <v>302</v>
      </c>
      <c r="C14" s="58">
        <f>EN_0400_005!N2</f>
        <v>2.7105000000000001</v>
      </c>
      <c r="D14" s="117">
        <f>EN_0400_005!N3</f>
        <v>1</v>
      </c>
      <c r="E14" s="58">
        <f t="shared" si="0"/>
        <v>2.7105000000000001</v>
      </c>
      <c r="F14" s="42"/>
      <c r="G14" s="42"/>
      <c r="H14" s="42"/>
      <c r="I14" s="42"/>
      <c r="J14" s="42"/>
      <c r="K14" s="42"/>
      <c r="L14" s="42"/>
      <c r="M14" s="42"/>
      <c r="N14" s="42"/>
      <c r="O14" s="50"/>
    </row>
    <row r="15" spans="1:15" x14ac:dyDescent="0.25">
      <c r="A15" s="57">
        <v>60</v>
      </c>
      <c r="B15" s="110" t="s">
        <v>301</v>
      </c>
      <c r="C15" s="58">
        <f>EN_0400_006!N2</f>
        <v>3.5687500000000001</v>
      </c>
      <c r="D15" s="117">
        <f>EN_0400_006!N3</f>
        <v>1</v>
      </c>
      <c r="E15" s="58">
        <f t="shared" si="0"/>
        <v>3.5687500000000001</v>
      </c>
      <c r="F15" s="41"/>
      <c r="G15" s="41"/>
      <c r="H15" s="41"/>
      <c r="I15" s="41"/>
      <c r="J15" s="41"/>
      <c r="K15" s="41"/>
      <c r="L15" s="41"/>
      <c r="M15" s="41"/>
      <c r="N15" s="41"/>
      <c r="O15" s="47"/>
    </row>
    <row r="16" spans="1:15" x14ac:dyDescent="0.25">
      <c r="A16" s="57">
        <v>70</v>
      </c>
      <c r="B16" s="110" t="s">
        <v>300</v>
      </c>
      <c r="C16" s="58">
        <f>EN_0400_007!N2</f>
        <v>2.0409999999999999</v>
      </c>
      <c r="D16" s="117">
        <f>EN_0400_007!N3</f>
        <v>1</v>
      </c>
      <c r="E16" s="58">
        <f t="shared" si="0"/>
        <v>2.0409999999999999</v>
      </c>
      <c r="F16" s="41"/>
      <c r="G16" s="41"/>
      <c r="H16" s="41"/>
      <c r="I16" s="41"/>
      <c r="J16" s="41"/>
      <c r="K16" s="41"/>
      <c r="L16" s="41"/>
      <c r="M16" s="41"/>
      <c r="N16" s="41"/>
      <c r="O16" s="47"/>
    </row>
    <row r="17" spans="1:15" x14ac:dyDescent="0.25">
      <c r="A17" s="57">
        <v>80</v>
      </c>
      <c r="B17" s="110" t="s">
        <v>299</v>
      </c>
      <c r="C17" s="58">
        <f>EN_0400_008!N2</f>
        <v>12.5068</v>
      </c>
      <c r="D17" s="117">
        <f>EN_0400_008!N3</f>
        <v>1</v>
      </c>
      <c r="E17" s="58">
        <f t="shared" si="0"/>
        <v>12.5068</v>
      </c>
      <c r="F17" s="41"/>
      <c r="G17" s="41"/>
      <c r="H17" s="41"/>
      <c r="I17" s="41"/>
      <c r="J17" s="41"/>
      <c r="K17" s="41"/>
      <c r="L17" s="41"/>
      <c r="M17" s="41"/>
      <c r="N17" s="41"/>
      <c r="O17" s="47"/>
    </row>
    <row r="18" spans="1:15" x14ac:dyDescent="0.25">
      <c r="A18" s="57">
        <v>90</v>
      </c>
      <c r="B18" s="110" t="s">
        <v>298</v>
      </c>
      <c r="C18" s="58">
        <f>EN_0400_009!N2</f>
        <v>1.492</v>
      </c>
      <c r="D18" s="117">
        <f>EN_0400_009!N3</f>
        <v>1</v>
      </c>
      <c r="E18" s="58">
        <f t="shared" si="0"/>
        <v>1.492</v>
      </c>
      <c r="F18" s="41"/>
      <c r="G18" s="41"/>
      <c r="H18" s="41"/>
      <c r="I18" s="41"/>
      <c r="J18" s="41"/>
      <c r="K18" s="41"/>
      <c r="L18" s="41"/>
      <c r="M18" s="41"/>
      <c r="N18" s="41"/>
      <c r="O18" s="47"/>
    </row>
    <row r="19" spans="1:15" x14ac:dyDescent="0.25">
      <c r="A19" s="48"/>
      <c r="B19" s="41"/>
      <c r="C19" s="41"/>
      <c r="D19" s="98" t="s">
        <v>18</v>
      </c>
      <c r="E19" s="99">
        <f>SUM(E10:E18)</f>
        <v>40.227685600000001</v>
      </c>
      <c r="F19" s="42"/>
      <c r="G19" s="42"/>
      <c r="H19" s="42"/>
      <c r="I19" s="42"/>
      <c r="J19" s="42"/>
      <c r="K19" s="42"/>
      <c r="L19" s="42"/>
      <c r="M19" s="42"/>
      <c r="N19" s="42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7"/>
    </row>
    <row r="21" spans="1:15" x14ac:dyDescent="0.25">
      <c r="A21" s="97" t="s">
        <v>14</v>
      </c>
      <c r="B21" s="97" t="s">
        <v>19</v>
      </c>
      <c r="C21" s="97" t="s">
        <v>20</v>
      </c>
      <c r="D21" s="97" t="s">
        <v>21</v>
      </c>
      <c r="E21" s="97" t="s">
        <v>22</v>
      </c>
      <c r="F21" s="97" t="s">
        <v>23</v>
      </c>
      <c r="G21" s="97" t="s">
        <v>24</v>
      </c>
      <c r="H21" s="97" t="s">
        <v>25</v>
      </c>
      <c r="I21" s="97" t="s">
        <v>26</v>
      </c>
      <c r="J21" s="97" t="s">
        <v>27</v>
      </c>
      <c r="K21" s="97" t="s">
        <v>28</v>
      </c>
      <c r="L21" s="97" t="s">
        <v>29</v>
      </c>
      <c r="M21" s="97" t="s">
        <v>17</v>
      </c>
      <c r="N21" s="97" t="s">
        <v>18</v>
      </c>
      <c r="O21" s="47"/>
    </row>
    <row r="22" spans="1:15" x14ac:dyDescent="0.25">
      <c r="A22" s="57">
        <v>10</v>
      </c>
      <c r="B22" s="57" t="s">
        <v>297</v>
      </c>
      <c r="C22" s="57"/>
      <c r="D22" s="58">
        <v>0.15</v>
      </c>
      <c r="E22" s="57">
        <v>420</v>
      </c>
      <c r="F22" s="57" t="s">
        <v>153</v>
      </c>
      <c r="G22" s="57"/>
      <c r="H22" s="59"/>
      <c r="I22" s="60"/>
      <c r="J22" s="61"/>
      <c r="K22" s="59"/>
      <c r="L22" s="59"/>
      <c r="M22" s="59">
        <v>420</v>
      </c>
      <c r="N22" s="58">
        <f t="shared" ref="N22:N29" si="1">M22*D22</f>
        <v>63</v>
      </c>
      <c r="O22" s="47"/>
    </row>
    <row r="23" spans="1:15" s="14" customFormat="1" ht="15" customHeight="1" x14ac:dyDescent="0.25">
      <c r="A23" s="57">
        <v>20</v>
      </c>
      <c r="B23" s="57" t="s">
        <v>295</v>
      </c>
      <c r="C23" s="162" t="s">
        <v>296</v>
      </c>
      <c r="D23" s="58">
        <v>1</v>
      </c>
      <c r="E23" s="161"/>
      <c r="F23" s="161"/>
      <c r="G23" s="161"/>
      <c r="H23" s="59"/>
      <c r="I23" s="160"/>
      <c r="J23" s="159"/>
      <c r="K23" s="158"/>
      <c r="L23" s="157"/>
      <c r="M23" s="59">
        <v>1</v>
      </c>
      <c r="N23" s="58">
        <f t="shared" si="1"/>
        <v>1</v>
      </c>
      <c r="O23" s="51"/>
    </row>
    <row r="24" spans="1:15" x14ac:dyDescent="0.25">
      <c r="A24" s="57">
        <v>30</v>
      </c>
      <c r="B24" s="57" t="s">
        <v>295</v>
      </c>
      <c r="C24" s="57" t="s">
        <v>294</v>
      </c>
      <c r="D24" s="58">
        <v>1</v>
      </c>
      <c r="E24" s="57"/>
      <c r="F24" s="57"/>
      <c r="G24" s="57"/>
      <c r="H24" s="59"/>
      <c r="I24" s="115"/>
      <c r="J24" s="62"/>
      <c r="K24" s="59"/>
      <c r="L24" s="116"/>
      <c r="M24" s="59">
        <v>1</v>
      </c>
      <c r="N24" s="58">
        <f t="shared" si="1"/>
        <v>1</v>
      </c>
      <c r="O24" s="47"/>
    </row>
    <row r="25" spans="1:15" x14ac:dyDescent="0.25">
      <c r="A25" s="57">
        <v>40</v>
      </c>
      <c r="B25" s="57" t="s">
        <v>292</v>
      </c>
      <c r="C25" s="57" t="s">
        <v>293</v>
      </c>
      <c r="D25" s="58">
        <v>0.05</v>
      </c>
      <c r="E25" s="57"/>
      <c r="F25" s="57"/>
      <c r="G25" s="57"/>
      <c r="H25" s="59"/>
      <c r="I25" s="115"/>
      <c r="J25" s="62"/>
      <c r="K25" s="59"/>
      <c r="L25" s="116"/>
      <c r="M25" s="59">
        <v>1</v>
      </c>
      <c r="N25" s="58">
        <f t="shared" si="1"/>
        <v>0.05</v>
      </c>
      <c r="O25" s="47"/>
    </row>
    <row r="26" spans="1:15" x14ac:dyDescent="0.25">
      <c r="A26" s="57">
        <v>50</v>
      </c>
      <c r="B26" s="57" t="s">
        <v>292</v>
      </c>
      <c r="C26" s="57" t="s">
        <v>291</v>
      </c>
      <c r="D26" s="58">
        <v>0.05</v>
      </c>
      <c r="E26" s="57"/>
      <c r="F26" s="57"/>
      <c r="G26" s="57"/>
      <c r="H26" s="59"/>
      <c r="I26" s="115"/>
      <c r="J26" s="62"/>
      <c r="K26" s="59"/>
      <c r="L26" s="59"/>
      <c r="M26" s="59">
        <v>1</v>
      </c>
      <c r="N26" s="58">
        <f t="shared" si="1"/>
        <v>0.05</v>
      </c>
      <c r="O26" s="47"/>
    </row>
    <row r="27" spans="1:15" x14ac:dyDescent="0.25">
      <c r="A27" s="57">
        <v>60</v>
      </c>
      <c r="B27" s="57" t="s">
        <v>290</v>
      </c>
      <c r="C27" s="57" t="s">
        <v>289</v>
      </c>
      <c r="D27" s="58">
        <v>15</v>
      </c>
      <c r="E27" s="57">
        <v>2.5</v>
      </c>
      <c r="F27" s="57" t="s">
        <v>137</v>
      </c>
      <c r="G27" s="57"/>
      <c r="H27" s="59"/>
      <c r="I27" s="115"/>
      <c r="J27" s="62"/>
      <c r="K27" s="59"/>
      <c r="L27" s="59"/>
      <c r="M27" s="59">
        <v>2.5</v>
      </c>
      <c r="N27" s="58">
        <f t="shared" si="1"/>
        <v>37.5</v>
      </c>
      <c r="O27" s="47"/>
    </row>
    <row r="28" spans="1:15" x14ac:dyDescent="0.25">
      <c r="A28" s="57">
        <v>70</v>
      </c>
      <c r="B28" s="57" t="s">
        <v>288</v>
      </c>
      <c r="C28" s="57"/>
      <c r="D28" s="58">
        <v>1</v>
      </c>
      <c r="E28" s="57"/>
      <c r="F28" s="57"/>
      <c r="G28" s="57"/>
      <c r="H28" s="59"/>
      <c r="I28" s="115"/>
      <c r="J28" s="62"/>
      <c r="K28" s="59"/>
      <c r="L28" s="59"/>
      <c r="M28" s="59">
        <v>1</v>
      </c>
      <c r="N28" s="58">
        <f t="shared" si="1"/>
        <v>1</v>
      </c>
      <c r="O28" s="47"/>
    </row>
    <row r="29" spans="1:15" x14ac:dyDescent="0.25">
      <c r="A29" s="57">
        <v>80</v>
      </c>
      <c r="B29" s="57" t="s">
        <v>208</v>
      </c>
      <c r="C29" s="57" t="s">
        <v>207</v>
      </c>
      <c r="D29" s="58">
        <v>8.1</v>
      </c>
      <c r="E29" s="57">
        <v>30</v>
      </c>
      <c r="F29" s="57" t="s">
        <v>30</v>
      </c>
      <c r="G29" s="57"/>
      <c r="H29" s="59"/>
      <c r="I29" s="115"/>
      <c r="J29" s="62"/>
      <c r="K29" s="59"/>
      <c r="L29" s="59"/>
      <c r="M29" s="59">
        <v>2</v>
      </c>
      <c r="N29" s="58">
        <f t="shared" si="1"/>
        <v>16.2</v>
      </c>
      <c r="O29" s="47"/>
    </row>
    <row r="30" spans="1:15" x14ac:dyDescent="0.25">
      <c r="A30" s="52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97" t="s">
        <v>18</v>
      </c>
      <c r="N30" s="99">
        <f>SUM(N22:N29)</f>
        <v>119.8</v>
      </c>
      <c r="O30" s="47"/>
    </row>
    <row r="31" spans="1:15" x14ac:dyDescent="0.25">
      <c r="A31" s="48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7"/>
    </row>
    <row r="32" spans="1:15" s="16" customFormat="1" x14ac:dyDescent="0.25">
      <c r="A32" s="97" t="s">
        <v>14</v>
      </c>
      <c r="B32" s="97" t="s">
        <v>31</v>
      </c>
      <c r="C32" s="97" t="s">
        <v>20</v>
      </c>
      <c r="D32" s="97" t="s">
        <v>21</v>
      </c>
      <c r="E32" s="97" t="s">
        <v>32</v>
      </c>
      <c r="F32" s="97" t="s">
        <v>17</v>
      </c>
      <c r="G32" s="97" t="s">
        <v>33</v>
      </c>
      <c r="H32" s="97" t="s">
        <v>34</v>
      </c>
      <c r="I32" s="97" t="s">
        <v>18</v>
      </c>
      <c r="J32" s="15"/>
      <c r="K32" s="15"/>
      <c r="L32" s="15"/>
      <c r="M32" s="15"/>
      <c r="N32" s="15"/>
      <c r="O32" s="53"/>
    </row>
    <row r="33" spans="1:15" s="16" customFormat="1" x14ac:dyDescent="0.25">
      <c r="A33" s="57">
        <v>10</v>
      </c>
      <c r="B33" s="57" t="s">
        <v>141</v>
      </c>
      <c r="C33" s="57" t="s">
        <v>287</v>
      </c>
      <c r="D33" s="58">
        <v>0.19</v>
      </c>
      <c r="E33" s="57" t="s">
        <v>35</v>
      </c>
      <c r="F33" s="63">
        <v>1</v>
      </c>
      <c r="G33" s="63"/>
      <c r="H33" s="63"/>
      <c r="I33" s="58">
        <f t="shared" ref="I33:I53" si="2">IF(H33="",D33*F33,D33*F33*H33)</f>
        <v>0.19</v>
      </c>
      <c r="J33" s="42"/>
      <c r="K33" s="42"/>
      <c r="L33" s="42"/>
      <c r="M33" s="42"/>
      <c r="N33" s="42"/>
      <c r="O33" s="53"/>
    </row>
    <row r="34" spans="1:15" s="16" customFormat="1" x14ac:dyDescent="0.25">
      <c r="A34" s="57">
        <v>20</v>
      </c>
      <c r="B34" s="57" t="s">
        <v>141</v>
      </c>
      <c r="C34" s="57" t="s">
        <v>286</v>
      </c>
      <c r="D34" s="58">
        <v>0.19</v>
      </c>
      <c r="E34" s="57" t="s">
        <v>35</v>
      </c>
      <c r="F34" s="63">
        <v>1</v>
      </c>
      <c r="G34" s="63"/>
      <c r="H34" s="63"/>
      <c r="I34" s="58">
        <f t="shared" si="2"/>
        <v>0.19</v>
      </c>
      <c r="J34" s="42"/>
      <c r="K34" s="42"/>
      <c r="L34" s="42"/>
      <c r="M34" s="42"/>
      <c r="N34" s="42"/>
      <c r="O34" s="53"/>
    </row>
    <row r="35" spans="1:15" s="16" customFormat="1" x14ac:dyDescent="0.25">
      <c r="A35" s="57">
        <v>30</v>
      </c>
      <c r="B35" s="57" t="s">
        <v>141</v>
      </c>
      <c r="C35" s="57" t="s">
        <v>285</v>
      </c>
      <c r="D35" s="58">
        <v>0.19</v>
      </c>
      <c r="E35" s="57" t="s">
        <v>35</v>
      </c>
      <c r="F35" s="63">
        <v>1</v>
      </c>
      <c r="G35" s="63"/>
      <c r="H35" s="63"/>
      <c r="I35" s="58">
        <f t="shared" si="2"/>
        <v>0.19</v>
      </c>
      <c r="J35" s="42"/>
      <c r="K35" s="42"/>
      <c r="L35" s="42"/>
      <c r="M35" s="42"/>
      <c r="N35" s="42"/>
      <c r="O35" s="53"/>
    </row>
    <row r="36" spans="1:15" s="16" customFormat="1" x14ac:dyDescent="0.25">
      <c r="A36" s="57">
        <v>40</v>
      </c>
      <c r="B36" s="57" t="s">
        <v>141</v>
      </c>
      <c r="C36" s="57" t="s">
        <v>284</v>
      </c>
      <c r="D36" s="58">
        <v>0.19</v>
      </c>
      <c r="E36" s="57" t="s">
        <v>35</v>
      </c>
      <c r="F36" s="63">
        <v>1</v>
      </c>
      <c r="G36" s="63"/>
      <c r="H36" s="63"/>
      <c r="I36" s="58">
        <f t="shared" si="2"/>
        <v>0.19</v>
      </c>
      <c r="J36" s="42"/>
      <c r="K36" s="42"/>
      <c r="L36" s="42"/>
      <c r="M36" s="42"/>
      <c r="N36" s="42"/>
      <c r="O36" s="53"/>
    </row>
    <row r="37" spans="1:15" s="16" customFormat="1" x14ac:dyDescent="0.25">
      <c r="A37" s="57">
        <v>50</v>
      </c>
      <c r="B37" s="57" t="s">
        <v>141</v>
      </c>
      <c r="C37" s="57" t="s">
        <v>283</v>
      </c>
      <c r="D37" s="58">
        <v>0.19</v>
      </c>
      <c r="E37" s="57" t="s">
        <v>35</v>
      </c>
      <c r="F37" s="63">
        <v>1</v>
      </c>
      <c r="G37" s="63"/>
      <c r="H37" s="63"/>
      <c r="I37" s="58">
        <f t="shared" si="2"/>
        <v>0.19</v>
      </c>
      <c r="J37" s="42"/>
      <c r="K37" s="42"/>
      <c r="L37" s="42"/>
      <c r="M37" s="42"/>
      <c r="N37" s="42"/>
      <c r="O37" s="53"/>
    </row>
    <row r="38" spans="1:15" s="16" customFormat="1" x14ac:dyDescent="0.25">
      <c r="A38" s="57">
        <v>60</v>
      </c>
      <c r="B38" s="57" t="s">
        <v>141</v>
      </c>
      <c r="C38" s="57" t="s">
        <v>282</v>
      </c>
      <c r="D38" s="58">
        <v>0.19</v>
      </c>
      <c r="E38" s="57" t="s">
        <v>35</v>
      </c>
      <c r="F38" s="63">
        <v>1</v>
      </c>
      <c r="G38" s="63"/>
      <c r="H38" s="63"/>
      <c r="I38" s="58">
        <f t="shared" si="2"/>
        <v>0.19</v>
      </c>
      <c r="J38" s="42"/>
      <c r="K38" s="42"/>
      <c r="L38" s="42"/>
      <c r="M38" s="42"/>
      <c r="N38" s="42"/>
      <c r="O38" s="53"/>
    </row>
    <row r="39" spans="1:15" s="16" customFormat="1" x14ac:dyDescent="0.25">
      <c r="A39" s="57">
        <v>70</v>
      </c>
      <c r="B39" s="57" t="s">
        <v>141</v>
      </c>
      <c r="C39" s="57" t="s">
        <v>281</v>
      </c>
      <c r="D39" s="58">
        <v>0.19</v>
      </c>
      <c r="E39" s="57" t="s">
        <v>35</v>
      </c>
      <c r="F39" s="63">
        <v>1</v>
      </c>
      <c r="G39" s="63"/>
      <c r="H39" s="63"/>
      <c r="I39" s="58">
        <f t="shared" si="2"/>
        <v>0.19</v>
      </c>
      <c r="J39" s="42"/>
      <c r="K39" s="42"/>
      <c r="L39" s="42"/>
      <c r="M39" s="42"/>
      <c r="N39" s="42"/>
      <c r="O39" s="53"/>
    </row>
    <row r="40" spans="1:15" s="16" customFormat="1" x14ac:dyDescent="0.25">
      <c r="A40" s="57">
        <v>80</v>
      </c>
      <c r="B40" s="57" t="s">
        <v>273</v>
      </c>
      <c r="C40" s="57" t="s">
        <v>276</v>
      </c>
      <c r="D40" s="58">
        <v>1.5</v>
      </c>
      <c r="E40" s="57" t="s">
        <v>35</v>
      </c>
      <c r="F40" s="63">
        <v>1</v>
      </c>
      <c r="G40" s="63"/>
      <c r="H40" s="63"/>
      <c r="I40" s="58">
        <f t="shared" si="2"/>
        <v>1.5</v>
      </c>
      <c r="J40" s="42"/>
      <c r="K40" s="42"/>
      <c r="L40" s="42"/>
      <c r="M40" s="42"/>
      <c r="N40" s="42"/>
      <c r="O40" s="53"/>
    </row>
    <row r="41" spans="1:15" s="16" customFormat="1" x14ac:dyDescent="0.25">
      <c r="A41" s="57">
        <v>90</v>
      </c>
      <c r="B41" s="57" t="s">
        <v>196</v>
      </c>
      <c r="C41" s="57" t="s">
        <v>280</v>
      </c>
      <c r="D41" s="58">
        <v>0.25</v>
      </c>
      <c r="E41" s="57" t="s">
        <v>35</v>
      </c>
      <c r="F41" s="63">
        <v>1</v>
      </c>
      <c r="G41" s="63"/>
      <c r="H41" s="63"/>
      <c r="I41" s="58">
        <f t="shared" si="2"/>
        <v>0.25</v>
      </c>
      <c r="J41" s="42"/>
      <c r="K41" s="42"/>
      <c r="L41" s="42"/>
      <c r="M41" s="42"/>
      <c r="N41" s="42"/>
      <c r="O41" s="53"/>
    </row>
    <row r="42" spans="1:15" s="16" customFormat="1" x14ac:dyDescent="0.25">
      <c r="A42" s="57">
        <v>100</v>
      </c>
      <c r="B42" s="57" t="s">
        <v>279</v>
      </c>
      <c r="C42" s="57" t="s">
        <v>278</v>
      </c>
      <c r="D42" s="58">
        <v>0.13</v>
      </c>
      <c r="E42" s="57" t="s">
        <v>35</v>
      </c>
      <c r="F42" s="63">
        <v>1</v>
      </c>
      <c r="G42" s="63"/>
      <c r="H42" s="63"/>
      <c r="I42" s="58">
        <f t="shared" si="2"/>
        <v>0.13</v>
      </c>
      <c r="J42" s="42"/>
      <c r="K42" s="42"/>
      <c r="L42" s="42"/>
      <c r="M42" s="42"/>
      <c r="N42" s="42"/>
      <c r="O42" s="53"/>
    </row>
    <row r="43" spans="1:15" s="16" customFormat="1" x14ac:dyDescent="0.25">
      <c r="A43" s="57">
        <v>110</v>
      </c>
      <c r="B43" s="57" t="s">
        <v>263</v>
      </c>
      <c r="C43" s="57" t="s">
        <v>277</v>
      </c>
      <c r="D43" s="58">
        <v>0.06</v>
      </c>
      <c r="E43" s="57" t="s">
        <v>35</v>
      </c>
      <c r="F43" s="63">
        <v>2</v>
      </c>
      <c r="G43" s="63"/>
      <c r="H43" s="63"/>
      <c r="I43" s="58">
        <f t="shared" si="2"/>
        <v>0.12</v>
      </c>
      <c r="J43" s="42"/>
      <c r="K43" s="42"/>
      <c r="L43" s="42"/>
      <c r="M43" s="42"/>
      <c r="N43" s="42"/>
      <c r="O43" s="53"/>
    </row>
    <row r="44" spans="1:15" s="16" customFormat="1" x14ac:dyDescent="0.25">
      <c r="A44" s="57">
        <v>120</v>
      </c>
      <c r="B44" s="57" t="s">
        <v>273</v>
      </c>
      <c r="C44" s="57" t="s">
        <v>276</v>
      </c>
      <c r="D44" s="58">
        <v>1.5</v>
      </c>
      <c r="E44" s="57" t="s">
        <v>35</v>
      </c>
      <c r="F44" s="63">
        <v>1</v>
      </c>
      <c r="G44" s="63"/>
      <c r="H44" s="63"/>
      <c r="I44" s="58">
        <f t="shared" si="2"/>
        <v>1.5</v>
      </c>
      <c r="J44" s="42"/>
      <c r="K44" s="42"/>
      <c r="L44" s="42"/>
      <c r="M44" s="42"/>
      <c r="N44" s="42"/>
      <c r="O44" s="53"/>
    </row>
    <row r="45" spans="1:15" s="16" customFormat="1" x14ac:dyDescent="0.25">
      <c r="A45" s="57">
        <v>130</v>
      </c>
      <c r="B45" s="57" t="s">
        <v>263</v>
      </c>
      <c r="C45" s="57" t="s">
        <v>275</v>
      </c>
      <c r="D45" s="58">
        <v>0.06</v>
      </c>
      <c r="E45" s="57" t="s">
        <v>35</v>
      </c>
      <c r="F45" s="63">
        <v>2</v>
      </c>
      <c r="G45" s="63"/>
      <c r="H45" s="63"/>
      <c r="I45" s="58">
        <f t="shared" si="2"/>
        <v>0.12</v>
      </c>
      <c r="J45" s="42"/>
      <c r="K45" s="42"/>
      <c r="L45" s="42"/>
      <c r="M45" s="42"/>
      <c r="N45" s="42"/>
      <c r="O45" s="53"/>
    </row>
    <row r="46" spans="1:15" s="16" customFormat="1" x14ac:dyDescent="0.25">
      <c r="A46" s="57">
        <v>140</v>
      </c>
      <c r="B46" s="57" t="s">
        <v>141</v>
      </c>
      <c r="C46" s="57" t="s">
        <v>274</v>
      </c>
      <c r="D46" s="58">
        <v>0.19</v>
      </c>
      <c r="E46" s="57" t="s">
        <v>35</v>
      </c>
      <c r="F46" s="63">
        <v>1</v>
      </c>
      <c r="G46" s="63"/>
      <c r="H46" s="63"/>
      <c r="I46" s="58">
        <f t="shared" si="2"/>
        <v>0.19</v>
      </c>
      <c r="J46" s="42"/>
      <c r="K46" s="42"/>
      <c r="L46" s="42"/>
      <c r="M46" s="42"/>
      <c r="N46" s="42"/>
      <c r="O46" s="53"/>
    </row>
    <row r="47" spans="1:15" s="16" customFormat="1" x14ac:dyDescent="0.25">
      <c r="A47" s="57">
        <v>150</v>
      </c>
      <c r="B47" s="57" t="s">
        <v>273</v>
      </c>
      <c r="C47" s="57" t="s">
        <v>272</v>
      </c>
      <c r="D47" s="58">
        <v>1.5</v>
      </c>
      <c r="E47" s="57" t="s">
        <v>35</v>
      </c>
      <c r="F47" s="63">
        <v>2</v>
      </c>
      <c r="G47" s="63"/>
      <c r="H47" s="63"/>
      <c r="I47" s="58">
        <f t="shared" si="2"/>
        <v>3</v>
      </c>
      <c r="J47" s="42"/>
      <c r="K47" s="42"/>
      <c r="L47" s="42"/>
      <c r="M47" s="42"/>
      <c r="N47" s="42"/>
      <c r="O47" s="53"/>
    </row>
    <row r="48" spans="1:15" s="16" customFormat="1" x14ac:dyDescent="0.25">
      <c r="A48" s="57">
        <v>160</v>
      </c>
      <c r="B48" s="57" t="s">
        <v>271</v>
      </c>
      <c r="C48" s="57" t="s">
        <v>270</v>
      </c>
      <c r="D48" s="58">
        <v>0.25</v>
      </c>
      <c r="E48" s="57" t="s">
        <v>35</v>
      </c>
      <c r="F48" s="63">
        <v>2</v>
      </c>
      <c r="G48" s="63"/>
      <c r="H48" s="63"/>
      <c r="I48" s="58">
        <f t="shared" si="2"/>
        <v>0.5</v>
      </c>
      <c r="J48" s="42"/>
      <c r="K48" s="42"/>
      <c r="L48" s="42"/>
      <c r="M48" s="42"/>
      <c r="N48" s="42"/>
      <c r="O48" s="53"/>
    </row>
    <row r="49" spans="1:15" s="16" customFormat="1" x14ac:dyDescent="0.25">
      <c r="A49" s="57">
        <v>170</v>
      </c>
      <c r="B49" s="57" t="s">
        <v>263</v>
      </c>
      <c r="C49" s="16" t="s">
        <v>269</v>
      </c>
      <c r="D49" s="58">
        <v>0.06</v>
      </c>
      <c r="E49" s="57" t="s">
        <v>35</v>
      </c>
      <c r="F49" s="63">
        <v>1</v>
      </c>
      <c r="G49" s="63"/>
      <c r="H49" s="63"/>
      <c r="I49" s="58">
        <f t="shared" si="2"/>
        <v>0.06</v>
      </c>
      <c r="J49" s="42"/>
      <c r="K49" s="42"/>
      <c r="L49" s="42"/>
      <c r="M49" s="42"/>
      <c r="N49" s="42"/>
      <c r="O49" s="53"/>
    </row>
    <row r="50" spans="1:15" s="16" customFormat="1" x14ac:dyDescent="0.25">
      <c r="A50" s="57">
        <v>180</v>
      </c>
      <c r="B50" s="57" t="s">
        <v>268</v>
      </c>
      <c r="C50" s="57" t="s">
        <v>267</v>
      </c>
      <c r="D50" s="58">
        <v>0.12</v>
      </c>
      <c r="E50" s="57" t="s">
        <v>35</v>
      </c>
      <c r="F50" s="63">
        <v>1</v>
      </c>
      <c r="G50" s="63"/>
      <c r="H50" s="63"/>
      <c r="I50" s="58">
        <f t="shared" si="2"/>
        <v>0.12</v>
      </c>
      <c r="J50" s="42"/>
      <c r="K50" s="42"/>
      <c r="L50" s="42"/>
      <c r="M50" s="42"/>
      <c r="N50" s="42"/>
      <c r="O50" s="53"/>
    </row>
    <row r="51" spans="1:15" s="16" customFormat="1" x14ac:dyDescent="0.25">
      <c r="A51" s="57">
        <v>190</v>
      </c>
      <c r="B51" s="57" t="s">
        <v>263</v>
      </c>
      <c r="C51" s="57" t="s">
        <v>266</v>
      </c>
      <c r="D51" s="58">
        <v>0.06</v>
      </c>
      <c r="E51" s="57" t="s">
        <v>35</v>
      </c>
      <c r="F51" s="63">
        <v>1</v>
      </c>
      <c r="G51" s="63"/>
      <c r="H51" s="63"/>
      <c r="I51" s="58">
        <f t="shared" si="2"/>
        <v>0.06</v>
      </c>
      <c r="J51" s="42"/>
      <c r="K51" s="42"/>
      <c r="L51" s="42"/>
      <c r="M51" s="42"/>
      <c r="N51" s="42"/>
      <c r="O51" s="53"/>
    </row>
    <row r="52" spans="1:15" s="16" customFormat="1" x14ac:dyDescent="0.25">
      <c r="A52" s="57">
        <v>200</v>
      </c>
      <c r="B52" s="57" t="s">
        <v>265</v>
      </c>
      <c r="C52" s="57" t="s">
        <v>264</v>
      </c>
      <c r="D52" s="58">
        <v>0.25</v>
      </c>
      <c r="E52" s="57" t="s">
        <v>35</v>
      </c>
      <c r="F52" s="63">
        <v>1</v>
      </c>
      <c r="G52" s="63"/>
      <c r="H52" s="63"/>
      <c r="I52" s="58">
        <f t="shared" si="2"/>
        <v>0.25</v>
      </c>
      <c r="J52" s="42"/>
      <c r="K52" s="42"/>
      <c r="L52" s="42"/>
      <c r="M52" s="42"/>
      <c r="N52" s="42"/>
      <c r="O52" s="53"/>
    </row>
    <row r="53" spans="1:15" s="16" customFormat="1" x14ac:dyDescent="0.25">
      <c r="A53" s="57">
        <v>210</v>
      </c>
      <c r="B53" s="57" t="s">
        <v>263</v>
      </c>
      <c r="C53" s="57" t="s">
        <v>262</v>
      </c>
      <c r="D53" s="58">
        <v>0.06</v>
      </c>
      <c r="E53" s="57" t="s">
        <v>35</v>
      </c>
      <c r="F53" s="63">
        <v>1</v>
      </c>
      <c r="G53" s="63"/>
      <c r="H53" s="63"/>
      <c r="I53" s="58">
        <f t="shared" si="2"/>
        <v>0.06</v>
      </c>
      <c r="J53" s="42"/>
      <c r="K53" s="42"/>
      <c r="L53" s="42"/>
      <c r="M53" s="42"/>
      <c r="N53" s="42"/>
      <c r="O53" s="53"/>
    </row>
    <row r="54" spans="1:15" x14ac:dyDescent="0.25">
      <c r="A54" s="52"/>
      <c r="B54" s="15"/>
      <c r="C54" s="15"/>
      <c r="D54" s="15"/>
      <c r="E54" s="15"/>
      <c r="F54" s="15"/>
      <c r="G54" s="15"/>
      <c r="H54" s="98" t="s">
        <v>18</v>
      </c>
      <c r="I54" s="99">
        <f>SUM(I33:I53)</f>
        <v>9.1900000000000013</v>
      </c>
      <c r="J54" s="41"/>
      <c r="K54" s="41"/>
      <c r="L54" s="41"/>
      <c r="M54" s="41"/>
      <c r="N54" s="41"/>
      <c r="O54" s="47"/>
    </row>
    <row r="55" spans="1:15" x14ac:dyDescent="0.25">
      <c r="A55" s="48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7"/>
    </row>
    <row r="56" spans="1:15" x14ac:dyDescent="0.25">
      <c r="A56" s="97" t="s">
        <v>14</v>
      </c>
      <c r="B56" s="97" t="s">
        <v>36</v>
      </c>
      <c r="C56" s="97" t="s">
        <v>20</v>
      </c>
      <c r="D56" s="97" t="s">
        <v>21</v>
      </c>
      <c r="E56" s="97" t="s">
        <v>22</v>
      </c>
      <c r="F56" s="97" t="s">
        <v>23</v>
      </c>
      <c r="G56" s="97" t="s">
        <v>24</v>
      </c>
      <c r="H56" s="97" t="s">
        <v>25</v>
      </c>
      <c r="I56" s="97" t="s">
        <v>17</v>
      </c>
      <c r="J56" s="97" t="s">
        <v>18</v>
      </c>
      <c r="K56" s="41"/>
      <c r="L56" s="41"/>
      <c r="M56" s="41"/>
      <c r="N56" s="41"/>
      <c r="O56" s="47"/>
    </row>
    <row r="57" spans="1:15" x14ac:dyDescent="0.25">
      <c r="A57" s="57">
        <v>10</v>
      </c>
      <c r="B57" s="57" t="s">
        <v>156</v>
      </c>
      <c r="C57" s="57" t="s">
        <v>261</v>
      </c>
      <c r="D57" s="114">
        <v>0.02</v>
      </c>
      <c r="E57" s="113">
        <v>5</v>
      </c>
      <c r="F57" s="113" t="s">
        <v>30</v>
      </c>
      <c r="G57" s="113">
        <v>10</v>
      </c>
      <c r="H57" s="113" t="s">
        <v>30</v>
      </c>
      <c r="I57" s="64">
        <v>1</v>
      </c>
      <c r="J57" s="58">
        <f t="shared" ref="J57:J63" si="3">I57*D57</f>
        <v>0.02</v>
      </c>
      <c r="K57" s="41"/>
      <c r="L57" s="41"/>
      <c r="M57" s="41"/>
      <c r="N57" s="41"/>
      <c r="O57" s="47"/>
    </row>
    <row r="58" spans="1:15" x14ac:dyDescent="0.25">
      <c r="A58" s="57">
        <v>20</v>
      </c>
      <c r="B58" s="57" t="s">
        <v>38</v>
      </c>
      <c r="C58" s="57" t="s">
        <v>261</v>
      </c>
      <c r="D58" s="114">
        <v>0.02</v>
      </c>
      <c r="E58" s="113">
        <v>5</v>
      </c>
      <c r="F58" s="113" t="s">
        <v>30</v>
      </c>
      <c r="G58" s="113"/>
      <c r="H58" s="113"/>
      <c r="I58" s="64">
        <v>1</v>
      </c>
      <c r="J58" s="58">
        <f t="shared" si="3"/>
        <v>0.02</v>
      </c>
      <c r="K58" s="41"/>
      <c r="L58" s="41"/>
      <c r="M58" s="41"/>
      <c r="N58" s="41"/>
      <c r="O58" s="47"/>
    </row>
    <row r="59" spans="1:15" x14ac:dyDescent="0.25">
      <c r="A59" s="57">
        <v>30</v>
      </c>
      <c r="B59" s="57" t="s">
        <v>156</v>
      </c>
      <c r="C59" s="57" t="s">
        <v>260</v>
      </c>
      <c r="D59" s="114">
        <v>0.02</v>
      </c>
      <c r="E59" s="113">
        <v>5</v>
      </c>
      <c r="F59" s="113" t="s">
        <v>30</v>
      </c>
      <c r="G59" s="113">
        <v>10</v>
      </c>
      <c r="H59" s="113" t="s">
        <v>30</v>
      </c>
      <c r="I59" s="64">
        <v>1</v>
      </c>
      <c r="J59" s="58">
        <f t="shared" si="3"/>
        <v>0.02</v>
      </c>
      <c r="K59" s="41"/>
      <c r="L59" s="41"/>
      <c r="M59" s="41"/>
      <c r="N59" s="41"/>
      <c r="O59" s="47"/>
    </row>
    <row r="60" spans="1:15" x14ac:dyDescent="0.25">
      <c r="A60" s="57">
        <v>40</v>
      </c>
      <c r="B60" s="57" t="s">
        <v>156</v>
      </c>
      <c r="C60" s="57" t="s">
        <v>259</v>
      </c>
      <c r="D60" s="114">
        <v>0.04</v>
      </c>
      <c r="E60" s="113">
        <v>6</v>
      </c>
      <c r="F60" s="113" t="s">
        <v>30</v>
      </c>
      <c r="G60" s="113">
        <v>16</v>
      </c>
      <c r="H60" s="113" t="s">
        <v>30</v>
      </c>
      <c r="I60" s="64">
        <v>2</v>
      </c>
      <c r="J60" s="58">
        <f t="shared" si="3"/>
        <v>0.08</v>
      </c>
      <c r="K60" s="41"/>
      <c r="L60" s="41"/>
      <c r="M60" s="41"/>
      <c r="N60" s="41"/>
      <c r="O60" s="47"/>
    </row>
    <row r="61" spans="1:15" x14ac:dyDescent="0.25">
      <c r="A61" s="57">
        <v>50</v>
      </c>
      <c r="B61" s="57" t="s">
        <v>38</v>
      </c>
      <c r="C61" s="57" t="s">
        <v>259</v>
      </c>
      <c r="D61" s="114">
        <v>0.03</v>
      </c>
      <c r="E61" s="113">
        <v>6</v>
      </c>
      <c r="F61" s="113" t="s">
        <v>30</v>
      </c>
      <c r="G61" s="113"/>
      <c r="H61" s="113"/>
      <c r="I61" s="64">
        <v>2</v>
      </c>
      <c r="J61" s="58">
        <f t="shared" si="3"/>
        <v>0.06</v>
      </c>
      <c r="K61" s="41"/>
      <c r="L61" s="41"/>
      <c r="M61" s="41"/>
      <c r="N61" s="41"/>
      <c r="O61" s="47"/>
    </row>
    <row r="62" spans="1:15" x14ac:dyDescent="0.25">
      <c r="A62" s="57">
        <v>60</v>
      </c>
      <c r="B62" s="57" t="s">
        <v>37</v>
      </c>
      <c r="C62" s="57" t="s">
        <v>259</v>
      </c>
      <c r="D62" s="114">
        <v>0.01</v>
      </c>
      <c r="E62" s="113">
        <v>6</v>
      </c>
      <c r="F62" s="113" t="s">
        <v>30</v>
      </c>
      <c r="G62" s="113"/>
      <c r="H62" s="113"/>
      <c r="I62" s="64">
        <v>2</v>
      </c>
      <c r="J62" s="58">
        <f t="shared" si="3"/>
        <v>0.02</v>
      </c>
      <c r="K62" s="41"/>
      <c r="L62" s="41"/>
      <c r="M62" s="41"/>
      <c r="N62" s="41"/>
      <c r="O62" s="47"/>
    </row>
    <row r="63" spans="1:15" x14ac:dyDescent="0.25">
      <c r="A63" s="57">
        <v>70</v>
      </c>
      <c r="B63" s="57" t="s">
        <v>258</v>
      </c>
      <c r="C63" s="57" t="s">
        <v>257</v>
      </c>
      <c r="D63" s="114">
        <v>0.8</v>
      </c>
      <c r="E63" s="113">
        <v>75</v>
      </c>
      <c r="F63" s="113" t="s">
        <v>30</v>
      </c>
      <c r="G63" s="113"/>
      <c r="H63" s="113"/>
      <c r="I63" s="64">
        <v>1</v>
      </c>
      <c r="J63" s="58">
        <f t="shared" si="3"/>
        <v>0.8</v>
      </c>
      <c r="K63" s="41"/>
      <c r="L63" s="41"/>
      <c r="M63" s="41"/>
      <c r="N63" s="41"/>
      <c r="O63" s="47"/>
    </row>
    <row r="64" spans="1:15" x14ac:dyDescent="0.25">
      <c r="A64" s="52"/>
      <c r="B64" s="15"/>
      <c r="C64" s="15"/>
      <c r="D64" s="15"/>
      <c r="E64" s="15"/>
      <c r="F64" s="15"/>
      <c r="G64" s="15"/>
      <c r="H64" s="15"/>
      <c r="I64" s="98" t="s">
        <v>18</v>
      </c>
      <c r="J64" s="99">
        <f>SUM(J57:J63)</f>
        <v>1.02</v>
      </c>
      <c r="K64" s="41"/>
      <c r="L64" s="41"/>
      <c r="M64" s="41"/>
      <c r="N64" s="41"/>
      <c r="O64" s="47"/>
    </row>
    <row r="65" spans="1:15" x14ac:dyDescent="0.25">
      <c r="A65" s="48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7"/>
    </row>
    <row r="66" spans="1:15" ht="15.75" thickBot="1" x14ac:dyDescent="0.3">
      <c r="A66" s="54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6"/>
    </row>
    <row r="67" spans="1:15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</row>
  </sheetData>
  <hyperlinks>
    <hyperlink ref="B10" location="EN_0400_001" display="EN_0400_001" xr:uid="{00000000-0004-0000-0200-000000000000}"/>
    <hyperlink ref="B11" location="EN_0400_002" display="EN_0400_002" xr:uid="{00000000-0004-0000-0200-000001000000}"/>
    <hyperlink ref="B12" location="EN_0400_003" display="Throttle Housing" xr:uid="{00000000-0004-0000-0200-000002000000}"/>
    <hyperlink ref="B13" location="EN_0400_004" display="Throttle Axle" xr:uid="{00000000-0004-0000-0200-000003000000}"/>
    <hyperlink ref="B14" location="EN_0400_005" display="TPS Axle" xr:uid="{00000000-0004-0000-0200-000004000000}"/>
    <hyperlink ref="B15" location="EN_0400_006" display="Cable Housing" xr:uid="{00000000-0004-0000-0200-000005000000}"/>
    <hyperlink ref="B16" location="EN_0400_007" display="Axle Stop" xr:uid="{00000000-0004-0000-0200-000006000000}"/>
    <hyperlink ref="B17" location="EN_0400_008" display="Ram Pipe" xr:uid="{00000000-0004-0000-0200-000007000000}"/>
    <hyperlink ref="B18" location="EN_0400_009" display="Throttle Plate" xr:uid="{00000000-0004-0000-0200-000008000000}"/>
    <hyperlink ref="E2" location="EN_A0400_BOM" display="Back to BOM" xr:uid="{30B720B9-686F-42D7-8EF4-0B8FE3CABE42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66" max="16383" man="1"/>
  </row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3285-FD9C-4108-8158-03A142E5C5F2}">
  <sheetPr>
    <tabColor theme="6" tint="0.39997558519241921"/>
    <pageSetUpPr fitToPage="1"/>
  </sheetPr>
  <dimension ref="A1:O23"/>
  <sheetViews>
    <sheetView zoomScale="85" zoomScaleNormal="85" workbookViewId="0">
      <selection activeCell="G2" sqref="G2"/>
    </sheetView>
  </sheetViews>
  <sheetFormatPr baseColWidth="10" defaultColWidth="9.140625" defaultRowHeight="15" x14ac:dyDescent="0.25"/>
  <cols>
    <col min="3" max="3" width="24.7109375" customWidth="1"/>
    <col min="5" max="5" width="10.140625" customWidth="1"/>
    <col min="7" max="7" width="10.7109375" customWidth="1"/>
    <col min="9" max="9" width="25.140625" customWidth="1"/>
    <col min="15" max="15" width="3.140625" customWidth="1"/>
  </cols>
  <sheetData>
    <row r="1" spans="1:15" x14ac:dyDescent="0.25">
      <c r="A1" s="133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EN_0400_001_m+EN_0400_001_p</f>
        <v>5.1789856000000007</v>
      </c>
      <c r="O2" s="47"/>
    </row>
    <row r="3" spans="1:15" x14ac:dyDescent="0.25">
      <c r="A3" s="103" t="s">
        <v>3</v>
      </c>
      <c r="B3" s="11" t="str">
        <f>EN_A0400!B3</f>
        <v>Engine and Drivetrain</v>
      </c>
      <c r="C3" s="41"/>
      <c r="D3" s="103" t="s">
        <v>6</v>
      </c>
      <c r="E3" s="70"/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47"/>
    </row>
    <row r="4" spans="1:15" x14ac:dyDescent="0.25">
      <c r="A4" s="103" t="s">
        <v>5</v>
      </c>
      <c r="B4" s="69" t="str">
        <f>EN_A0400!B4</f>
        <v>Throttle Body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313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5.1789856000000007</v>
      </c>
      <c r="O5" s="47"/>
    </row>
    <row r="6" spans="1:15" x14ac:dyDescent="0.25">
      <c r="A6" s="103" t="s">
        <v>7</v>
      </c>
      <c r="B6" s="17" t="s">
        <v>255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 t="s">
        <v>312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20" t="s">
        <v>23</v>
      </c>
      <c r="G10" s="120" t="s">
        <v>24</v>
      </c>
      <c r="H10" s="120" t="s">
        <v>25</v>
      </c>
      <c r="I10" s="120" t="s">
        <v>26</v>
      </c>
      <c r="J10" s="120" t="s">
        <v>27</v>
      </c>
      <c r="K10" s="120" t="s">
        <v>28</v>
      </c>
      <c r="L10" s="120" t="s">
        <v>29</v>
      </c>
      <c r="M10" s="120" t="s">
        <v>17</v>
      </c>
      <c r="N10" s="120" t="s">
        <v>18</v>
      </c>
      <c r="O10" s="47"/>
    </row>
    <row r="11" spans="1:15" s="14" customFormat="1" x14ac:dyDescent="0.25">
      <c r="A11" s="132">
        <v>10</v>
      </c>
      <c r="B11" s="131" t="s">
        <v>224</v>
      </c>
      <c r="C11" s="130" t="s">
        <v>215</v>
      </c>
      <c r="D11" s="123">
        <v>4.2</v>
      </c>
      <c r="E11" s="130">
        <v>0.17399999999999999</v>
      </c>
      <c r="F11" s="130" t="s">
        <v>144</v>
      </c>
      <c r="G11" s="130"/>
      <c r="H11" s="129"/>
      <c r="I11" s="128" t="s">
        <v>311</v>
      </c>
      <c r="J11" s="163">
        <f>0.04*0.02</f>
        <v>8.0000000000000004E-4</v>
      </c>
      <c r="K11" s="126">
        <v>0.08</v>
      </c>
      <c r="L11" s="125">
        <v>2712</v>
      </c>
      <c r="M11" s="124">
        <v>1</v>
      </c>
      <c r="N11" s="123">
        <f>IF(J11="",D11*M11,D11*J11*K11*L11*M11)</f>
        <v>0.72898560000000012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22" t="s">
        <v>18</v>
      </c>
      <c r="N12" s="106">
        <f>SUM(N11:N11)</f>
        <v>0.72898560000000012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21" t="s">
        <v>14</v>
      </c>
      <c r="B14" s="120" t="s">
        <v>31</v>
      </c>
      <c r="C14" s="120" t="s">
        <v>20</v>
      </c>
      <c r="D14" s="120" t="s">
        <v>21</v>
      </c>
      <c r="E14" s="120" t="s">
        <v>32</v>
      </c>
      <c r="F14" s="120" t="s">
        <v>17</v>
      </c>
      <c r="G14" s="120" t="s">
        <v>33</v>
      </c>
      <c r="H14" s="120" t="s">
        <v>34</v>
      </c>
      <c r="I14" s="12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310</v>
      </c>
      <c r="C16" s="57"/>
      <c r="D16" s="58">
        <v>0.35</v>
      </c>
      <c r="E16" s="57" t="s">
        <v>309</v>
      </c>
      <c r="F16" s="63">
        <v>5</v>
      </c>
      <c r="G16" s="63"/>
      <c r="H16" s="63"/>
      <c r="I16" s="58">
        <f>IF(H16="",D16*F16,D16*F16*H16)</f>
        <v>1.75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145</v>
      </c>
      <c r="C17" s="57"/>
      <c r="D17" s="58">
        <v>0.04</v>
      </c>
      <c r="E17" s="57" t="s">
        <v>147</v>
      </c>
      <c r="F17" s="63">
        <v>35</v>
      </c>
      <c r="G17" s="63" t="s">
        <v>308</v>
      </c>
      <c r="H17" s="63">
        <v>1</v>
      </c>
      <c r="I17" s="58">
        <f>IF(H17="",D17*F17,D17*F17*H17)</f>
        <v>1.4000000000000001</v>
      </c>
      <c r="J17" s="42"/>
      <c r="K17" s="42"/>
      <c r="L17" s="42"/>
      <c r="M17" s="42"/>
      <c r="N17" s="42"/>
      <c r="O17" s="53"/>
    </row>
    <row r="18" spans="1:15" x14ac:dyDescent="0.25">
      <c r="A18" s="52"/>
      <c r="B18" s="15"/>
      <c r="C18" s="15"/>
      <c r="D18" s="15"/>
      <c r="E18" s="15"/>
      <c r="F18" s="15"/>
      <c r="G18" s="15"/>
      <c r="H18" s="109" t="s">
        <v>18</v>
      </c>
      <c r="I18" s="106">
        <f>SUM(I15:I17)</f>
        <v>4.45</v>
      </c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9"/>
      <c r="I19" s="118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9"/>
      <c r="I20" s="118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9"/>
      <c r="I21" s="118"/>
      <c r="J21" s="15"/>
      <c r="K21" s="15"/>
      <c r="L21" s="15"/>
      <c r="M21" s="15"/>
      <c r="N21" s="15"/>
      <c r="O21" s="47"/>
    </row>
    <row r="22" spans="1:15" x14ac:dyDescent="0.25">
      <c r="A22" s="52"/>
      <c r="B22" s="15"/>
      <c r="C22" s="15"/>
      <c r="D22" s="15"/>
      <c r="E22" s="15"/>
      <c r="F22" s="15"/>
      <c r="G22" s="15"/>
      <c r="H22" s="119"/>
      <c r="I22" s="118"/>
      <c r="J22" s="15"/>
      <c r="K22" s="15"/>
      <c r="L22" s="15"/>
      <c r="M22" s="15"/>
      <c r="N22" s="15"/>
      <c r="O22" s="47"/>
    </row>
    <row r="23" spans="1:15" ht="15.75" thickBot="1" x14ac:dyDescent="0.3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</sheetData>
  <hyperlinks>
    <hyperlink ref="B4" location="EN_A0400" display="EN_A0400" xr:uid="{00000000-0004-0000-0300-000000000000}"/>
    <hyperlink ref="G2" location="EN_A0400_BOM" display="Back to BOM" xr:uid="{9DAE234D-7F0B-4F0C-A1F1-9D2E1DFB56DA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68B2-22F7-4A2A-9FA2-F2737D26B14A}">
  <sheetPr>
    <tabColor theme="6" tint="0.39997558519241921"/>
  </sheetPr>
  <dimension ref="A1:O24"/>
  <sheetViews>
    <sheetView zoomScaleNormal="100"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28.140625" customWidth="1"/>
    <col min="5" max="5" width="10.140625" customWidth="1"/>
    <col min="7" max="7" width="11" customWidth="1"/>
    <col min="9" max="9" width="29.7109375" customWidth="1"/>
    <col min="15" max="15" width="3.140625" customWidth="1"/>
  </cols>
  <sheetData>
    <row r="1" spans="1:15" x14ac:dyDescent="0.25">
      <c r="A1" s="133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EN_0400_002_m+EN_0400_002_p</f>
        <v>5.7292000000000005</v>
      </c>
      <c r="O2" s="47"/>
    </row>
    <row r="3" spans="1:15" x14ac:dyDescent="0.25">
      <c r="A3" s="103" t="s">
        <v>3</v>
      </c>
      <c r="B3" s="11" t="str">
        <f>EN_A0400!B3</f>
        <v>Engine and Drivetrain</v>
      </c>
      <c r="C3" s="41"/>
      <c r="D3" s="103" t="s">
        <v>6</v>
      </c>
      <c r="E3" s="70"/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47"/>
    </row>
    <row r="4" spans="1:15" x14ac:dyDescent="0.25">
      <c r="A4" s="103" t="s">
        <v>5</v>
      </c>
      <c r="B4" s="69" t="str">
        <f>EN_A0400!B4</f>
        <v>Throttle Body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317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5.7292000000000005</v>
      </c>
      <c r="O5" s="47"/>
    </row>
    <row r="6" spans="1:15" x14ac:dyDescent="0.25">
      <c r="A6" s="103" t="s">
        <v>7</v>
      </c>
      <c r="B6" s="17" t="s">
        <v>254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 t="s">
        <v>312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20" t="s">
        <v>23</v>
      </c>
      <c r="G10" s="120" t="s">
        <v>24</v>
      </c>
      <c r="H10" s="120" t="s">
        <v>25</v>
      </c>
      <c r="I10" s="120" t="s">
        <v>26</v>
      </c>
      <c r="J10" s="120" t="s">
        <v>27</v>
      </c>
      <c r="K10" s="120" t="s">
        <v>28</v>
      </c>
      <c r="L10" s="120" t="s">
        <v>29</v>
      </c>
      <c r="M10" s="120" t="s">
        <v>17</v>
      </c>
      <c r="N10" s="120" t="s">
        <v>18</v>
      </c>
      <c r="O10" s="47"/>
    </row>
    <row r="11" spans="1:15" s="14" customFormat="1" x14ac:dyDescent="0.25">
      <c r="A11" s="132">
        <v>10</v>
      </c>
      <c r="B11" s="131" t="s">
        <v>224</v>
      </c>
      <c r="C11" s="130" t="s">
        <v>215</v>
      </c>
      <c r="D11" s="123">
        <v>4.2</v>
      </c>
      <c r="E11" s="130">
        <v>0.376</v>
      </c>
      <c r="F11" s="130" t="s">
        <v>144</v>
      </c>
      <c r="G11" s="130"/>
      <c r="H11" s="129"/>
      <c r="I11" s="128" t="s">
        <v>316</v>
      </c>
      <c r="J11" s="164">
        <v>1.3799999999999999E-3</v>
      </c>
      <c r="K11" s="126">
        <v>0.1</v>
      </c>
      <c r="L11" s="125">
        <v>2712</v>
      </c>
      <c r="M11" s="124">
        <v>1</v>
      </c>
      <c r="N11" s="123">
        <f>E11*D11</f>
        <v>1.5792000000000002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22" t="s">
        <v>18</v>
      </c>
      <c r="N12" s="106">
        <f>SUM(N11:N11)</f>
        <v>1.5792000000000002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21" t="s">
        <v>14</v>
      </c>
      <c r="B14" s="120" t="s">
        <v>31</v>
      </c>
      <c r="C14" s="120" t="s">
        <v>20</v>
      </c>
      <c r="D14" s="120" t="s">
        <v>21</v>
      </c>
      <c r="E14" s="120" t="s">
        <v>32</v>
      </c>
      <c r="F14" s="120" t="s">
        <v>17</v>
      </c>
      <c r="G14" s="120" t="s">
        <v>33</v>
      </c>
      <c r="H14" s="120" t="s">
        <v>34</v>
      </c>
      <c r="I14" s="12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145</v>
      </c>
      <c r="C16" s="57" t="s">
        <v>315</v>
      </c>
      <c r="D16" s="58">
        <v>0.04</v>
      </c>
      <c r="E16" s="57" t="s">
        <v>147</v>
      </c>
      <c r="F16" s="63">
        <v>35</v>
      </c>
      <c r="G16" s="63" t="s">
        <v>308</v>
      </c>
      <c r="H16" s="63">
        <v>1</v>
      </c>
      <c r="I16" s="58">
        <f>IF(H16="",D16*F16,D16*F16*H16)</f>
        <v>1.4000000000000001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314</v>
      </c>
      <c r="C17" s="57"/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145</v>
      </c>
      <c r="C18" s="57"/>
      <c r="D18" s="58">
        <v>0.04</v>
      </c>
      <c r="E18" s="57" t="s">
        <v>147</v>
      </c>
      <c r="F18" s="63">
        <v>20</v>
      </c>
      <c r="G18" s="63" t="s">
        <v>308</v>
      </c>
      <c r="H18" s="63">
        <v>1</v>
      </c>
      <c r="I18" s="58">
        <f>IF(H18="",D18*F18,D18*F18*H18)</f>
        <v>0.8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9" t="s">
        <v>18</v>
      </c>
      <c r="I19" s="106">
        <f>SUM(I15:I18)</f>
        <v>4.1500000000000004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9"/>
      <c r="I20" s="118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9"/>
      <c r="I21" s="118"/>
      <c r="J21" s="15"/>
      <c r="K21" s="15"/>
      <c r="L21" s="15"/>
      <c r="M21" s="15"/>
      <c r="N21" s="15"/>
      <c r="O21" s="47"/>
    </row>
    <row r="22" spans="1:15" x14ac:dyDescent="0.25">
      <c r="A22" s="52"/>
      <c r="B22" s="15"/>
      <c r="C22" s="15"/>
      <c r="D22" s="15"/>
      <c r="E22" s="15"/>
      <c r="F22" s="15"/>
      <c r="G22" s="15"/>
      <c r="H22" s="119"/>
      <c r="I22" s="118"/>
      <c r="J22" s="15"/>
      <c r="K22" s="15"/>
      <c r="L22" s="15"/>
      <c r="M22" s="15"/>
      <c r="N22" s="15"/>
      <c r="O22" s="47"/>
    </row>
    <row r="23" spans="1:15" x14ac:dyDescent="0.25">
      <c r="A23" s="52"/>
      <c r="B23" s="15"/>
      <c r="C23" s="15"/>
      <c r="D23" s="15"/>
      <c r="E23" s="15"/>
      <c r="F23" s="15"/>
      <c r="G23" s="15"/>
      <c r="H23" s="119"/>
      <c r="I23" s="118"/>
      <c r="J23" s="15"/>
      <c r="K23" s="15"/>
      <c r="L23" s="15"/>
      <c r="M23" s="15"/>
      <c r="N23" s="15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400" display="EN_A0400" xr:uid="{00000000-0004-0000-0400-000000000000}"/>
    <hyperlink ref="G2" location="EN_A0400_BOM" display="Back to BOM" xr:uid="{2E891728-7F3F-449F-9544-5B22007B3589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FD81-32E8-4766-965D-97ACF9BF3F09}">
  <sheetPr>
    <tabColor theme="6" tint="0.39997558519241921"/>
  </sheetPr>
  <dimension ref="A1:O21"/>
  <sheetViews>
    <sheetView zoomScale="85" zoomScaleNormal="85" workbookViewId="0">
      <selection activeCell="G2" sqref="G2"/>
    </sheetView>
  </sheetViews>
  <sheetFormatPr baseColWidth="10" defaultColWidth="9.140625" defaultRowHeight="15" x14ac:dyDescent="0.25"/>
  <cols>
    <col min="2" max="2" width="32.7109375" customWidth="1"/>
    <col min="3" max="3" width="17.7109375" customWidth="1"/>
    <col min="7" max="7" width="13.7109375" customWidth="1"/>
    <col min="15" max="15" width="3.140625" customWidth="1"/>
  </cols>
  <sheetData>
    <row r="1" spans="1:15" x14ac:dyDescent="0.25">
      <c r="A1" s="133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EN_0400_003_m+EN_0400_003_p</f>
        <v>4.2741999999999996</v>
      </c>
      <c r="O2" s="47"/>
    </row>
    <row r="3" spans="1:15" x14ac:dyDescent="0.25">
      <c r="A3" s="103" t="s">
        <v>3</v>
      </c>
      <c r="B3" s="11" t="str">
        <f>EN_A0400!B3</f>
        <v>Engine and Drivetrain</v>
      </c>
      <c r="C3" s="41"/>
      <c r="D3" s="103" t="s">
        <v>6</v>
      </c>
      <c r="E3" s="70"/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47"/>
    </row>
    <row r="4" spans="1:15" x14ac:dyDescent="0.25">
      <c r="A4" s="103" t="s">
        <v>5</v>
      </c>
      <c r="B4" s="69" t="str">
        <f>EN_A0400!B4</f>
        <v>Throttle Body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304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4.2741999999999996</v>
      </c>
      <c r="O5" s="47"/>
    </row>
    <row r="6" spans="1:15" x14ac:dyDescent="0.25">
      <c r="A6" s="103" t="s">
        <v>7</v>
      </c>
      <c r="B6" s="17" t="s">
        <v>253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 t="s">
        <v>312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20" t="s">
        <v>23</v>
      </c>
      <c r="G10" s="120" t="s">
        <v>24</v>
      </c>
      <c r="H10" s="120" t="s">
        <v>25</v>
      </c>
      <c r="I10" s="120" t="s">
        <v>26</v>
      </c>
      <c r="J10" s="120" t="s">
        <v>27</v>
      </c>
      <c r="K10" s="120" t="s">
        <v>28</v>
      </c>
      <c r="L10" s="120" t="s">
        <v>29</v>
      </c>
      <c r="M10" s="120" t="s">
        <v>17</v>
      </c>
      <c r="N10" s="120" t="s">
        <v>18</v>
      </c>
      <c r="O10" s="47"/>
    </row>
    <row r="11" spans="1:15" s="14" customFormat="1" x14ac:dyDescent="0.25">
      <c r="A11" s="132">
        <v>10</v>
      </c>
      <c r="B11" s="131" t="s">
        <v>224</v>
      </c>
      <c r="C11" s="130" t="s">
        <v>215</v>
      </c>
      <c r="D11" s="123">
        <v>4.2</v>
      </c>
      <c r="E11" s="130">
        <v>0.20100000000000001</v>
      </c>
      <c r="F11" s="130" t="s">
        <v>144</v>
      </c>
      <c r="G11" s="130"/>
      <c r="H11" s="129"/>
      <c r="I11" s="128" t="s">
        <v>318</v>
      </c>
      <c r="J11" s="164">
        <f>0.045*0.03</f>
        <v>1.3499999999999999E-3</v>
      </c>
      <c r="K11" s="126">
        <v>0.06</v>
      </c>
      <c r="L11" s="125">
        <v>2712</v>
      </c>
      <c r="M11" s="124">
        <v>1</v>
      </c>
      <c r="N11" s="123">
        <f>D11*E11</f>
        <v>0.84420000000000006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22" t="s">
        <v>18</v>
      </c>
      <c r="N12" s="106">
        <f>SUM(N11:N11)</f>
        <v>0.84420000000000006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21" t="s">
        <v>14</v>
      </c>
      <c r="B14" s="120" t="s">
        <v>31</v>
      </c>
      <c r="C14" s="120" t="s">
        <v>20</v>
      </c>
      <c r="D14" s="120" t="s">
        <v>21</v>
      </c>
      <c r="E14" s="120" t="s">
        <v>32</v>
      </c>
      <c r="F14" s="120" t="s">
        <v>17</v>
      </c>
      <c r="G14" s="120" t="s">
        <v>33</v>
      </c>
      <c r="H14" s="120" t="s">
        <v>34</v>
      </c>
      <c r="I14" s="12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145</v>
      </c>
      <c r="C16" s="57"/>
      <c r="D16" s="58">
        <v>0.04</v>
      </c>
      <c r="E16" s="57" t="s">
        <v>147</v>
      </c>
      <c r="F16" s="63">
        <v>28</v>
      </c>
      <c r="G16" s="63" t="s">
        <v>308</v>
      </c>
      <c r="H16" s="63">
        <v>1</v>
      </c>
      <c r="I16" s="58">
        <f>IF(H16="",D16*F16,D16*F16*H16)</f>
        <v>1.1200000000000001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314</v>
      </c>
      <c r="C17" s="57"/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145</v>
      </c>
      <c r="C18" s="57"/>
      <c r="D18" s="58">
        <v>0.04</v>
      </c>
      <c r="E18" s="57" t="s">
        <v>147</v>
      </c>
      <c r="F18" s="63">
        <v>9</v>
      </c>
      <c r="G18" s="63" t="s">
        <v>308</v>
      </c>
      <c r="H18" s="63">
        <v>1</v>
      </c>
      <c r="I18" s="58">
        <f>IF(H18="",D18*F18,D18*F18*H18)</f>
        <v>0.36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9" t="s">
        <v>18</v>
      </c>
      <c r="I19" s="106">
        <f>SUM(I15:I18)</f>
        <v>3.4299999999999997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35"/>
      <c r="I20" s="134"/>
      <c r="J20" s="15"/>
      <c r="K20" s="15"/>
      <c r="L20" s="15"/>
      <c r="M20" s="15"/>
      <c r="N20" s="15"/>
      <c r="O20" s="47"/>
    </row>
    <row r="21" spans="1:15" ht="15.75" thickBo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</row>
  </sheetData>
  <hyperlinks>
    <hyperlink ref="B4" location="EN_A0400" display="EN_A0400" xr:uid="{00000000-0004-0000-0500-000000000000}"/>
    <hyperlink ref="G2" location="EN_A0400_BOM" display="Back to BOM" xr:uid="{C07CE53D-6488-47DF-ADAE-27694732DA8B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5799-D8BB-46D9-A46D-A9DE7AF07641}">
  <sheetPr>
    <tabColor theme="6" tint="0.39997558519241921"/>
  </sheetPr>
  <dimension ref="A1:O22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34.5703125" customWidth="1"/>
    <col min="5" max="5" width="10.140625" customWidth="1"/>
    <col min="7" max="7" width="8.85546875" customWidth="1"/>
    <col min="9" max="9" width="25.85546875" customWidth="1"/>
    <col min="15" max="15" width="3.140625" customWidth="1"/>
  </cols>
  <sheetData>
    <row r="1" spans="1:15" x14ac:dyDescent="0.25">
      <c r="A1" s="133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EN_0400_004_m+EN_0400_004_p</f>
        <v>2.7262499999999998</v>
      </c>
      <c r="O2" s="47"/>
    </row>
    <row r="3" spans="1:15" x14ac:dyDescent="0.25">
      <c r="A3" s="103" t="s">
        <v>3</v>
      </c>
      <c r="B3" s="11" t="str">
        <f>EN_A0400!B3</f>
        <v>Engine and Drivetrain</v>
      </c>
      <c r="C3" s="41"/>
      <c r="D3" s="103" t="s">
        <v>6</v>
      </c>
      <c r="E3" s="70"/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47"/>
    </row>
    <row r="4" spans="1:15" x14ac:dyDescent="0.25">
      <c r="A4" s="103" t="s">
        <v>5</v>
      </c>
      <c r="B4" s="69" t="str">
        <f>EN_A0400!B4</f>
        <v>Throttle Body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303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2.7262499999999998</v>
      </c>
      <c r="O5" s="47"/>
    </row>
    <row r="6" spans="1:15" x14ac:dyDescent="0.25">
      <c r="A6" s="103" t="s">
        <v>7</v>
      </c>
      <c r="B6" s="17" t="s">
        <v>252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 t="s">
        <v>312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20" t="s">
        <v>23</v>
      </c>
      <c r="G10" s="120" t="s">
        <v>24</v>
      </c>
      <c r="H10" s="120" t="s">
        <v>25</v>
      </c>
      <c r="I10" s="120" t="s">
        <v>26</v>
      </c>
      <c r="J10" s="120" t="s">
        <v>27</v>
      </c>
      <c r="K10" s="120" t="s">
        <v>28</v>
      </c>
      <c r="L10" s="120" t="s">
        <v>29</v>
      </c>
      <c r="M10" s="120" t="s">
        <v>17</v>
      </c>
      <c r="N10" s="120" t="s">
        <v>18</v>
      </c>
      <c r="O10" s="47"/>
    </row>
    <row r="11" spans="1:15" s="14" customFormat="1" x14ac:dyDescent="0.25">
      <c r="A11" s="132">
        <v>10</v>
      </c>
      <c r="B11" s="131" t="s">
        <v>245</v>
      </c>
      <c r="C11" s="130" t="s">
        <v>215</v>
      </c>
      <c r="D11" s="123">
        <v>2.25</v>
      </c>
      <c r="E11" s="130">
        <v>2.5000000000000001E-2</v>
      </c>
      <c r="F11" s="130" t="s">
        <v>144</v>
      </c>
      <c r="G11" s="130"/>
      <c r="H11" s="129"/>
      <c r="I11" s="128" t="s">
        <v>322</v>
      </c>
      <c r="J11" s="165">
        <v>7.8499999999999997E-5</v>
      </c>
      <c r="K11" s="126">
        <v>0.04</v>
      </c>
      <c r="L11" s="125">
        <v>7850</v>
      </c>
      <c r="M11" s="124">
        <v>1</v>
      </c>
      <c r="N11" s="123">
        <f>D11*E11</f>
        <v>5.6250000000000001E-2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22" t="s">
        <v>18</v>
      </c>
      <c r="N12" s="106">
        <f>SUM(N11:N11)</f>
        <v>5.6250000000000001E-2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21" t="s">
        <v>14</v>
      </c>
      <c r="B14" s="120" t="s">
        <v>31</v>
      </c>
      <c r="C14" s="120" t="s">
        <v>20</v>
      </c>
      <c r="D14" s="120" t="s">
        <v>21</v>
      </c>
      <c r="E14" s="120" t="s">
        <v>32</v>
      </c>
      <c r="F14" s="120" t="s">
        <v>17</v>
      </c>
      <c r="G14" s="120" t="s">
        <v>33</v>
      </c>
      <c r="H14" s="120" t="s">
        <v>34</v>
      </c>
      <c r="I14" s="12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145</v>
      </c>
      <c r="C16" s="57"/>
      <c r="D16" s="58">
        <v>0.04</v>
      </c>
      <c r="E16" s="57" t="s">
        <v>147</v>
      </c>
      <c r="F16" s="63">
        <v>4</v>
      </c>
      <c r="G16" s="63" t="s">
        <v>319</v>
      </c>
      <c r="H16" s="63">
        <v>3</v>
      </c>
      <c r="I16" s="58">
        <f>IF(H16="",D16*F16,D16*F16*H16)</f>
        <v>0.48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314</v>
      </c>
      <c r="C17" s="57" t="s">
        <v>321</v>
      </c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145</v>
      </c>
      <c r="C18" s="57" t="s">
        <v>320</v>
      </c>
      <c r="D18" s="58">
        <v>0.04</v>
      </c>
      <c r="E18" s="57" t="s">
        <v>147</v>
      </c>
      <c r="F18" s="63">
        <v>2</v>
      </c>
      <c r="G18" s="63" t="s">
        <v>319</v>
      </c>
      <c r="H18" s="63">
        <v>3</v>
      </c>
      <c r="I18" s="58">
        <f>IF(H18="",D18*F18,D18*F18*H18)</f>
        <v>0.24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9" t="s">
        <v>18</v>
      </c>
      <c r="I19" s="106">
        <f>SUM(I15:I18)</f>
        <v>2.67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9"/>
      <c r="I20" s="118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9"/>
      <c r="I21" s="118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0600-000000000000}"/>
    <hyperlink ref="G2" location="EN_A0400_BOM" display="Back to BOM" xr:uid="{E2E311BD-D3A0-499B-BB00-769C0719FB6F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0083-3F49-49C4-92E4-755EE5D512BE}">
  <sheetPr>
    <tabColor theme="6" tint="0.39997558519241921"/>
  </sheetPr>
  <dimension ref="A1:O22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33.1406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3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EN_0400_005_m+EN_0400_005_p</f>
        <v>2.7105000000000001</v>
      </c>
      <c r="O2" s="47"/>
    </row>
    <row r="3" spans="1:15" x14ac:dyDescent="0.25">
      <c r="A3" s="103" t="s">
        <v>3</v>
      </c>
      <c r="B3" s="11" t="str">
        <f>EN_A0400!B3</f>
        <v>Engine and Drivetrain</v>
      </c>
      <c r="C3" s="41"/>
      <c r="D3" s="103" t="s">
        <v>6</v>
      </c>
      <c r="E3" s="70"/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47"/>
    </row>
    <row r="4" spans="1:15" x14ac:dyDescent="0.25">
      <c r="A4" s="103" t="s">
        <v>5</v>
      </c>
      <c r="B4" s="69" t="str">
        <f>EN_A0400!B4</f>
        <v>Throttle Body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302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2.7105000000000001</v>
      </c>
      <c r="O5" s="47"/>
    </row>
    <row r="6" spans="1:15" x14ac:dyDescent="0.25">
      <c r="A6" s="103" t="s">
        <v>7</v>
      </c>
      <c r="B6" s="17" t="s">
        <v>251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 t="s">
        <v>312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20" t="s">
        <v>23</v>
      </c>
      <c r="G10" s="120" t="s">
        <v>24</v>
      </c>
      <c r="H10" s="120" t="s">
        <v>25</v>
      </c>
      <c r="I10" s="120" t="s">
        <v>26</v>
      </c>
      <c r="J10" s="120" t="s">
        <v>27</v>
      </c>
      <c r="K10" s="120" t="s">
        <v>28</v>
      </c>
      <c r="L10" s="120" t="s">
        <v>29</v>
      </c>
      <c r="M10" s="120" t="s">
        <v>17</v>
      </c>
      <c r="N10" s="120" t="s">
        <v>18</v>
      </c>
      <c r="O10" s="47"/>
    </row>
    <row r="11" spans="1:15" s="14" customFormat="1" x14ac:dyDescent="0.25">
      <c r="A11" s="132">
        <v>10</v>
      </c>
      <c r="B11" s="131" t="s">
        <v>245</v>
      </c>
      <c r="C11" s="130" t="s">
        <v>215</v>
      </c>
      <c r="D11" s="123">
        <v>2.25</v>
      </c>
      <c r="E11" s="130">
        <v>1.7999999999999999E-2</v>
      </c>
      <c r="F11" s="130" t="s">
        <v>144</v>
      </c>
      <c r="G11" s="130"/>
      <c r="H11" s="129"/>
      <c r="I11" s="128" t="s">
        <v>322</v>
      </c>
      <c r="J11" s="165">
        <v>7.8499999999999997E-5</v>
      </c>
      <c r="K11" s="126">
        <v>0.04</v>
      </c>
      <c r="L11" s="125">
        <v>7850</v>
      </c>
      <c r="M11" s="124">
        <v>1</v>
      </c>
      <c r="N11" s="123">
        <f>D11*E11</f>
        <v>4.0499999999999994E-2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22" t="s">
        <v>18</v>
      </c>
      <c r="N12" s="106">
        <f>SUM(N11:N11)</f>
        <v>4.0499999999999994E-2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21" t="s">
        <v>14</v>
      </c>
      <c r="B14" s="120" t="s">
        <v>31</v>
      </c>
      <c r="C14" s="120" t="s">
        <v>20</v>
      </c>
      <c r="D14" s="120" t="s">
        <v>21</v>
      </c>
      <c r="E14" s="120" t="s">
        <v>32</v>
      </c>
      <c r="F14" s="120" t="s">
        <v>17</v>
      </c>
      <c r="G14" s="120" t="s">
        <v>33</v>
      </c>
      <c r="H14" s="120" t="s">
        <v>34</v>
      </c>
      <c r="I14" s="12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145</v>
      </c>
      <c r="C16" s="57"/>
      <c r="D16" s="58">
        <v>0.04</v>
      </c>
      <c r="E16" s="57" t="s">
        <v>147</v>
      </c>
      <c r="F16" s="63">
        <v>4</v>
      </c>
      <c r="G16" s="63" t="s">
        <v>319</v>
      </c>
      <c r="H16" s="63">
        <v>3</v>
      </c>
      <c r="I16" s="58">
        <f>IF(H16="",D16*F16,D16*F16*H16)</f>
        <v>0.48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314</v>
      </c>
      <c r="C17" s="57" t="s">
        <v>321</v>
      </c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145</v>
      </c>
      <c r="C18" s="57" t="s">
        <v>320</v>
      </c>
      <c r="D18" s="58">
        <v>0.04</v>
      </c>
      <c r="E18" s="57" t="s">
        <v>147</v>
      </c>
      <c r="F18" s="63">
        <v>2</v>
      </c>
      <c r="G18" s="63" t="s">
        <v>319</v>
      </c>
      <c r="H18" s="63">
        <v>3</v>
      </c>
      <c r="I18" s="58">
        <f>IF(H18="",D18*F18,D18*F18*H18)</f>
        <v>0.24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9" t="s">
        <v>18</v>
      </c>
      <c r="I19" s="106">
        <f>SUM(I15:I18)</f>
        <v>2.67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9"/>
      <c r="I20" s="118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9"/>
      <c r="I21" s="118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0700-000000000000}"/>
    <hyperlink ref="G2" location="EN_A0400_BOM" display="Back to BOM" xr:uid="{D5EB5746-0C03-4BD3-AACB-7EAAA02FB981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EBA9-D017-41B3-8FA2-4705F7E25633}">
  <sheetPr>
    <tabColor theme="6" tint="0.39997558519241921"/>
  </sheetPr>
  <dimension ref="A1:O22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33.1406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3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EN_0400_006_m+EN_0400_006_p</f>
        <v>3.5687500000000001</v>
      </c>
      <c r="O2" s="47"/>
    </row>
    <row r="3" spans="1:15" x14ac:dyDescent="0.25">
      <c r="A3" s="103" t="s">
        <v>3</v>
      </c>
      <c r="B3" s="11" t="str">
        <f>EN_A0400!B3</f>
        <v>Engine and Drivetrain</v>
      </c>
      <c r="C3" s="41"/>
      <c r="D3" s="103" t="s">
        <v>6</v>
      </c>
      <c r="E3" s="70"/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47"/>
    </row>
    <row r="4" spans="1:15" x14ac:dyDescent="0.25">
      <c r="A4" s="103" t="s">
        <v>5</v>
      </c>
      <c r="B4" s="69" t="str">
        <f>EN_A0400!B4</f>
        <v>Throttle Body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301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3.5687500000000001</v>
      </c>
      <c r="O5" s="47"/>
    </row>
    <row r="6" spans="1:15" x14ac:dyDescent="0.25">
      <c r="A6" s="103" t="s">
        <v>7</v>
      </c>
      <c r="B6" s="17" t="s">
        <v>250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 t="s">
        <v>312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20" t="s">
        <v>23</v>
      </c>
      <c r="G10" s="120" t="s">
        <v>24</v>
      </c>
      <c r="H10" s="120" t="s">
        <v>25</v>
      </c>
      <c r="I10" s="120" t="s">
        <v>26</v>
      </c>
      <c r="J10" s="120" t="s">
        <v>27</v>
      </c>
      <c r="K10" s="120" t="s">
        <v>28</v>
      </c>
      <c r="L10" s="120" t="s">
        <v>29</v>
      </c>
      <c r="M10" s="120" t="s">
        <v>17</v>
      </c>
      <c r="N10" s="120" t="s">
        <v>18</v>
      </c>
      <c r="O10" s="47"/>
    </row>
    <row r="11" spans="1:15" s="14" customFormat="1" x14ac:dyDescent="0.25">
      <c r="A11" s="132">
        <v>10</v>
      </c>
      <c r="B11" s="131" t="s">
        <v>245</v>
      </c>
      <c r="C11" s="130" t="s">
        <v>215</v>
      </c>
      <c r="D11" s="123">
        <v>2.25</v>
      </c>
      <c r="E11" s="130">
        <v>7.4999999999999997E-2</v>
      </c>
      <c r="F11" s="130" t="s">
        <v>144</v>
      </c>
      <c r="G11" s="130"/>
      <c r="H11" s="129"/>
      <c r="I11" s="128" t="s">
        <v>324</v>
      </c>
      <c r="J11" s="165">
        <v>1.2E-4</v>
      </c>
      <c r="K11" s="126">
        <v>0.08</v>
      </c>
      <c r="L11" s="125">
        <v>7850</v>
      </c>
      <c r="M11" s="124">
        <v>1</v>
      </c>
      <c r="N11" s="123">
        <f>D11*E11</f>
        <v>0.16874999999999998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22" t="s">
        <v>18</v>
      </c>
      <c r="N12" s="106">
        <f>SUM(N11:N11)</f>
        <v>0.16874999999999998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21" t="s">
        <v>14</v>
      </c>
      <c r="B14" s="120" t="s">
        <v>31</v>
      </c>
      <c r="C14" s="120" t="s">
        <v>20</v>
      </c>
      <c r="D14" s="120" t="s">
        <v>21</v>
      </c>
      <c r="E14" s="120" t="s">
        <v>32</v>
      </c>
      <c r="F14" s="120" t="s">
        <v>17</v>
      </c>
      <c r="G14" s="120" t="s">
        <v>33</v>
      </c>
      <c r="H14" s="120" t="s">
        <v>34</v>
      </c>
      <c r="I14" s="12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323</v>
      </c>
      <c r="C16" s="57"/>
      <c r="D16" s="58">
        <v>0.01</v>
      </c>
      <c r="E16" s="57" t="s">
        <v>147</v>
      </c>
      <c r="F16" s="63">
        <v>35</v>
      </c>
      <c r="G16" s="63" t="s">
        <v>319</v>
      </c>
      <c r="H16" s="63">
        <v>3</v>
      </c>
      <c r="I16" s="58">
        <f>IF(H16="",D16*F16,D16*F16*H16)</f>
        <v>1.05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152</v>
      </c>
      <c r="C17" s="57"/>
      <c r="D17" s="58">
        <v>0.25</v>
      </c>
      <c r="E17" s="57" t="s">
        <v>150</v>
      </c>
      <c r="F17" s="63">
        <v>3</v>
      </c>
      <c r="G17" s="63"/>
      <c r="H17" s="63"/>
      <c r="I17" s="58">
        <f>IF(H17="",D17*F17,D17*F17*H17)</f>
        <v>0.75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138</v>
      </c>
      <c r="C18" s="57"/>
      <c r="D18" s="58">
        <v>0.15</v>
      </c>
      <c r="E18" s="57" t="s">
        <v>147</v>
      </c>
      <c r="F18" s="63">
        <v>2</v>
      </c>
      <c r="G18" s="63"/>
      <c r="H18" s="63"/>
      <c r="I18" s="58">
        <f>IF(H18="",D18*F18,D18*F18*H18)</f>
        <v>0.3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9" t="s">
        <v>18</v>
      </c>
      <c r="I19" s="106">
        <f>SUM(I15:I18)</f>
        <v>3.4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9"/>
      <c r="I20" s="118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9"/>
      <c r="I21" s="118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0800-000000000000}"/>
    <hyperlink ref="G2" location="EN_A0400_BOM" display="Back to BOM" xr:uid="{14415573-0A15-43AF-BEA0-69AA75546241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F7855-A25D-4AA8-9A78-85B34EC20DC9}">
  <sheetPr>
    <tabColor theme="6" tint="0.39997558519241921"/>
  </sheetPr>
  <dimension ref="A1:O22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17.710937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3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EN_0400_007_m+EN_0400_007_p</f>
        <v>2.0409999999999999</v>
      </c>
      <c r="O2" s="47"/>
    </row>
    <row r="3" spans="1:15" x14ac:dyDescent="0.25">
      <c r="A3" s="103" t="s">
        <v>3</v>
      </c>
      <c r="B3" s="11" t="str">
        <f>EN_A0400!B3</f>
        <v>Engine and Drivetrain</v>
      </c>
      <c r="C3" s="41"/>
      <c r="D3" s="103" t="s">
        <v>6</v>
      </c>
      <c r="E3" s="70"/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47"/>
    </row>
    <row r="4" spans="1:15" x14ac:dyDescent="0.25">
      <c r="A4" s="103" t="s">
        <v>5</v>
      </c>
      <c r="B4" s="69" t="str">
        <f>EN_A0400!B4</f>
        <v>Throttle Body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300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2.0409999999999999</v>
      </c>
      <c r="O5" s="47"/>
    </row>
    <row r="6" spans="1:15" x14ac:dyDescent="0.25">
      <c r="A6" s="103" t="s">
        <v>7</v>
      </c>
      <c r="B6" s="17" t="s">
        <v>249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 t="s">
        <v>312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20" t="s">
        <v>23</v>
      </c>
      <c r="G10" s="120" t="s">
        <v>24</v>
      </c>
      <c r="H10" s="120" t="s">
        <v>25</v>
      </c>
      <c r="I10" s="120" t="s">
        <v>26</v>
      </c>
      <c r="J10" s="120" t="s">
        <v>27</v>
      </c>
      <c r="K10" s="120" t="s">
        <v>28</v>
      </c>
      <c r="L10" s="120" t="s">
        <v>29</v>
      </c>
      <c r="M10" s="120" t="s">
        <v>17</v>
      </c>
      <c r="N10" s="120" t="s">
        <v>18</v>
      </c>
      <c r="O10" s="47"/>
    </row>
    <row r="11" spans="1:15" s="14" customFormat="1" x14ac:dyDescent="0.25">
      <c r="A11" s="132">
        <v>10</v>
      </c>
      <c r="B11" s="131" t="s">
        <v>245</v>
      </c>
      <c r="C11" s="130" t="s">
        <v>215</v>
      </c>
      <c r="D11" s="123">
        <v>2.25</v>
      </c>
      <c r="E11" s="130">
        <v>0.11600000000000001</v>
      </c>
      <c r="F11" s="130" t="s">
        <v>144</v>
      </c>
      <c r="G11" s="130"/>
      <c r="H11" s="129"/>
      <c r="I11" s="128" t="s">
        <v>325</v>
      </c>
      <c r="J11" s="165">
        <v>4.9100000000000001E-4</v>
      </c>
      <c r="K11" s="126">
        <v>0.03</v>
      </c>
      <c r="L11" s="125">
        <v>7850</v>
      </c>
      <c r="M11" s="124">
        <v>1</v>
      </c>
      <c r="N11" s="123">
        <f>D11*E11</f>
        <v>0.26100000000000001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22" t="s">
        <v>18</v>
      </c>
      <c r="N12" s="106">
        <f>SUM(N11:N11)</f>
        <v>0.26100000000000001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21" t="s">
        <v>14</v>
      </c>
      <c r="B14" s="120" t="s">
        <v>31</v>
      </c>
      <c r="C14" s="120" t="s">
        <v>20</v>
      </c>
      <c r="D14" s="120" t="s">
        <v>21</v>
      </c>
      <c r="E14" s="120" t="s">
        <v>32</v>
      </c>
      <c r="F14" s="120" t="s">
        <v>17</v>
      </c>
      <c r="G14" s="120" t="s">
        <v>33</v>
      </c>
      <c r="H14" s="120" t="s">
        <v>34</v>
      </c>
      <c r="I14" s="12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222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145</v>
      </c>
      <c r="C16" s="57"/>
      <c r="D16" s="58">
        <v>0.04</v>
      </c>
      <c r="E16" s="57" t="s">
        <v>147</v>
      </c>
      <c r="F16" s="63">
        <v>4</v>
      </c>
      <c r="G16" s="63" t="s">
        <v>319</v>
      </c>
      <c r="H16" s="63">
        <v>3</v>
      </c>
      <c r="I16" s="58">
        <f>IF(H16="",D16*F16,D16*F16*H16)</f>
        <v>0.48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9" t="s">
        <v>18</v>
      </c>
      <c r="I17" s="106">
        <f>SUM(I15:I16)</f>
        <v>1.78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9"/>
      <c r="I18" s="118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9"/>
      <c r="I19" s="118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9"/>
      <c r="I20" s="118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9"/>
      <c r="I21" s="118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0900-000000000000}"/>
    <hyperlink ref="G2" location="EN_A0400_BOM" display="Back to BOM" xr:uid="{B027893D-BE37-4D15-869B-61A82B1C5EDB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E9A75-2448-48B7-8FFB-2809EC6BF0C7}">
  <sheetPr>
    <tabColor theme="6" tint="0.39997558519241921"/>
  </sheetPr>
  <dimension ref="A1:O22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25" customWidth="1"/>
    <col min="5" max="5" width="10.140625" customWidth="1"/>
    <col min="7" max="7" width="11.5703125" customWidth="1"/>
    <col min="9" max="9" width="26.85546875" customWidth="1"/>
    <col min="15" max="15" width="3.140625" customWidth="1"/>
  </cols>
  <sheetData>
    <row r="1" spans="1:15" x14ac:dyDescent="0.25">
      <c r="A1" s="133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EN_0400_008_m+EN_0400_008_p</f>
        <v>12.5068</v>
      </c>
      <c r="O2" s="47"/>
    </row>
    <row r="3" spans="1:15" x14ac:dyDescent="0.25">
      <c r="A3" s="103" t="s">
        <v>3</v>
      </c>
      <c r="B3" s="11" t="str">
        <f>EN_A0400!B3</f>
        <v>Engine and Drivetrain</v>
      </c>
      <c r="C3" s="41"/>
      <c r="D3" s="103" t="s">
        <v>6</v>
      </c>
      <c r="E3" s="70"/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47"/>
    </row>
    <row r="4" spans="1:15" x14ac:dyDescent="0.25">
      <c r="A4" s="103" t="s">
        <v>5</v>
      </c>
      <c r="B4" s="69" t="str">
        <f>EN_A0400!B4</f>
        <v>Throttle Body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299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12.5068</v>
      </c>
      <c r="O5" s="47"/>
    </row>
    <row r="6" spans="1:15" x14ac:dyDescent="0.25">
      <c r="A6" s="103" t="s">
        <v>7</v>
      </c>
      <c r="B6" s="17" t="s">
        <v>248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 t="s">
        <v>312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20" t="s">
        <v>23</v>
      </c>
      <c r="G10" s="120" t="s">
        <v>24</v>
      </c>
      <c r="H10" s="120" t="s">
        <v>25</v>
      </c>
      <c r="I10" s="120" t="s">
        <v>26</v>
      </c>
      <c r="J10" s="120" t="s">
        <v>27</v>
      </c>
      <c r="K10" s="120" t="s">
        <v>28</v>
      </c>
      <c r="L10" s="120" t="s">
        <v>29</v>
      </c>
      <c r="M10" s="120" t="s">
        <v>17</v>
      </c>
      <c r="N10" s="120" t="s">
        <v>18</v>
      </c>
      <c r="O10" s="47"/>
    </row>
    <row r="11" spans="1:15" s="14" customFormat="1" x14ac:dyDescent="0.25">
      <c r="A11" s="132">
        <v>10</v>
      </c>
      <c r="B11" s="131" t="s">
        <v>224</v>
      </c>
      <c r="C11" s="130" t="s">
        <v>244</v>
      </c>
      <c r="D11" s="123">
        <v>4.2</v>
      </c>
      <c r="E11" s="166">
        <v>0.95399999999999996</v>
      </c>
      <c r="F11" s="130" t="s">
        <v>144</v>
      </c>
      <c r="G11" s="130"/>
      <c r="H11" s="129"/>
      <c r="I11" s="128" t="s">
        <v>326</v>
      </c>
      <c r="J11" s="165">
        <v>5.0299999999999997E-3</v>
      </c>
      <c r="K11" s="126">
        <v>7.0000000000000007E-2</v>
      </c>
      <c r="L11" s="136">
        <v>2712</v>
      </c>
      <c r="M11" s="124">
        <v>1</v>
      </c>
      <c r="N11" s="123">
        <f>D11*E11</f>
        <v>4.0068000000000001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22" t="s">
        <v>18</v>
      </c>
      <c r="N12" s="106">
        <f>SUM(N11:N11)</f>
        <v>4.0068000000000001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21" t="s">
        <v>14</v>
      </c>
      <c r="B14" s="120" t="s">
        <v>31</v>
      </c>
      <c r="C14" s="120" t="s">
        <v>20</v>
      </c>
      <c r="D14" s="120" t="s">
        <v>21</v>
      </c>
      <c r="E14" s="120" t="s">
        <v>32</v>
      </c>
      <c r="F14" s="120" t="s">
        <v>17</v>
      </c>
      <c r="G14" s="120" t="s">
        <v>33</v>
      </c>
      <c r="H14" s="120" t="s">
        <v>34</v>
      </c>
      <c r="I14" s="12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145</v>
      </c>
      <c r="C16" s="57"/>
      <c r="D16" s="58">
        <v>0.04</v>
      </c>
      <c r="E16" s="57" t="s">
        <v>147</v>
      </c>
      <c r="F16" s="63">
        <v>180</v>
      </c>
      <c r="G16" s="63" t="s">
        <v>308</v>
      </c>
      <c r="H16" s="63">
        <v>1</v>
      </c>
      <c r="I16" s="58">
        <f>IF(H16="",D16*F16,D16*F16*H16)</f>
        <v>7.2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9" t="s">
        <v>18</v>
      </c>
      <c r="I17" s="106">
        <f>SUM(I15:I16)</f>
        <v>8.5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9"/>
      <c r="I18" s="118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9"/>
      <c r="I19" s="118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9"/>
      <c r="I20" s="118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9"/>
      <c r="I21" s="118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0A00-000000000000}"/>
    <hyperlink ref="G2" location="EN_A0400_BOM" display="Back to BOM" xr:uid="{2DAEC19D-812A-4684-A157-FE81E531D7A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FE75-0544-46A2-BFC9-100CB7B4010A}">
  <sheetPr>
    <tabColor theme="6" tint="0.39997558519241921"/>
    <pageSetUpPr fitToPage="1"/>
  </sheetPr>
  <dimension ref="A1:O21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3" max="3" width="17.85546875" customWidth="1"/>
    <col min="7" max="7" width="23.7109375" customWidth="1"/>
    <col min="9" max="9" width="18.42578125" customWidth="1"/>
    <col min="12" max="12" width="12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EN_02001_m+EN_02001_p</f>
        <v>4.3537375941950689</v>
      </c>
      <c r="O2" s="47"/>
    </row>
    <row r="3" spans="1:15" x14ac:dyDescent="0.25">
      <c r="A3" s="103" t="s">
        <v>3</v>
      </c>
      <c r="B3" s="11" t="str">
        <f>'EN A0200'!B3</f>
        <v>Engine and Drivetrain</v>
      </c>
      <c r="C3" s="41"/>
      <c r="D3" s="103" t="s">
        <v>6</v>
      </c>
      <c r="E3" s="70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4</v>
      </c>
      <c r="O3" s="47"/>
    </row>
    <row r="4" spans="1:15" x14ac:dyDescent="0.25">
      <c r="A4" s="103" t="s">
        <v>5</v>
      </c>
      <c r="B4" s="69" t="str">
        <f>'EN A0200'!B4</f>
        <v>Exhaust System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89"/>
      <c r="O4" s="47"/>
    </row>
    <row r="5" spans="1:15" x14ac:dyDescent="0.25">
      <c r="A5" s="103" t="s">
        <v>15</v>
      </c>
      <c r="B5" s="13" t="s">
        <v>585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17.414950376780276</v>
      </c>
      <c r="O5" s="47"/>
    </row>
    <row r="6" spans="1:15" x14ac:dyDescent="0.25">
      <c r="A6" s="103" t="s">
        <v>7</v>
      </c>
      <c r="B6" s="17" t="s">
        <v>584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475" t="s">
        <v>23</v>
      </c>
      <c r="G10" s="475" t="s">
        <v>24</v>
      </c>
      <c r="H10" s="475" t="s">
        <v>25</v>
      </c>
      <c r="I10" s="475" t="s">
        <v>26</v>
      </c>
      <c r="J10" s="475" t="s">
        <v>27</v>
      </c>
      <c r="K10" s="475" t="s">
        <v>28</v>
      </c>
      <c r="L10" s="475" t="s">
        <v>29</v>
      </c>
      <c r="M10" s="475" t="s">
        <v>17</v>
      </c>
      <c r="N10" s="475" t="s">
        <v>18</v>
      </c>
      <c r="O10" s="47"/>
    </row>
    <row r="11" spans="1:15" s="14" customFormat="1" x14ac:dyDescent="0.25">
      <c r="A11" s="488">
        <v>10</v>
      </c>
      <c r="B11" s="487" t="s">
        <v>583</v>
      </c>
      <c r="C11" s="486" t="s">
        <v>582</v>
      </c>
      <c r="D11" s="478">
        <v>2.25</v>
      </c>
      <c r="E11" s="485">
        <f>PRODUCT(L11,J11,K11)</f>
        <v>0.28499448630891927</v>
      </c>
      <c r="F11" s="484" t="s">
        <v>144</v>
      </c>
      <c r="G11" s="484"/>
      <c r="H11" s="483"/>
      <c r="I11" s="482" t="s">
        <v>581</v>
      </c>
      <c r="J11" s="481">
        <f>PI()*(43/1000/2)^2</f>
        <v>1.4522012041218817E-3</v>
      </c>
      <c r="K11" s="480">
        <v>2.5000000000000001E-2</v>
      </c>
      <c r="L11" s="479">
        <v>7850</v>
      </c>
      <c r="M11" s="479">
        <v>1</v>
      </c>
      <c r="N11" s="478">
        <f>PRODUCT(D11,E11)</f>
        <v>0.64123759419506832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7" t="s">
        <v>18</v>
      </c>
      <c r="N12" s="106">
        <f>SUM(N11:N11)</f>
        <v>0.64123759419506832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6" t="s">
        <v>14</v>
      </c>
      <c r="B14" s="475" t="s">
        <v>31</v>
      </c>
      <c r="C14" s="475" t="s">
        <v>20</v>
      </c>
      <c r="D14" s="475" t="s">
        <v>21</v>
      </c>
      <c r="E14" s="475" t="s">
        <v>32</v>
      </c>
      <c r="F14" s="475" t="s">
        <v>17</v>
      </c>
      <c r="G14" s="475" t="s">
        <v>33</v>
      </c>
      <c r="H14" s="475" t="s">
        <v>34</v>
      </c>
      <c r="I14" s="475" t="s">
        <v>18</v>
      </c>
      <c r="J14" s="15"/>
      <c r="K14" s="15"/>
      <c r="L14" s="15"/>
      <c r="M14" s="15"/>
      <c r="N14" s="15"/>
      <c r="O14" s="47"/>
    </row>
    <row r="15" spans="1:15" s="14" customFormat="1" ht="30" x14ac:dyDescent="0.25">
      <c r="A15" s="474">
        <v>10</v>
      </c>
      <c r="B15" s="473" t="s">
        <v>45</v>
      </c>
      <c r="C15" s="472"/>
      <c r="D15" s="467">
        <v>1.3</v>
      </c>
      <c r="E15" s="461" t="s">
        <v>35</v>
      </c>
      <c r="F15" s="472">
        <v>0.25</v>
      </c>
      <c r="G15" s="463" t="s">
        <v>580</v>
      </c>
      <c r="H15" s="472"/>
      <c r="I15" s="438">
        <f>IF(H15="",D15*F15,D15*F15*H15)</f>
        <v>0.32500000000000001</v>
      </c>
      <c r="J15" s="471"/>
      <c r="K15" s="471"/>
      <c r="L15" s="471"/>
      <c r="M15" s="471"/>
      <c r="N15" s="471"/>
      <c r="O15" s="51"/>
    </row>
    <row r="16" spans="1:15" s="16" customFormat="1" x14ac:dyDescent="0.25">
      <c r="A16" s="470">
        <v>20</v>
      </c>
      <c r="B16" s="469" t="s">
        <v>145</v>
      </c>
      <c r="C16" s="468" t="s">
        <v>579</v>
      </c>
      <c r="D16" s="467">
        <v>0.04</v>
      </c>
      <c r="E16" s="461" t="s">
        <v>147</v>
      </c>
      <c r="F16" s="466">
        <v>20.5</v>
      </c>
      <c r="G16" s="457" t="s">
        <v>148</v>
      </c>
      <c r="H16" s="465">
        <v>3</v>
      </c>
      <c r="I16" s="405">
        <f>IF(H16="",D16*F16,D16*F16*H16)</f>
        <v>2.46</v>
      </c>
      <c r="J16" s="43"/>
      <c r="K16" s="43"/>
      <c r="L16" s="43"/>
      <c r="M16" s="43"/>
      <c r="N16" s="43"/>
      <c r="O16" s="53"/>
    </row>
    <row r="17" spans="1:15" s="12" customFormat="1" ht="30" x14ac:dyDescent="0.25">
      <c r="A17" s="464">
        <v>30</v>
      </c>
      <c r="B17" s="459" t="s">
        <v>146</v>
      </c>
      <c r="C17" s="456"/>
      <c r="D17" s="460">
        <v>0.65</v>
      </c>
      <c r="E17" s="459" t="s">
        <v>35</v>
      </c>
      <c r="F17" s="456">
        <v>0.25</v>
      </c>
      <c r="G17" s="463" t="s">
        <v>578</v>
      </c>
      <c r="H17" s="456"/>
      <c r="I17" s="438">
        <f>IF(H17="",D17*F17,D17*F17*H17)</f>
        <v>0.16250000000000001</v>
      </c>
      <c r="J17" s="42"/>
      <c r="K17" s="42"/>
      <c r="L17" s="42"/>
      <c r="M17" s="42"/>
      <c r="N17" s="42"/>
      <c r="O17" s="50"/>
    </row>
    <row r="18" spans="1:15" x14ac:dyDescent="0.25">
      <c r="A18" s="462">
        <v>40</v>
      </c>
      <c r="B18" s="461" t="s">
        <v>145</v>
      </c>
      <c r="C18" s="417" t="s">
        <v>577</v>
      </c>
      <c r="D18" s="460">
        <v>0.04</v>
      </c>
      <c r="E18" s="459" t="s">
        <v>147</v>
      </c>
      <c r="F18" s="458">
        <v>6.375</v>
      </c>
      <c r="G18" s="457" t="s">
        <v>148</v>
      </c>
      <c r="H18" s="456">
        <v>3</v>
      </c>
      <c r="I18" s="438">
        <f>IF(H18="",D18*F18,D18*F18*H18)</f>
        <v>0.76500000000000001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9" t="s">
        <v>18</v>
      </c>
      <c r="I19" s="106">
        <f>SUM(I15:I18)</f>
        <v>3.7125000000000004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55"/>
      <c r="G20" s="41"/>
      <c r="H20" s="41"/>
      <c r="I20" s="42"/>
      <c r="J20" s="41"/>
      <c r="K20" s="41"/>
      <c r="L20" s="41"/>
      <c r="M20" s="41"/>
      <c r="N20" s="41"/>
      <c r="O20" s="47"/>
    </row>
    <row r="21" spans="1:15" ht="15.75" thickBo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</row>
  </sheetData>
  <hyperlinks>
    <hyperlink ref="B4" location="EN_A0200" display="EN_A0200" xr:uid="{00000000-0004-0000-0300-000000000000}"/>
    <hyperlink ref="E3" location="dEN_02001!A1" display="Drawing" xr:uid="{00000000-0004-0000-0300-000001000000}"/>
    <hyperlink ref="G2" location="EN_A0200_BOM" display="Back to BOM" xr:uid="{4430CC9C-6F8E-4A8D-BAFE-4593B3E46F8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0179-BB02-47A2-8558-ED624F3DC06A}">
  <sheetPr>
    <tabColor theme="6" tint="0.39997558519241921"/>
  </sheetPr>
  <dimension ref="A1:O22"/>
  <sheetViews>
    <sheetView workbookViewId="0">
      <selection activeCell="G2" sqref="G2"/>
    </sheetView>
  </sheetViews>
  <sheetFormatPr baseColWidth="10" defaultColWidth="9.140625" defaultRowHeight="15" x14ac:dyDescent="0.25"/>
  <cols>
    <col min="1" max="1" width="12.140625" customWidth="1"/>
    <col min="2" max="2" width="35.42578125" customWidth="1"/>
    <col min="3" max="3" width="25" customWidth="1"/>
    <col min="5" max="5" width="10.140625" customWidth="1"/>
    <col min="7" max="7" width="11.5703125" customWidth="1"/>
    <col min="9" max="9" width="26.85546875" customWidth="1"/>
    <col min="15" max="15" width="3.140625" customWidth="1"/>
  </cols>
  <sheetData>
    <row r="1" spans="1:15" x14ac:dyDescent="0.25">
      <c r="A1" s="133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EN_0400_009_m+EN_0400_009_p</f>
        <v>1.492</v>
      </c>
      <c r="O2" s="47"/>
    </row>
    <row r="3" spans="1:15" x14ac:dyDescent="0.25">
      <c r="A3" s="103" t="s">
        <v>3</v>
      </c>
      <c r="B3" s="11" t="str">
        <f>EN_A0400!B3</f>
        <v>Engine and Drivetrain</v>
      </c>
      <c r="C3" s="41"/>
      <c r="D3" s="103" t="s">
        <v>6</v>
      </c>
      <c r="E3" s="70"/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47"/>
    </row>
    <row r="4" spans="1:15" x14ac:dyDescent="0.25">
      <c r="A4" s="103" t="s">
        <v>5</v>
      </c>
      <c r="B4" s="69" t="str">
        <f>EN_A0400!B4</f>
        <v>Throttle Body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298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1.492</v>
      </c>
      <c r="O5" s="47"/>
    </row>
    <row r="6" spans="1:15" x14ac:dyDescent="0.25">
      <c r="A6" s="103" t="s">
        <v>7</v>
      </c>
      <c r="B6" s="17" t="s">
        <v>247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 t="s">
        <v>312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20" t="s">
        <v>23</v>
      </c>
      <c r="G10" s="120" t="s">
        <v>24</v>
      </c>
      <c r="H10" s="120" t="s">
        <v>25</v>
      </c>
      <c r="I10" s="120" t="s">
        <v>26</v>
      </c>
      <c r="J10" s="120" t="s">
        <v>27</v>
      </c>
      <c r="K10" s="120" t="s">
        <v>28</v>
      </c>
      <c r="L10" s="120" t="s">
        <v>29</v>
      </c>
      <c r="M10" s="120" t="s">
        <v>17</v>
      </c>
      <c r="N10" s="120" t="s">
        <v>18</v>
      </c>
      <c r="O10" s="47"/>
    </row>
    <row r="11" spans="1:15" s="14" customFormat="1" x14ac:dyDescent="0.25">
      <c r="A11" s="132">
        <v>10</v>
      </c>
      <c r="B11" s="131" t="s">
        <v>245</v>
      </c>
      <c r="C11" s="130" t="s">
        <v>244</v>
      </c>
      <c r="D11" s="123">
        <v>2.25</v>
      </c>
      <c r="E11" s="166">
        <v>3.2000000000000001E-2</v>
      </c>
      <c r="F11" s="130" t="s">
        <v>144</v>
      </c>
      <c r="G11" s="130"/>
      <c r="H11" s="129"/>
      <c r="I11" s="128" t="s">
        <v>327</v>
      </c>
      <c r="J11" s="165">
        <v>8.0400000000000003E-4</v>
      </c>
      <c r="K11" s="126">
        <v>5.0000000000000001E-3</v>
      </c>
      <c r="L11" s="125">
        <v>7850</v>
      </c>
      <c r="M11" s="124">
        <v>1</v>
      </c>
      <c r="N11" s="123">
        <f>D11*E11</f>
        <v>7.2000000000000008E-2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22" t="s">
        <v>18</v>
      </c>
      <c r="N12" s="106">
        <f>SUM(N11:N11)</f>
        <v>7.2000000000000008E-2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21" t="s">
        <v>14</v>
      </c>
      <c r="B14" s="120" t="s">
        <v>31</v>
      </c>
      <c r="C14" s="120" t="s">
        <v>20</v>
      </c>
      <c r="D14" s="120" t="s">
        <v>21</v>
      </c>
      <c r="E14" s="120" t="s">
        <v>32</v>
      </c>
      <c r="F14" s="120" t="s">
        <v>17</v>
      </c>
      <c r="G14" s="120" t="s">
        <v>33</v>
      </c>
      <c r="H14" s="120" t="s">
        <v>34</v>
      </c>
      <c r="I14" s="12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145</v>
      </c>
      <c r="C16" s="57"/>
      <c r="D16" s="58">
        <v>0.04</v>
      </c>
      <c r="E16" s="57" t="s">
        <v>147</v>
      </c>
      <c r="F16" s="63">
        <v>1</v>
      </c>
      <c r="G16" s="63" t="s">
        <v>319</v>
      </c>
      <c r="H16" s="63">
        <v>3</v>
      </c>
      <c r="I16" s="58">
        <f>IF(H16="",D16*F16,D16*F16*H16)</f>
        <v>0.12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9" t="s">
        <v>18</v>
      </c>
      <c r="I17" s="106">
        <f>SUM(I15:I16)</f>
        <v>1.42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9"/>
      <c r="I18" s="118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9"/>
      <c r="I19" s="118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9"/>
      <c r="I20" s="118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9"/>
      <c r="I21" s="118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0B00-000000000000}"/>
    <hyperlink ref="G2" location="EN_A0400_BOM" display="Back to BOM" xr:uid="{F030F800-B384-4834-840D-B032AB7EE7C1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9DBAB-3DB6-4C32-BA30-1810A99F1D36}">
  <sheetPr>
    <tabColor theme="6" tint="-0.249977111117893"/>
    <pageSetUpPr fitToPage="1"/>
  </sheetPr>
  <dimension ref="A1:O62"/>
  <sheetViews>
    <sheetView zoomScale="85" zoomScaleNormal="85" zoomScaleSheetLayoutView="80" workbookViewId="0">
      <selection activeCell="E2" sqref="E2"/>
    </sheetView>
  </sheetViews>
  <sheetFormatPr baseColWidth="10" defaultColWidth="9.140625" defaultRowHeight="15" x14ac:dyDescent="0.25"/>
  <cols>
    <col min="2" max="2" width="41.42578125" bestFit="1" customWidth="1"/>
    <col min="10" max="10" width="13.42578125" customWidth="1"/>
    <col min="15" max="15" width="5.28515625" customWidth="1"/>
  </cols>
  <sheetData>
    <row r="1" spans="1:15" x14ac:dyDescent="0.25">
      <c r="A1" s="210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8"/>
    </row>
    <row r="2" spans="1:15" x14ac:dyDescent="0.25">
      <c r="A2" s="176" t="s">
        <v>0</v>
      </c>
      <c r="B2" s="180" t="s">
        <v>44</v>
      </c>
      <c r="C2" s="41"/>
      <c r="D2" s="41"/>
      <c r="E2" s="69" t="s">
        <v>121</v>
      </c>
      <c r="F2" s="41"/>
      <c r="G2" s="41"/>
      <c r="H2" s="41"/>
      <c r="I2" s="41"/>
      <c r="J2" s="175" t="s">
        <v>1</v>
      </c>
      <c r="K2" s="65">
        <v>81</v>
      </c>
      <c r="L2" s="41"/>
      <c r="M2" s="175" t="s">
        <v>2</v>
      </c>
      <c r="N2" s="76">
        <f>EN_A0900_pa+EN_A0900_m+EN_A0900_p+EN_A0900_f+EN_A0900_t</f>
        <v>402.70288022367509</v>
      </c>
      <c r="O2" s="170"/>
    </row>
    <row r="3" spans="1:15" x14ac:dyDescent="0.25">
      <c r="A3" s="176" t="s">
        <v>3</v>
      </c>
      <c r="B3" s="180" t="s">
        <v>372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175" t="s">
        <v>4</v>
      </c>
      <c r="N3" s="64">
        <v>1</v>
      </c>
      <c r="O3" s="170"/>
    </row>
    <row r="4" spans="1:15" x14ac:dyDescent="0.25">
      <c r="A4" s="176" t="s">
        <v>5</v>
      </c>
      <c r="B4" s="180" t="s">
        <v>371</v>
      </c>
      <c r="C4" s="41"/>
      <c r="D4" s="41"/>
      <c r="E4" s="41"/>
      <c r="F4" s="41"/>
      <c r="G4" s="41"/>
      <c r="H4" s="41"/>
      <c r="I4" s="41"/>
      <c r="J4" s="206" t="s">
        <v>6</v>
      </c>
      <c r="K4" s="41"/>
      <c r="L4" s="41"/>
      <c r="M4" s="41"/>
      <c r="N4" s="41"/>
      <c r="O4" s="170"/>
    </row>
    <row r="5" spans="1:15" x14ac:dyDescent="0.25">
      <c r="A5" s="176" t="s">
        <v>7</v>
      </c>
      <c r="B5" s="207" t="s">
        <v>370</v>
      </c>
      <c r="C5" s="41"/>
      <c r="D5" s="41"/>
      <c r="E5" s="41"/>
      <c r="F5" s="41"/>
      <c r="G5" s="41"/>
      <c r="H5" s="41"/>
      <c r="I5" s="41"/>
      <c r="J5" s="206" t="s">
        <v>8</v>
      </c>
      <c r="K5" s="41"/>
      <c r="L5" s="41"/>
      <c r="M5" s="175" t="s">
        <v>9</v>
      </c>
      <c r="N5" s="58">
        <f>N2*N3</f>
        <v>402.70288022367509</v>
      </c>
      <c r="O5" s="170"/>
    </row>
    <row r="6" spans="1:15" x14ac:dyDescent="0.25">
      <c r="A6" s="176" t="s">
        <v>10</v>
      </c>
      <c r="B6" s="180" t="s">
        <v>11</v>
      </c>
      <c r="C6" s="41"/>
      <c r="D6" s="41"/>
      <c r="E6" s="41"/>
      <c r="F6" s="41"/>
      <c r="G6" s="41"/>
      <c r="H6" s="41"/>
      <c r="I6" s="41"/>
      <c r="J6" s="206" t="s">
        <v>12</v>
      </c>
      <c r="K6" s="41"/>
      <c r="L6" s="41"/>
      <c r="M6" s="41"/>
      <c r="N6" s="41"/>
      <c r="O6" s="170"/>
    </row>
    <row r="7" spans="1:15" x14ac:dyDescent="0.25">
      <c r="A7" s="176" t="s">
        <v>13</v>
      </c>
      <c r="B7" s="180" t="s">
        <v>369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70"/>
    </row>
    <row r="8" spans="1:15" x14ac:dyDescent="0.25">
      <c r="A8" s="177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70"/>
    </row>
    <row r="9" spans="1:15" x14ac:dyDescent="0.25">
      <c r="A9" s="176" t="s">
        <v>14</v>
      </c>
      <c r="B9" s="205" t="s">
        <v>15</v>
      </c>
      <c r="C9" s="175" t="s">
        <v>16</v>
      </c>
      <c r="D9" s="175" t="s">
        <v>17</v>
      </c>
      <c r="E9" s="175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170"/>
    </row>
    <row r="10" spans="1:15" x14ac:dyDescent="0.25">
      <c r="A10" s="188">
        <v>10</v>
      </c>
      <c r="B10" s="204" t="s">
        <v>368</v>
      </c>
      <c r="C10" s="182">
        <f>EN_0900_001!N$2</f>
        <v>125.93892271516907</v>
      </c>
      <c r="D10" s="203">
        <f>EN_0900_001!N$3</f>
        <v>1</v>
      </c>
      <c r="E10" s="202">
        <f t="shared" ref="E10:E18" si="0">C10*D10</f>
        <v>125.93892271516907</v>
      </c>
      <c r="F10" s="41"/>
      <c r="G10" s="41"/>
      <c r="H10" s="41"/>
      <c r="I10" s="41"/>
      <c r="J10" s="41"/>
      <c r="K10" s="41"/>
      <c r="L10" s="41"/>
      <c r="M10" s="41"/>
      <c r="N10" s="41"/>
      <c r="O10" s="170"/>
    </row>
    <row r="11" spans="1:15" x14ac:dyDescent="0.25">
      <c r="A11" s="188">
        <v>20</v>
      </c>
      <c r="B11" s="204" t="s">
        <v>367</v>
      </c>
      <c r="C11" s="182">
        <f>EN_0900_002!N$2</f>
        <v>10.904564699673662</v>
      </c>
      <c r="D11" s="203">
        <f>EN_0900_002!N$3</f>
        <v>1</v>
      </c>
      <c r="E11" s="202">
        <f t="shared" si="0"/>
        <v>10.904564699673662</v>
      </c>
      <c r="F11" s="42"/>
      <c r="G11" s="42"/>
      <c r="H11" s="42"/>
      <c r="I11" s="42"/>
      <c r="J11" s="42"/>
      <c r="K11" s="42"/>
      <c r="L11" s="42"/>
      <c r="M11" s="42"/>
      <c r="N11" s="42"/>
      <c r="O11" s="201"/>
    </row>
    <row r="12" spans="1:15" x14ac:dyDescent="0.25">
      <c r="A12" s="188">
        <v>30</v>
      </c>
      <c r="B12" s="204" t="s">
        <v>366</v>
      </c>
      <c r="C12" s="182">
        <f>EN_0900_003!N$2</f>
        <v>8.5389646196590014</v>
      </c>
      <c r="D12" s="203">
        <f>EN_0900_003!N$3</f>
        <v>1</v>
      </c>
      <c r="E12" s="202">
        <f t="shared" si="0"/>
        <v>8.5389646196590014</v>
      </c>
      <c r="F12" s="42"/>
      <c r="G12" s="42"/>
      <c r="H12" s="42"/>
      <c r="I12" s="42"/>
      <c r="J12" s="42"/>
      <c r="K12" s="42"/>
      <c r="L12" s="42"/>
      <c r="M12" s="42"/>
      <c r="N12" s="42"/>
      <c r="O12" s="201"/>
    </row>
    <row r="13" spans="1:15" x14ac:dyDescent="0.25">
      <c r="A13" s="188">
        <v>40</v>
      </c>
      <c r="B13" s="204" t="s">
        <v>365</v>
      </c>
      <c r="C13" s="182">
        <f>EN_0900_004!N$2</f>
        <v>23.956417471999998</v>
      </c>
      <c r="D13" s="203">
        <f>EN_0900_004!N$3</f>
        <v>1</v>
      </c>
      <c r="E13" s="202">
        <f t="shared" si="0"/>
        <v>23.956417471999998</v>
      </c>
      <c r="F13" s="42"/>
      <c r="G13" s="42"/>
      <c r="H13" s="42"/>
      <c r="I13" s="42"/>
      <c r="J13" s="42"/>
      <c r="K13" s="42"/>
      <c r="L13" s="42"/>
      <c r="M13" s="42"/>
      <c r="N13" s="42"/>
      <c r="O13" s="170"/>
    </row>
    <row r="14" spans="1:15" x14ac:dyDescent="0.25">
      <c r="A14" s="188">
        <v>50</v>
      </c>
      <c r="B14" s="204" t="s">
        <v>364</v>
      </c>
      <c r="C14" s="182">
        <f>EN_0900_005!N$2</f>
        <v>17.198412672</v>
      </c>
      <c r="D14" s="203">
        <f>EN_0900_005!N$3</f>
        <v>1</v>
      </c>
      <c r="E14" s="202">
        <f t="shared" si="0"/>
        <v>17.198412672</v>
      </c>
      <c r="F14" s="42"/>
      <c r="G14" s="42"/>
      <c r="H14" s="42"/>
      <c r="I14" s="42"/>
      <c r="J14" s="42"/>
      <c r="K14" s="42"/>
      <c r="L14" s="42"/>
      <c r="M14" s="42"/>
      <c r="N14" s="42"/>
      <c r="O14" s="170"/>
    </row>
    <row r="15" spans="1:15" x14ac:dyDescent="0.25">
      <c r="A15" s="188">
        <v>60</v>
      </c>
      <c r="B15" s="204" t="s">
        <v>363</v>
      </c>
      <c r="C15" s="182">
        <f>EN_0900_006!N$2</f>
        <v>0.99587245000000002</v>
      </c>
      <c r="D15" s="203">
        <f>EN_0900_006!N$3</f>
        <v>4</v>
      </c>
      <c r="E15" s="202">
        <f t="shared" si="0"/>
        <v>3.9834898000000001</v>
      </c>
      <c r="F15" s="42"/>
      <c r="G15" s="42"/>
      <c r="H15" s="42"/>
      <c r="I15" s="42"/>
      <c r="J15" s="42"/>
      <c r="K15" s="42"/>
      <c r="L15" s="42"/>
      <c r="M15" s="42"/>
      <c r="N15" s="42"/>
      <c r="O15" s="170"/>
    </row>
    <row r="16" spans="1:15" x14ac:dyDescent="0.25">
      <c r="A16" s="188">
        <v>70</v>
      </c>
      <c r="B16" s="204" t="s">
        <v>362</v>
      </c>
      <c r="C16" s="182">
        <f>EN_0900_007!N$2</f>
        <v>0.96928532500000009</v>
      </c>
      <c r="D16" s="203">
        <f>EN_0900_007!N$3</f>
        <v>4</v>
      </c>
      <c r="E16" s="202">
        <f t="shared" si="0"/>
        <v>3.8771413000000003</v>
      </c>
      <c r="F16" s="42"/>
      <c r="G16" s="42"/>
      <c r="H16" s="42"/>
      <c r="I16" s="42"/>
      <c r="J16" s="42"/>
      <c r="K16" s="42"/>
      <c r="L16" s="42"/>
      <c r="M16" s="42"/>
      <c r="N16" s="42"/>
      <c r="O16" s="201"/>
    </row>
    <row r="17" spans="1:15" x14ac:dyDescent="0.25">
      <c r="A17" s="188">
        <v>80</v>
      </c>
      <c r="B17" s="204" t="s">
        <v>361</v>
      </c>
      <c r="C17" s="182">
        <f>EN_0900_008!N$2</f>
        <v>2.2021247500000003</v>
      </c>
      <c r="D17" s="203">
        <f>EN_0900_008!N$3</f>
        <v>1</v>
      </c>
      <c r="E17" s="202">
        <f t="shared" si="0"/>
        <v>2.2021247500000003</v>
      </c>
      <c r="F17" s="42"/>
      <c r="G17" s="42"/>
      <c r="H17" s="42"/>
      <c r="I17" s="42"/>
      <c r="J17" s="42"/>
      <c r="K17" s="42"/>
      <c r="L17" s="42"/>
      <c r="M17" s="42"/>
      <c r="N17" s="42"/>
      <c r="O17" s="201"/>
    </row>
    <row r="18" spans="1:15" x14ac:dyDescent="0.25">
      <c r="A18" s="188">
        <v>90</v>
      </c>
      <c r="B18" s="204" t="s">
        <v>360</v>
      </c>
      <c r="C18" s="182">
        <f>EN_0900_009!N$2</f>
        <v>2.2130151625000001</v>
      </c>
      <c r="D18" s="203">
        <f>EN_0900_009!N$3</f>
        <v>1</v>
      </c>
      <c r="E18" s="202">
        <f t="shared" si="0"/>
        <v>2.2130151625000001</v>
      </c>
      <c r="F18" s="42"/>
      <c r="G18" s="42"/>
      <c r="H18" s="42"/>
      <c r="I18" s="42"/>
      <c r="J18" s="42"/>
      <c r="K18" s="42"/>
      <c r="L18" s="42"/>
      <c r="M18" s="42"/>
      <c r="N18" s="42"/>
      <c r="O18" s="201"/>
    </row>
    <row r="19" spans="1:15" x14ac:dyDescent="0.25">
      <c r="A19" s="177"/>
      <c r="B19" s="41"/>
      <c r="C19" s="41"/>
      <c r="D19" s="172" t="s">
        <v>18</v>
      </c>
      <c r="E19" s="171">
        <f>SUM(E10:E18)</f>
        <v>198.81305319100173</v>
      </c>
      <c r="F19" s="42"/>
      <c r="G19" s="42"/>
      <c r="H19" s="42"/>
      <c r="I19" s="42"/>
      <c r="J19" s="42"/>
      <c r="K19" s="42"/>
      <c r="L19" s="42"/>
      <c r="M19" s="42"/>
      <c r="N19" s="42"/>
      <c r="O19" s="170"/>
    </row>
    <row r="20" spans="1:15" x14ac:dyDescent="0.25">
      <c r="A20" s="177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70"/>
    </row>
    <row r="21" spans="1:15" x14ac:dyDescent="0.25">
      <c r="A21" s="176" t="s">
        <v>14</v>
      </c>
      <c r="B21" s="175" t="s">
        <v>19</v>
      </c>
      <c r="C21" s="175" t="s">
        <v>20</v>
      </c>
      <c r="D21" s="175" t="s">
        <v>21</v>
      </c>
      <c r="E21" s="175" t="s">
        <v>22</v>
      </c>
      <c r="F21" s="175" t="s">
        <v>23</v>
      </c>
      <c r="G21" s="175" t="s">
        <v>24</v>
      </c>
      <c r="H21" s="175" t="s">
        <v>25</v>
      </c>
      <c r="I21" s="175" t="s">
        <v>26</v>
      </c>
      <c r="J21" s="175" t="s">
        <v>27</v>
      </c>
      <c r="K21" s="175" t="s">
        <v>28</v>
      </c>
      <c r="L21" s="175" t="s">
        <v>29</v>
      </c>
      <c r="M21" s="175" t="s">
        <v>17</v>
      </c>
      <c r="N21" s="175" t="s">
        <v>18</v>
      </c>
      <c r="O21" s="170"/>
    </row>
    <row r="22" spans="1:15" s="14" customFormat="1" x14ac:dyDescent="0.25">
      <c r="A22" s="188">
        <v>20</v>
      </c>
      <c r="B22" s="185" t="s">
        <v>358</v>
      </c>
      <c r="C22" s="185" t="s">
        <v>359</v>
      </c>
      <c r="D22" s="182">
        <f>0.1*(E22^2*G22)^0.5</f>
        <v>38.183766184073569</v>
      </c>
      <c r="E22" s="185">
        <v>90</v>
      </c>
      <c r="F22" s="185" t="s">
        <v>30</v>
      </c>
      <c r="G22" s="185">
        <v>18</v>
      </c>
      <c r="H22" s="195" t="s">
        <v>30</v>
      </c>
      <c r="I22" s="200"/>
      <c r="J22" s="196"/>
      <c r="K22" s="195"/>
      <c r="L22" s="195"/>
      <c r="M22" s="193">
        <v>1</v>
      </c>
      <c r="N22" s="192">
        <f>IF(J22="",D22*M22,D22*J22*K22*L22*M22)</f>
        <v>38.183766184073569</v>
      </c>
      <c r="O22" s="199"/>
    </row>
    <row r="23" spans="1:15" x14ac:dyDescent="0.25">
      <c r="A23" s="188">
        <v>10</v>
      </c>
      <c r="B23" s="185" t="s">
        <v>358</v>
      </c>
      <c r="C23" s="185" t="s">
        <v>357</v>
      </c>
      <c r="D23" s="182">
        <f>0.1*(E23^2*G23)^0.5</f>
        <v>32</v>
      </c>
      <c r="E23" s="185">
        <v>80</v>
      </c>
      <c r="F23" s="185" t="s">
        <v>30</v>
      </c>
      <c r="G23" s="185">
        <v>16</v>
      </c>
      <c r="H23" s="195" t="s">
        <v>30</v>
      </c>
      <c r="I23" s="200"/>
      <c r="J23" s="196"/>
      <c r="K23" s="195"/>
      <c r="L23" s="195"/>
      <c r="M23" s="193">
        <v>1</v>
      </c>
      <c r="N23" s="192">
        <f>IF(J23="",D23*M23,D23*J23*K23*L23*M23)</f>
        <v>32</v>
      </c>
      <c r="O23" s="170"/>
    </row>
    <row r="24" spans="1:15" s="14" customFormat="1" x14ac:dyDescent="0.25">
      <c r="A24" s="188">
        <v>30</v>
      </c>
      <c r="B24" s="185" t="s">
        <v>356</v>
      </c>
      <c r="C24" s="184" t="s">
        <v>355</v>
      </c>
      <c r="D24" s="182">
        <v>10</v>
      </c>
      <c r="E24" s="185">
        <f>0.002*4+0.002*4+0.004*2</f>
        <v>2.4E-2</v>
      </c>
      <c r="F24" s="185" t="s">
        <v>155</v>
      </c>
      <c r="G24" s="185"/>
      <c r="H24" s="195"/>
      <c r="I24" s="200"/>
      <c r="J24" s="196"/>
      <c r="K24" s="195"/>
      <c r="L24" s="195"/>
      <c r="M24" s="193">
        <v>1</v>
      </c>
      <c r="N24" s="192">
        <f>IF(J24="",D24*M24*E24,D24*J24*K24*L24*M24)</f>
        <v>0.24</v>
      </c>
      <c r="O24" s="199"/>
    </row>
    <row r="25" spans="1:15" s="14" customFormat="1" x14ac:dyDescent="0.25">
      <c r="A25" s="188">
        <v>40</v>
      </c>
      <c r="B25" s="185" t="s">
        <v>354</v>
      </c>
      <c r="C25" s="185" t="s">
        <v>353</v>
      </c>
      <c r="D25" s="182">
        <v>0.75</v>
      </c>
      <c r="E25" s="185">
        <v>0.06</v>
      </c>
      <c r="F25" s="185" t="s">
        <v>352</v>
      </c>
      <c r="G25" s="185"/>
      <c r="H25" s="195"/>
      <c r="I25" s="197"/>
      <c r="J25" s="196"/>
      <c r="K25" s="195"/>
      <c r="L25" s="194"/>
      <c r="M25" s="193">
        <v>1</v>
      </c>
      <c r="N25" s="192">
        <f>IF(J25="",D25*M25*E25,D25*J25*K25*L25*M25)</f>
        <v>4.4999999999999998E-2</v>
      </c>
      <c r="O25" s="199"/>
    </row>
    <row r="26" spans="1:15" ht="30" x14ac:dyDescent="0.25">
      <c r="A26" s="188">
        <v>50</v>
      </c>
      <c r="B26" s="198" t="s">
        <v>351</v>
      </c>
      <c r="C26" s="185"/>
      <c r="D26" s="182">
        <v>110</v>
      </c>
      <c r="E26" s="185">
        <v>1</v>
      </c>
      <c r="F26" s="185" t="s">
        <v>35</v>
      </c>
      <c r="G26" s="185"/>
      <c r="H26" s="195"/>
      <c r="I26" s="197"/>
      <c r="J26" s="196"/>
      <c r="K26" s="195"/>
      <c r="L26" s="194"/>
      <c r="M26" s="193">
        <v>1</v>
      </c>
      <c r="N26" s="192">
        <f>IF(J26="",D26*M26,D26*J26*K26*L26*M26)</f>
        <v>110</v>
      </c>
      <c r="O26" s="170"/>
    </row>
    <row r="27" spans="1:15" x14ac:dyDescent="0.25">
      <c r="A27" s="17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75" t="s">
        <v>18</v>
      </c>
      <c r="N27" s="178">
        <f>SUM(N22:N26)</f>
        <v>180.46876618407356</v>
      </c>
      <c r="O27" s="170"/>
    </row>
    <row r="28" spans="1:15" x14ac:dyDescent="0.25">
      <c r="A28" s="177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170"/>
    </row>
    <row r="29" spans="1:15" s="16" customFormat="1" x14ac:dyDescent="0.25">
      <c r="A29" s="176" t="s">
        <v>14</v>
      </c>
      <c r="B29" s="175" t="s">
        <v>31</v>
      </c>
      <c r="C29" s="175" t="s">
        <v>20</v>
      </c>
      <c r="D29" s="175" t="s">
        <v>21</v>
      </c>
      <c r="E29" s="175" t="s">
        <v>32</v>
      </c>
      <c r="F29" s="175" t="s">
        <v>17</v>
      </c>
      <c r="G29" s="175" t="s">
        <v>33</v>
      </c>
      <c r="H29" s="175" t="s">
        <v>34</v>
      </c>
      <c r="I29" s="175" t="s">
        <v>18</v>
      </c>
      <c r="J29" s="15"/>
      <c r="K29" s="15"/>
      <c r="L29" s="15"/>
      <c r="M29" s="15"/>
      <c r="N29" s="15"/>
      <c r="O29" s="191"/>
    </row>
    <row r="30" spans="1:15" s="16" customFormat="1" x14ac:dyDescent="0.25">
      <c r="A30" s="188">
        <v>10</v>
      </c>
      <c r="B30" s="184" t="s">
        <v>138</v>
      </c>
      <c r="C30" s="184" t="s">
        <v>328</v>
      </c>
      <c r="D30" s="182">
        <v>0.15</v>
      </c>
      <c r="E30" s="185" t="s">
        <v>46</v>
      </c>
      <c r="F30" s="185">
        <v>56.54</v>
      </c>
      <c r="G30" s="185"/>
      <c r="H30" s="185">
        <v>1</v>
      </c>
      <c r="I30" s="182">
        <f t="shared" ref="I30:I43" si="1">D30*F30*H30</f>
        <v>8.4809999999999999</v>
      </c>
      <c r="J30" s="180"/>
      <c r="K30" s="180"/>
      <c r="L30" s="180"/>
      <c r="M30" s="42"/>
      <c r="N30" s="42"/>
      <c r="O30" s="191"/>
    </row>
    <row r="31" spans="1:15" s="12" customFormat="1" x14ac:dyDescent="0.25">
      <c r="A31" s="188">
        <v>20</v>
      </c>
      <c r="B31" s="184" t="s">
        <v>350</v>
      </c>
      <c r="C31" s="184" t="s">
        <v>349</v>
      </c>
      <c r="D31" s="182">
        <v>5.25</v>
      </c>
      <c r="E31" s="185" t="s">
        <v>155</v>
      </c>
      <c r="F31" s="185">
        <f>0.002*4+0.002*4+0.004*2</f>
        <v>2.4E-2</v>
      </c>
      <c r="G31" s="185"/>
      <c r="H31" s="185">
        <v>1</v>
      </c>
      <c r="I31" s="182">
        <f t="shared" si="1"/>
        <v>0.126</v>
      </c>
      <c r="J31" s="180"/>
      <c r="K31" s="180"/>
      <c r="L31" s="180"/>
      <c r="M31" s="42"/>
      <c r="N31" s="42"/>
      <c r="O31" s="189"/>
    </row>
    <row r="32" spans="1:15" x14ac:dyDescent="0.25">
      <c r="A32" s="188">
        <v>30</v>
      </c>
      <c r="B32" s="190" t="s">
        <v>348</v>
      </c>
      <c r="C32" s="184" t="s">
        <v>347</v>
      </c>
      <c r="D32" s="182">
        <v>0.56000000000000005</v>
      </c>
      <c r="E32" s="185" t="s">
        <v>35</v>
      </c>
      <c r="F32" s="185">
        <v>2</v>
      </c>
      <c r="G32" s="185"/>
      <c r="H32" s="185">
        <v>1</v>
      </c>
      <c r="I32" s="182">
        <f t="shared" si="1"/>
        <v>1.1200000000000001</v>
      </c>
      <c r="J32" s="180"/>
      <c r="K32" s="180"/>
      <c r="L32" s="180"/>
      <c r="M32" s="41"/>
      <c r="N32" s="41"/>
      <c r="O32" s="170"/>
    </row>
    <row r="33" spans="1:15" x14ac:dyDescent="0.25">
      <c r="A33" s="188">
        <v>40</v>
      </c>
      <c r="B33" s="190" t="s">
        <v>344</v>
      </c>
      <c r="C33" s="184" t="s">
        <v>346</v>
      </c>
      <c r="D33" s="182">
        <v>0.19</v>
      </c>
      <c r="E33" s="185" t="s">
        <v>35</v>
      </c>
      <c r="F33" s="185">
        <v>1</v>
      </c>
      <c r="G33" s="185"/>
      <c r="H33" s="185">
        <v>1</v>
      </c>
      <c r="I33" s="182">
        <f t="shared" si="1"/>
        <v>0.19</v>
      </c>
      <c r="J33" s="180"/>
      <c r="K33" s="180"/>
      <c r="L33" s="180"/>
      <c r="M33" s="41"/>
      <c r="N33" s="41"/>
      <c r="O33" s="170"/>
    </row>
    <row r="34" spans="1:15" x14ac:dyDescent="0.25">
      <c r="A34" s="188">
        <v>50</v>
      </c>
      <c r="B34" s="184" t="s">
        <v>344</v>
      </c>
      <c r="C34" s="184" t="s">
        <v>345</v>
      </c>
      <c r="D34" s="182">
        <v>0.19</v>
      </c>
      <c r="E34" s="185" t="s">
        <v>35</v>
      </c>
      <c r="F34" s="185">
        <v>1</v>
      </c>
      <c r="G34" s="185"/>
      <c r="H34" s="185">
        <v>1</v>
      </c>
      <c r="I34" s="182">
        <f t="shared" si="1"/>
        <v>0.19</v>
      </c>
      <c r="J34" s="180"/>
      <c r="K34" s="180"/>
      <c r="L34" s="180"/>
      <c r="M34" s="41"/>
      <c r="N34" s="41"/>
      <c r="O34" s="170"/>
    </row>
    <row r="35" spans="1:15" x14ac:dyDescent="0.25">
      <c r="A35" s="188">
        <v>60</v>
      </c>
      <c r="B35" s="184" t="s">
        <v>344</v>
      </c>
      <c r="C35" s="184" t="s">
        <v>343</v>
      </c>
      <c r="D35" s="182">
        <v>0.19</v>
      </c>
      <c r="E35" s="185" t="s">
        <v>35</v>
      </c>
      <c r="F35" s="185">
        <v>2</v>
      </c>
      <c r="G35" s="185"/>
      <c r="H35" s="185">
        <v>1</v>
      </c>
      <c r="I35" s="182">
        <f t="shared" si="1"/>
        <v>0.38</v>
      </c>
      <c r="J35" s="180"/>
      <c r="K35" s="180"/>
      <c r="L35" s="180"/>
      <c r="M35" s="41"/>
      <c r="N35" s="41"/>
      <c r="O35" s="170"/>
    </row>
    <row r="36" spans="1:15" x14ac:dyDescent="0.25">
      <c r="A36" s="188">
        <v>70</v>
      </c>
      <c r="B36" s="184" t="s">
        <v>342</v>
      </c>
      <c r="C36" s="184" t="s">
        <v>341</v>
      </c>
      <c r="D36" s="182">
        <v>0.5</v>
      </c>
      <c r="E36" s="185" t="s">
        <v>35</v>
      </c>
      <c r="F36" s="185">
        <v>4</v>
      </c>
      <c r="G36" s="185"/>
      <c r="H36" s="185">
        <v>1</v>
      </c>
      <c r="I36" s="182">
        <f t="shared" si="1"/>
        <v>2</v>
      </c>
      <c r="J36" s="180"/>
      <c r="K36" s="180"/>
      <c r="L36" s="180"/>
      <c r="M36" s="41"/>
      <c r="N36" s="41"/>
      <c r="O36" s="170"/>
    </row>
    <row r="37" spans="1:15" x14ac:dyDescent="0.25">
      <c r="A37" s="188">
        <v>80</v>
      </c>
      <c r="B37" s="184" t="s">
        <v>271</v>
      </c>
      <c r="C37" s="184" t="s">
        <v>341</v>
      </c>
      <c r="D37" s="182">
        <v>0.25</v>
      </c>
      <c r="E37" s="185" t="s">
        <v>35</v>
      </c>
      <c r="F37" s="185">
        <v>4</v>
      </c>
      <c r="G37" s="185"/>
      <c r="H37" s="185">
        <v>1</v>
      </c>
      <c r="I37" s="182">
        <f t="shared" si="1"/>
        <v>1</v>
      </c>
      <c r="J37" s="180"/>
      <c r="K37" s="180"/>
      <c r="L37" s="180"/>
      <c r="M37" s="41"/>
      <c r="N37" s="41"/>
      <c r="O37" s="170"/>
    </row>
    <row r="38" spans="1:15" x14ac:dyDescent="0.25">
      <c r="A38" s="188">
        <v>90</v>
      </c>
      <c r="B38" s="184" t="s">
        <v>143</v>
      </c>
      <c r="C38" s="184" t="s">
        <v>340</v>
      </c>
      <c r="D38" s="182">
        <v>0.38</v>
      </c>
      <c r="E38" s="185" t="s">
        <v>35</v>
      </c>
      <c r="F38" s="185">
        <v>2</v>
      </c>
      <c r="G38" s="185"/>
      <c r="H38" s="185">
        <v>1</v>
      </c>
      <c r="I38" s="182">
        <f t="shared" si="1"/>
        <v>0.76</v>
      </c>
      <c r="J38" s="180"/>
      <c r="K38" s="181"/>
      <c r="L38" s="181"/>
      <c r="M38" s="43"/>
      <c r="N38" s="43"/>
      <c r="O38" s="170"/>
    </row>
    <row r="39" spans="1:15" x14ac:dyDescent="0.25">
      <c r="A39" s="188">
        <v>100</v>
      </c>
      <c r="B39" s="184" t="s">
        <v>263</v>
      </c>
      <c r="C39" s="184" t="s">
        <v>339</v>
      </c>
      <c r="D39" s="182">
        <v>0.06</v>
      </c>
      <c r="E39" s="185" t="s">
        <v>35</v>
      </c>
      <c r="F39" s="185">
        <v>4</v>
      </c>
      <c r="G39" s="185"/>
      <c r="H39" s="185">
        <v>1</v>
      </c>
      <c r="I39" s="182">
        <f t="shared" si="1"/>
        <v>0.24</v>
      </c>
      <c r="J39" s="180"/>
      <c r="K39" s="180"/>
      <c r="L39" s="180"/>
      <c r="M39" s="43"/>
      <c r="N39" s="43"/>
      <c r="O39" s="170"/>
    </row>
    <row r="40" spans="1:15" s="12" customFormat="1" x14ac:dyDescent="0.25">
      <c r="A40" s="188">
        <v>110</v>
      </c>
      <c r="B40" s="184" t="s">
        <v>140</v>
      </c>
      <c r="C40" s="184" t="s">
        <v>338</v>
      </c>
      <c r="D40" s="182">
        <v>0.75</v>
      </c>
      <c r="E40" s="185" t="s">
        <v>35</v>
      </c>
      <c r="F40" s="185">
        <v>2</v>
      </c>
      <c r="G40" s="185"/>
      <c r="H40" s="185">
        <v>1</v>
      </c>
      <c r="I40" s="182">
        <f t="shared" si="1"/>
        <v>1.5</v>
      </c>
      <c r="J40" s="180"/>
      <c r="K40" s="180"/>
      <c r="L40" s="181"/>
      <c r="M40" s="42"/>
      <c r="N40" s="42"/>
      <c r="O40" s="189"/>
    </row>
    <row r="41" spans="1:15" x14ac:dyDescent="0.25">
      <c r="A41" s="188">
        <v>120</v>
      </c>
      <c r="B41" s="184" t="s">
        <v>337</v>
      </c>
      <c r="C41" s="184" t="s">
        <v>338</v>
      </c>
      <c r="D41" s="182">
        <v>0.25</v>
      </c>
      <c r="E41" s="185" t="s">
        <v>35</v>
      </c>
      <c r="F41" s="185">
        <v>2</v>
      </c>
      <c r="G41" s="185"/>
      <c r="H41" s="185">
        <v>1</v>
      </c>
      <c r="I41" s="182">
        <f t="shared" si="1"/>
        <v>0.5</v>
      </c>
      <c r="J41" s="180"/>
      <c r="K41" s="180"/>
      <c r="L41" s="180"/>
      <c r="M41" s="43"/>
      <c r="N41" s="43"/>
      <c r="O41" s="170"/>
    </row>
    <row r="42" spans="1:15" x14ac:dyDescent="0.25">
      <c r="A42" s="188">
        <v>130</v>
      </c>
      <c r="B42" s="184" t="s">
        <v>140</v>
      </c>
      <c r="C42" s="184" t="s">
        <v>336</v>
      </c>
      <c r="D42" s="182">
        <v>0.75</v>
      </c>
      <c r="E42" s="185" t="s">
        <v>35</v>
      </c>
      <c r="F42" s="185">
        <v>2</v>
      </c>
      <c r="G42" s="185"/>
      <c r="H42" s="185">
        <v>1</v>
      </c>
      <c r="I42" s="182">
        <f t="shared" si="1"/>
        <v>1.5</v>
      </c>
      <c r="J42" s="180"/>
      <c r="K42" s="180"/>
      <c r="L42" s="180"/>
      <c r="M42" s="41"/>
      <c r="N42" s="41"/>
      <c r="O42" s="170"/>
    </row>
    <row r="43" spans="1:15" x14ac:dyDescent="0.25">
      <c r="A43" s="188">
        <v>140</v>
      </c>
      <c r="B43" s="184" t="s">
        <v>337</v>
      </c>
      <c r="C43" s="184" t="s">
        <v>336</v>
      </c>
      <c r="D43" s="182">
        <v>0.25</v>
      </c>
      <c r="E43" s="185" t="s">
        <v>35</v>
      </c>
      <c r="F43" s="185">
        <v>2</v>
      </c>
      <c r="G43" s="185"/>
      <c r="H43" s="185">
        <v>1</v>
      </c>
      <c r="I43" s="182">
        <f t="shared" si="1"/>
        <v>0.5</v>
      </c>
      <c r="J43" s="180"/>
      <c r="K43" s="180"/>
      <c r="L43" s="180"/>
      <c r="M43" s="41"/>
      <c r="N43" s="41"/>
      <c r="O43" s="170"/>
    </row>
    <row r="44" spans="1:15" x14ac:dyDescent="0.25">
      <c r="A44" s="173"/>
      <c r="B44" s="15"/>
      <c r="C44" s="15"/>
      <c r="D44" s="15"/>
      <c r="E44" s="15"/>
      <c r="F44" s="15"/>
      <c r="G44" s="15"/>
      <c r="H44" s="179" t="s">
        <v>18</v>
      </c>
      <c r="I44" s="178">
        <f>SUM(I30:I43)</f>
        <v>18.487000000000002</v>
      </c>
      <c r="J44" s="41"/>
      <c r="K44" s="41"/>
      <c r="L44" s="41"/>
      <c r="M44" s="41"/>
      <c r="N44" s="41"/>
      <c r="O44" s="170"/>
    </row>
    <row r="45" spans="1:15" x14ac:dyDescent="0.25">
      <c r="A45" s="177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170"/>
    </row>
    <row r="46" spans="1:15" x14ac:dyDescent="0.25">
      <c r="A46" s="176" t="s">
        <v>14</v>
      </c>
      <c r="B46" s="175" t="s">
        <v>36</v>
      </c>
      <c r="C46" s="175" t="s">
        <v>20</v>
      </c>
      <c r="D46" s="175" t="s">
        <v>21</v>
      </c>
      <c r="E46" s="175" t="s">
        <v>22</v>
      </c>
      <c r="F46" s="175" t="s">
        <v>23</v>
      </c>
      <c r="G46" s="175" t="s">
        <v>24</v>
      </c>
      <c r="H46" s="175" t="s">
        <v>25</v>
      </c>
      <c r="I46" s="175" t="s">
        <v>17</v>
      </c>
      <c r="J46" s="175" t="s">
        <v>18</v>
      </c>
      <c r="K46" s="41"/>
      <c r="L46" s="41"/>
      <c r="M46" s="41"/>
      <c r="N46" s="41"/>
      <c r="O46" s="170"/>
    </row>
    <row r="47" spans="1:15" x14ac:dyDescent="0.25">
      <c r="A47" s="188">
        <v>10</v>
      </c>
      <c r="B47" s="185" t="s">
        <v>331</v>
      </c>
      <c r="C47" s="185" t="s">
        <v>335</v>
      </c>
      <c r="D47" s="187">
        <f>0.8/105154*E47*E47*G47*SQRT(G47)+(0.003*EXP(0.319*E47))</f>
        <v>0.5252420080501925</v>
      </c>
      <c r="E47" s="185">
        <v>12</v>
      </c>
      <c r="F47" s="186" t="s">
        <v>30</v>
      </c>
      <c r="G47" s="185">
        <v>50</v>
      </c>
      <c r="H47" s="184" t="s">
        <v>30</v>
      </c>
      <c r="I47" s="183">
        <v>2</v>
      </c>
      <c r="J47" s="182">
        <f t="shared" ref="J47:J55" si="2">D47*I47</f>
        <v>1.050484016100385</v>
      </c>
      <c r="K47" s="180"/>
      <c r="L47" s="180"/>
      <c r="M47" s="180"/>
      <c r="N47" s="41"/>
      <c r="O47" s="170"/>
    </row>
    <row r="48" spans="1:15" x14ac:dyDescent="0.25">
      <c r="A48" s="188">
        <v>20</v>
      </c>
      <c r="B48" s="185" t="s">
        <v>330</v>
      </c>
      <c r="C48" s="185" t="s">
        <v>335</v>
      </c>
      <c r="D48" s="187">
        <f>0.009*EXP(0.2*E48)</f>
        <v>9.920858742577443E-2</v>
      </c>
      <c r="E48" s="185">
        <v>12</v>
      </c>
      <c r="F48" s="186" t="s">
        <v>30</v>
      </c>
      <c r="G48" s="185"/>
      <c r="H48" s="184"/>
      <c r="I48" s="183">
        <v>2</v>
      </c>
      <c r="J48" s="182">
        <f t="shared" si="2"/>
        <v>0.19841717485154886</v>
      </c>
      <c r="K48" s="180"/>
      <c r="L48" s="180"/>
      <c r="M48" s="180"/>
      <c r="N48" s="41"/>
      <c r="O48" s="170"/>
    </row>
    <row r="49" spans="1:15" x14ac:dyDescent="0.25">
      <c r="A49" s="188">
        <v>30</v>
      </c>
      <c r="B49" s="185" t="s">
        <v>331</v>
      </c>
      <c r="C49" s="185" t="s">
        <v>334</v>
      </c>
      <c r="D49" s="187">
        <f>0.8/105154*E49*E49*G49*SQRT(G49)+(0.003*EXP(0.319*E49))</f>
        <v>0.11850487334396681</v>
      </c>
      <c r="E49" s="185">
        <v>8</v>
      </c>
      <c r="F49" s="186" t="s">
        <v>30</v>
      </c>
      <c r="G49" s="185">
        <v>30</v>
      </c>
      <c r="H49" s="184" t="s">
        <v>30</v>
      </c>
      <c r="I49" s="183">
        <v>2</v>
      </c>
      <c r="J49" s="182">
        <f t="shared" si="2"/>
        <v>0.23700974668793362</v>
      </c>
      <c r="K49" s="180"/>
      <c r="L49" s="181"/>
      <c r="M49" s="181"/>
      <c r="N49" s="41"/>
      <c r="O49" s="170"/>
    </row>
    <row r="50" spans="1:15" x14ac:dyDescent="0.25">
      <c r="A50" s="188">
        <v>40</v>
      </c>
      <c r="B50" s="185" t="s">
        <v>330</v>
      </c>
      <c r="C50" s="185" t="s">
        <v>334</v>
      </c>
      <c r="D50" s="187">
        <f>0.009*EXP(0.2*E50)</f>
        <v>4.4577291819556032E-2</v>
      </c>
      <c r="E50" s="185">
        <v>8</v>
      </c>
      <c r="F50" s="186" t="s">
        <v>30</v>
      </c>
      <c r="G50" s="185"/>
      <c r="H50" s="184"/>
      <c r="I50" s="183">
        <v>2</v>
      </c>
      <c r="J50" s="182">
        <f t="shared" si="2"/>
        <v>8.9154583639112064E-2</v>
      </c>
      <c r="K50" s="180"/>
      <c r="L50" s="180"/>
      <c r="M50" s="180"/>
      <c r="N50" s="41"/>
      <c r="O50" s="170"/>
    </row>
    <row r="51" spans="1:15" x14ac:dyDescent="0.25">
      <c r="A51" s="188">
        <v>50</v>
      </c>
      <c r="B51" s="185" t="s">
        <v>169</v>
      </c>
      <c r="C51" s="185" t="s">
        <v>333</v>
      </c>
      <c r="D51" s="187">
        <v>0.01</v>
      </c>
      <c r="E51" s="185"/>
      <c r="F51" s="186" t="s">
        <v>35</v>
      </c>
      <c r="G51" s="185"/>
      <c r="H51" s="184"/>
      <c r="I51" s="183">
        <v>4</v>
      </c>
      <c r="J51" s="182">
        <f t="shared" si="2"/>
        <v>0.04</v>
      </c>
      <c r="K51" s="180"/>
      <c r="L51" s="180"/>
      <c r="M51" s="180"/>
      <c r="N51" s="41"/>
      <c r="O51" s="170"/>
    </row>
    <row r="52" spans="1:15" x14ac:dyDescent="0.25">
      <c r="A52" s="188">
        <v>60</v>
      </c>
      <c r="B52" s="185" t="s">
        <v>331</v>
      </c>
      <c r="C52" s="185" t="s">
        <v>332</v>
      </c>
      <c r="D52" s="187">
        <f>0.8/105154*E52*E52*G52*SQRT(G52)+(0.003*EXP(0.319*E52))</f>
        <v>0.11850487334396681</v>
      </c>
      <c r="E52" s="185">
        <v>8</v>
      </c>
      <c r="F52" s="186" t="s">
        <v>30</v>
      </c>
      <c r="G52" s="185">
        <v>30</v>
      </c>
      <c r="H52" s="184" t="s">
        <v>30</v>
      </c>
      <c r="I52" s="183">
        <v>2</v>
      </c>
      <c r="J52" s="182">
        <f t="shared" si="2"/>
        <v>0.23700974668793362</v>
      </c>
      <c r="K52" s="180"/>
      <c r="L52" s="180"/>
      <c r="M52" s="180"/>
      <c r="N52" s="41"/>
      <c r="O52" s="170"/>
    </row>
    <row r="53" spans="1:15" x14ac:dyDescent="0.25">
      <c r="A53" s="188">
        <v>70</v>
      </c>
      <c r="B53" s="185" t="s">
        <v>330</v>
      </c>
      <c r="C53" s="185" t="s">
        <v>332</v>
      </c>
      <c r="D53" s="187">
        <f>0.009*EXP(0.2*E53)</f>
        <v>4.4577291819556032E-2</v>
      </c>
      <c r="E53" s="185">
        <v>8</v>
      </c>
      <c r="F53" s="186" t="s">
        <v>30</v>
      </c>
      <c r="G53" s="185"/>
      <c r="H53" s="184"/>
      <c r="I53" s="183">
        <v>2</v>
      </c>
      <c r="J53" s="182">
        <f t="shared" si="2"/>
        <v>8.9154583639112064E-2</v>
      </c>
      <c r="K53" s="180"/>
      <c r="L53" s="180"/>
      <c r="M53" s="180"/>
      <c r="N53" s="41"/>
      <c r="O53" s="170"/>
    </row>
    <row r="54" spans="1:15" x14ac:dyDescent="0.25">
      <c r="A54" s="188">
        <v>80</v>
      </c>
      <c r="B54" s="185" t="s">
        <v>331</v>
      </c>
      <c r="C54" s="185" t="s">
        <v>329</v>
      </c>
      <c r="D54" s="187">
        <f>0.8/105154*E54*E54*G54*SQRT(G54)+(0.003*EXP(0.319*E54))</f>
        <v>0.11850487334396681</v>
      </c>
      <c r="E54" s="185">
        <v>8</v>
      </c>
      <c r="F54" s="186" t="s">
        <v>30</v>
      </c>
      <c r="G54" s="185">
        <v>30</v>
      </c>
      <c r="H54" s="184" t="s">
        <v>30</v>
      </c>
      <c r="I54" s="183">
        <v>2</v>
      </c>
      <c r="J54" s="182">
        <f t="shared" si="2"/>
        <v>0.23700974668793362</v>
      </c>
      <c r="K54" s="180"/>
      <c r="L54" s="180"/>
      <c r="M54" s="180"/>
      <c r="N54" s="41"/>
      <c r="O54" s="170"/>
    </row>
    <row r="55" spans="1:15" x14ac:dyDescent="0.25">
      <c r="A55" s="188">
        <v>90</v>
      </c>
      <c r="B55" s="185" t="s">
        <v>330</v>
      </c>
      <c r="C55" s="185" t="s">
        <v>329</v>
      </c>
      <c r="D55" s="187">
        <f>0.009*EXP(0.2*E55)</f>
        <v>4.4577291819556032E-2</v>
      </c>
      <c r="E55" s="185">
        <v>8</v>
      </c>
      <c r="F55" s="186" t="s">
        <v>30</v>
      </c>
      <c r="G55" s="185"/>
      <c r="H55" s="184"/>
      <c r="I55" s="183">
        <v>2</v>
      </c>
      <c r="J55" s="182">
        <f t="shared" si="2"/>
        <v>8.9154583639112064E-2</v>
      </c>
      <c r="K55" s="181"/>
      <c r="L55" s="180"/>
      <c r="M55" s="180"/>
      <c r="N55" s="41"/>
      <c r="O55" s="170"/>
    </row>
    <row r="56" spans="1:15" x14ac:dyDescent="0.25">
      <c r="A56" s="173"/>
      <c r="B56" s="15"/>
      <c r="C56" s="15"/>
      <c r="D56" s="15"/>
      <c r="E56" s="15"/>
      <c r="F56" s="15"/>
      <c r="G56" s="15"/>
      <c r="H56" s="15"/>
      <c r="I56" s="179" t="s">
        <v>18</v>
      </c>
      <c r="J56" s="178">
        <f>SUM(J47:J55)</f>
        <v>2.2673941819330707</v>
      </c>
      <c r="K56" s="41"/>
      <c r="L56" s="41"/>
      <c r="M56" s="41"/>
      <c r="N56" s="41"/>
      <c r="O56" s="170"/>
    </row>
    <row r="57" spans="1:15" x14ac:dyDescent="0.25">
      <c r="A57" s="177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170"/>
    </row>
    <row r="58" spans="1:15" x14ac:dyDescent="0.25">
      <c r="A58" s="176" t="s">
        <v>14</v>
      </c>
      <c r="B58" s="175" t="s">
        <v>39</v>
      </c>
      <c r="C58" s="175" t="s">
        <v>20</v>
      </c>
      <c r="D58" s="175" t="s">
        <v>21</v>
      </c>
      <c r="E58" s="175" t="s">
        <v>32</v>
      </c>
      <c r="F58" s="175" t="s">
        <v>17</v>
      </c>
      <c r="G58" s="175" t="s">
        <v>40</v>
      </c>
      <c r="H58" s="175" t="s">
        <v>41</v>
      </c>
      <c r="I58" s="175" t="s">
        <v>18</v>
      </c>
      <c r="J58" s="15"/>
      <c r="K58" s="41"/>
      <c r="L58" s="41"/>
      <c r="M58" s="41"/>
      <c r="N58" s="41"/>
      <c r="O58" s="170"/>
    </row>
    <row r="59" spans="1:15" x14ac:dyDescent="0.25">
      <c r="A59" s="174">
        <v>10</v>
      </c>
      <c r="B59" s="57" t="s">
        <v>42</v>
      </c>
      <c r="C59" s="57" t="s">
        <v>328</v>
      </c>
      <c r="D59" s="58">
        <v>500</v>
      </c>
      <c r="E59" s="57" t="s">
        <v>43</v>
      </c>
      <c r="F59" s="57">
        <v>16</v>
      </c>
      <c r="G59" s="57">
        <v>3000</v>
      </c>
      <c r="H59" s="57">
        <v>1</v>
      </c>
      <c r="I59" s="58">
        <f>D59*F59/G59*H59</f>
        <v>2.6666666666666665</v>
      </c>
      <c r="J59" s="15"/>
      <c r="K59" s="41"/>
      <c r="L59" s="41"/>
      <c r="M59" s="41"/>
      <c r="N59" s="41"/>
      <c r="O59" s="170"/>
    </row>
    <row r="60" spans="1:15" x14ac:dyDescent="0.25">
      <c r="A60" s="173"/>
      <c r="B60" s="15"/>
      <c r="C60" s="15"/>
      <c r="D60" s="15"/>
      <c r="E60" s="15"/>
      <c r="F60" s="15"/>
      <c r="G60" s="15"/>
      <c r="H60" s="172" t="s">
        <v>18</v>
      </c>
      <c r="I60" s="171">
        <f>SUM(I59:I59)</f>
        <v>2.6666666666666665</v>
      </c>
      <c r="J60" s="15"/>
      <c r="K60" s="41"/>
      <c r="L60" s="41"/>
      <c r="M60" s="41"/>
      <c r="N60" s="41"/>
      <c r="O60" s="170"/>
    </row>
    <row r="61" spans="1:15" ht="15.75" thickBot="1" x14ac:dyDescent="0.3">
      <c r="A61" s="169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7"/>
    </row>
    <row r="62" spans="1:15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</row>
  </sheetData>
  <hyperlinks>
    <hyperlink ref="B10" location="EN_0900_001!A1" display="Housing" xr:uid="{DA3E61DF-D2AD-48C3-AF88-6F0CCBCB9351}"/>
    <hyperlink ref="B11" location="EN_0900_002!A1" display="Left Eccentric" xr:uid="{0BA6AE2C-0A00-45A2-8A7B-D87B3090E593}"/>
    <hyperlink ref="B12" location="EN_0900_003!A1" display="Right Eccentric" xr:uid="{DA08F1F9-017B-4164-9E84-D998C8B12ADC}"/>
    <hyperlink ref="B13" location="EN_0900_004!A1" display="Left Eccentric Carrier" xr:uid="{1588C84C-FDCA-4045-AAF6-A5DA801EC158}"/>
    <hyperlink ref="B14" location="EN_0900_005!A1" display="Right Eccentric Carrier" xr:uid="{C2F33B37-11FB-48A0-ADBF-00ACD192344A}"/>
    <hyperlink ref="B15" location="EN_0900_006!A1" display="Upper Eccentric Carrier bracket" xr:uid="{3C258538-23CE-47AB-8146-C084739CA550}"/>
    <hyperlink ref="B16" location="EN_0900_007!A1" display="Lower Eccentric Carrier bracket" xr:uid="{3DE5781F-31EF-4086-9BD0-6AD3267FC968}"/>
    <hyperlink ref="B17" location="EN_0900_008!A1" display="Left Jacking Bar bracket" xr:uid="{60988AB8-F287-436F-9EC9-2E99B50810F9}"/>
    <hyperlink ref="B18" location="EN_0900_009!A1" display="Right Jacking Bar bracket" xr:uid="{25F9E751-6FF5-4CE7-87FC-686F94734F31}"/>
    <hyperlink ref="E2" location="EN_A0900_BOM" display="Back to BOM" xr:uid="{1BBD8373-3CE2-4C18-A0E2-C560217A98A4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EAA4-E2B5-447D-95CF-850881C55961}">
  <sheetPr>
    <tabColor theme="6" tint="0.39997558519241921"/>
    <pageSetUpPr fitToPage="1"/>
  </sheetPr>
  <dimension ref="A1:O40"/>
  <sheetViews>
    <sheetView topLeftCell="A30" zoomScale="70" zoomScaleNormal="70" workbookViewId="0">
      <selection activeCell="E26" sqref="E26"/>
    </sheetView>
  </sheetViews>
  <sheetFormatPr baseColWidth="10" defaultColWidth="9.140625" defaultRowHeight="15" x14ac:dyDescent="0.25"/>
  <cols>
    <col min="9" max="9" width="20" bestFit="1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230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EN_0900_001_m+EN_0900_001_p+EN_0900_001_f</f>
        <v>125.93892271516907</v>
      </c>
      <c r="O2" s="47"/>
    </row>
    <row r="3" spans="1:15" x14ac:dyDescent="0.25">
      <c r="A3" s="103" t="s">
        <v>3</v>
      </c>
      <c r="B3" s="230" t="s">
        <v>372</v>
      </c>
      <c r="C3" s="41"/>
      <c r="D3" s="103" t="s">
        <v>6</v>
      </c>
      <c r="E3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47"/>
    </row>
    <row r="4" spans="1:15" x14ac:dyDescent="0.25">
      <c r="A4" s="103" t="s">
        <v>5</v>
      </c>
      <c r="B4" s="70" t="s">
        <v>395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80" t="s">
        <v>368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125.93892271516907</v>
      </c>
      <c r="O5" s="47"/>
    </row>
    <row r="6" spans="1:15" x14ac:dyDescent="0.25">
      <c r="A6" s="103" t="s">
        <v>7</v>
      </c>
      <c r="B6" s="231" t="s">
        <v>394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230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80" t="s">
        <v>312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216" t="s">
        <v>23</v>
      </c>
      <c r="G10" s="216" t="s">
        <v>24</v>
      </c>
      <c r="H10" s="216" t="s">
        <v>25</v>
      </c>
      <c r="I10" s="216" t="s">
        <v>26</v>
      </c>
      <c r="J10" s="216" t="s">
        <v>27</v>
      </c>
      <c r="K10" s="216" t="s">
        <v>28</v>
      </c>
      <c r="L10" s="216" t="s">
        <v>29</v>
      </c>
      <c r="M10" s="216" t="s">
        <v>17</v>
      </c>
      <c r="N10" s="216" t="s">
        <v>18</v>
      </c>
      <c r="O10" s="47"/>
    </row>
    <row r="11" spans="1:15" s="14" customFormat="1" x14ac:dyDescent="0.25">
      <c r="A11" s="221">
        <v>10</v>
      </c>
      <c r="B11" s="219" t="s">
        <v>393</v>
      </c>
      <c r="C11" s="219"/>
      <c r="D11" s="220">
        <v>4.2</v>
      </c>
      <c r="E11" s="229">
        <f>J11*K11*L11</f>
        <v>1.905804558171124</v>
      </c>
      <c r="F11" s="219" t="s">
        <v>144</v>
      </c>
      <c r="G11" s="219"/>
      <c r="H11" s="227"/>
      <c r="I11" s="228" t="s">
        <v>392</v>
      </c>
      <c r="J11" s="228">
        <f>PI()*51*51/1000000</f>
        <v>8.171282491987052E-3</v>
      </c>
      <c r="K11" s="224">
        <v>8.5999999999999993E-2</v>
      </c>
      <c r="L11" s="223">
        <v>2712</v>
      </c>
      <c r="M11" s="223">
        <v>1</v>
      </c>
      <c r="N11" s="220">
        <f>D11*J11*K11*L11*M11</f>
        <v>8.0043791443187207</v>
      </c>
      <c r="O11" s="51"/>
    </row>
    <row r="12" spans="1:15" s="14" customFormat="1" x14ac:dyDescent="0.25">
      <c r="A12" s="221">
        <v>20</v>
      </c>
      <c r="B12" s="219" t="s">
        <v>393</v>
      </c>
      <c r="C12" s="219"/>
      <c r="D12" s="220">
        <v>4.2</v>
      </c>
      <c r="E12" s="229">
        <f>J12*K12*L12</f>
        <v>1.3961126414509397</v>
      </c>
      <c r="F12" s="219" t="s">
        <v>144</v>
      </c>
      <c r="G12" s="219"/>
      <c r="H12" s="227"/>
      <c r="I12" s="228" t="s">
        <v>392</v>
      </c>
      <c r="J12" s="228">
        <f>PI()*51*51/1000000</f>
        <v>8.171282491987052E-3</v>
      </c>
      <c r="K12" s="224">
        <v>6.3E-2</v>
      </c>
      <c r="L12" s="223">
        <v>2712</v>
      </c>
      <c r="M12" s="223">
        <v>1</v>
      </c>
      <c r="N12" s="220">
        <f>D12*J12*K12*L12*M12</f>
        <v>5.8636730940939472</v>
      </c>
      <c r="O12" s="51"/>
    </row>
    <row r="13" spans="1:15" s="14" customFormat="1" x14ac:dyDescent="0.25">
      <c r="A13" s="221">
        <v>30</v>
      </c>
      <c r="B13" s="219" t="s">
        <v>393</v>
      </c>
      <c r="C13" s="219"/>
      <c r="D13" s="220">
        <v>4.2</v>
      </c>
      <c r="E13" s="229">
        <f>J13*K13*L13</f>
        <v>1.7728414494615108</v>
      </c>
      <c r="F13" s="219" t="s">
        <v>144</v>
      </c>
      <c r="G13" s="219"/>
      <c r="H13" s="227"/>
      <c r="I13" s="226" t="s">
        <v>392</v>
      </c>
      <c r="J13" s="228">
        <f>PI()*51*51/1000000</f>
        <v>8.171282491987052E-3</v>
      </c>
      <c r="K13" s="224">
        <v>0.08</v>
      </c>
      <c r="L13" s="223">
        <v>2712</v>
      </c>
      <c r="M13" s="223">
        <v>1</v>
      </c>
      <c r="N13" s="220">
        <f>D13*J13*K13*L13*M13</f>
        <v>7.4459340877383466</v>
      </c>
      <c r="O13" s="51"/>
    </row>
    <row r="14" spans="1:15" s="14" customFormat="1" x14ac:dyDescent="0.25">
      <c r="A14" s="221">
        <v>40</v>
      </c>
      <c r="B14" s="219" t="s">
        <v>391</v>
      </c>
      <c r="C14" s="219"/>
      <c r="D14" s="220">
        <v>0.05</v>
      </c>
      <c r="E14" s="219"/>
      <c r="F14" s="219" t="s">
        <v>35</v>
      </c>
      <c r="G14" s="219"/>
      <c r="H14" s="227"/>
      <c r="I14" s="226"/>
      <c r="J14" s="225"/>
      <c r="K14" s="224"/>
      <c r="L14" s="223"/>
      <c r="M14" s="223">
        <v>2</v>
      </c>
      <c r="N14" s="220">
        <f>M14*D14</f>
        <v>0.1</v>
      </c>
      <c r="O14" s="51"/>
    </row>
    <row r="15" spans="1:15" x14ac:dyDescent="0.25">
      <c r="A15" s="52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222" t="s">
        <v>18</v>
      </c>
      <c r="N15" s="106">
        <f>SUM(N11:N14)</f>
        <v>21.413986326151015</v>
      </c>
      <c r="O15" s="47"/>
    </row>
    <row r="16" spans="1:15" x14ac:dyDescent="0.25">
      <c r="A16" s="48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7"/>
    </row>
    <row r="17" spans="1:15" x14ac:dyDescent="0.25">
      <c r="A17" s="217" t="s">
        <v>14</v>
      </c>
      <c r="B17" s="216" t="s">
        <v>31</v>
      </c>
      <c r="C17" s="216" t="s">
        <v>20</v>
      </c>
      <c r="D17" s="216" t="s">
        <v>21</v>
      </c>
      <c r="E17" s="216" t="s">
        <v>32</v>
      </c>
      <c r="F17" s="216" t="s">
        <v>17</v>
      </c>
      <c r="G17" s="216" t="s">
        <v>33</v>
      </c>
      <c r="H17" s="216" t="s">
        <v>34</v>
      </c>
      <c r="I17" s="216" t="s">
        <v>18</v>
      </c>
      <c r="J17" s="15"/>
      <c r="K17" s="15"/>
      <c r="L17" s="15"/>
      <c r="M17" s="15"/>
      <c r="N17" s="15"/>
      <c r="O17" s="47"/>
    </row>
    <row r="18" spans="1:15" s="16" customFormat="1" x14ac:dyDescent="0.25">
      <c r="A18" s="221">
        <v>10</v>
      </c>
      <c r="B18" s="213" t="s">
        <v>45</v>
      </c>
      <c r="C18" s="219" t="s">
        <v>384</v>
      </c>
      <c r="D18" s="220">
        <v>1.3</v>
      </c>
      <c r="E18" s="219" t="s">
        <v>35</v>
      </c>
      <c r="F18" s="219">
        <v>1</v>
      </c>
      <c r="G18" s="219"/>
      <c r="H18" s="219">
        <v>1</v>
      </c>
      <c r="I18" s="218">
        <f t="shared" ref="I18:I31" si="0">H18*F18*D18</f>
        <v>1.3</v>
      </c>
      <c r="J18" s="43"/>
      <c r="K18" s="43"/>
      <c r="L18" s="43"/>
      <c r="M18" s="43"/>
      <c r="N18" s="43"/>
      <c r="O18" s="53"/>
    </row>
    <row r="19" spans="1:15" s="16" customFormat="1" x14ac:dyDescent="0.25">
      <c r="A19" s="221">
        <v>20</v>
      </c>
      <c r="B19" s="213" t="s">
        <v>145</v>
      </c>
      <c r="C19" s="219" t="s">
        <v>145</v>
      </c>
      <c r="D19" s="220">
        <v>0.04</v>
      </c>
      <c r="E19" s="219" t="s">
        <v>147</v>
      </c>
      <c r="F19" s="219">
        <v>623</v>
      </c>
      <c r="G19" s="219" t="s">
        <v>383</v>
      </c>
      <c r="H19" s="219">
        <v>1</v>
      </c>
      <c r="I19" s="218">
        <f t="shared" si="0"/>
        <v>24.92</v>
      </c>
      <c r="J19" s="43"/>
      <c r="K19" s="43"/>
      <c r="L19" s="43"/>
      <c r="M19" s="43"/>
      <c r="N19" s="43"/>
      <c r="O19" s="53"/>
    </row>
    <row r="20" spans="1:15" s="16" customFormat="1" x14ac:dyDescent="0.25">
      <c r="A20" s="221">
        <v>30</v>
      </c>
      <c r="B20" s="213" t="s">
        <v>389</v>
      </c>
      <c r="C20" s="219" t="s">
        <v>390</v>
      </c>
      <c r="D20" s="220">
        <v>0.35</v>
      </c>
      <c r="E20" s="219" t="s">
        <v>309</v>
      </c>
      <c r="F20" s="219">
        <v>24</v>
      </c>
      <c r="G20" s="219"/>
      <c r="H20" s="219">
        <v>1</v>
      </c>
      <c r="I20" s="218">
        <f t="shared" si="0"/>
        <v>8.3999999999999986</v>
      </c>
      <c r="J20" s="43"/>
      <c r="K20" s="43"/>
      <c r="L20" s="43"/>
      <c r="M20" s="43"/>
      <c r="N20" s="43"/>
      <c r="O20" s="53"/>
    </row>
    <row r="21" spans="1:15" s="16" customFormat="1" x14ac:dyDescent="0.25">
      <c r="A21" s="221">
        <v>40</v>
      </c>
      <c r="B21" s="213" t="s">
        <v>389</v>
      </c>
      <c r="C21" s="219" t="s">
        <v>388</v>
      </c>
      <c r="D21" s="220">
        <v>0.35</v>
      </c>
      <c r="E21" s="219" t="s">
        <v>309</v>
      </c>
      <c r="F21" s="219">
        <v>3</v>
      </c>
      <c r="G21" s="219"/>
      <c r="H21" s="219">
        <v>1</v>
      </c>
      <c r="I21" s="218">
        <f t="shared" si="0"/>
        <v>1.0499999999999998</v>
      </c>
      <c r="J21" s="43"/>
      <c r="K21" s="43"/>
      <c r="L21" s="43"/>
      <c r="M21" s="43"/>
      <c r="N21" s="43"/>
      <c r="O21" s="53"/>
    </row>
    <row r="22" spans="1:15" s="16" customFormat="1" x14ac:dyDescent="0.25">
      <c r="A22" s="221">
        <v>50</v>
      </c>
      <c r="B22" s="213" t="s">
        <v>45</v>
      </c>
      <c r="C22" s="219" t="s">
        <v>384</v>
      </c>
      <c r="D22" s="220">
        <v>1.3</v>
      </c>
      <c r="E22" s="219" t="s">
        <v>35</v>
      </c>
      <c r="F22" s="219">
        <v>1</v>
      </c>
      <c r="G22" s="219"/>
      <c r="H22" s="219">
        <v>1</v>
      </c>
      <c r="I22" s="218">
        <f t="shared" si="0"/>
        <v>1.3</v>
      </c>
      <c r="J22" s="43"/>
      <c r="K22" s="43"/>
      <c r="L22" s="43"/>
      <c r="M22" s="43"/>
      <c r="N22" s="43"/>
      <c r="O22" s="53"/>
    </row>
    <row r="23" spans="1:15" s="16" customFormat="1" x14ac:dyDescent="0.25">
      <c r="A23" s="221">
        <v>60</v>
      </c>
      <c r="B23" s="213" t="s">
        <v>145</v>
      </c>
      <c r="C23" s="219" t="s">
        <v>145</v>
      </c>
      <c r="D23" s="220">
        <v>0.04</v>
      </c>
      <c r="E23" s="219" t="s">
        <v>147</v>
      </c>
      <c r="F23" s="219">
        <v>426</v>
      </c>
      <c r="G23" s="219" t="s">
        <v>383</v>
      </c>
      <c r="H23" s="219">
        <v>1</v>
      </c>
      <c r="I23" s="218">
        <f t="shared" si="0"/>
        <v>17.04</v>
      </c>
      <c r="J23" s="43"/>
      <c r="K23" s="43"/>
      <c r="L23" s="43"/>
      <c r="M23" s="43"/>
      <c r="N23" s="43"/>
      <c r="O23" s="53"/>
    </row>
    <row r="24" spans="1:15" s="16" customFormat="1" ht="60" x14ac:dyDescent="0.25">
      <c r="A24" s="221">
        <v>70</v>
      </c>
      <c r="B24" s="244" t="s">
        <v>382</v>
      </c>
      <c r="C24" s="219" t="s">
        <v>387</v>
      </c>
      <c r="D24" s="220">
        <v>0.35</v>
      </c>
      <c r="E24" s="219" t="s">
        <v>309</v>
      </c>
      <c r="F24" s="219">
        <v>12</v>
      </c>
      <c r="G24" s="219"/>
      <c r="H24" s="219">
        <v>1</v>
      </c>
      <c r="I24" s="218">
        <f t="shared" si="0"/>
        <v>4.1999999999999993</v>
      </c>
      <c r="J24" s="43"/>
      <c r="K24" s="43"/>
      <c r="L24" s="43"/>
      <c r="M24" s="43"/>
      <c r="N24" s="43"/>
      <c r="O24" s="53"/>
    </row>
    <row r="25" spans="1:15" s="16" customFormat="1" ht="30" x14ac:dyDescent="0.25">
      <c r="A25" s="221">
        <v>80</v>
      </c>
      <c r="B25" s="244" t="s">
        <v>386</v>
      </c>
      <c r="C25" s="219" t="s">
        <v>385</v>
      </c>
      <c r="D25" s="220">
        <v>0.5</v>
      </c>
      <c r="E25" s="219" t="s">
        <v>46</v>
      </c>
      <c r="F25" s="219">
        <v>3.5</v>
      </c>
      <c r="G25" s="219"/>
      <c r="H25" s="219">
        <v>1</v>
      </c>
      <c r="I25" s="218">
        <f t="shared" si="0"/>
        <v>1.75</v>
      </c>
      <c r="J25" s="43"/>
      <c r="K25" s="43"/>
      <c r="L25" s="43"/>
      <c r="M25" s="43"/>
      <c r="N25" s="43"/>
      <c r="O25" s="53"/>
    </row>
    <row r="26" spans="1:15" s="16" customFormat="1" x14ac:dyDescent="0.25">
      <c r="A26" s="221">
        <v>90</v>
      </c>
      <c r="B26" s="213" t="s">
        <v>45</v>
      </c>
      <c r="C26" s="219" t="s">
        <v>384</v>
      </c>
      <c r="D26" s="220">
        <v>1.3</v>
      </c>
      <c r="E26" s="219" t="s">
        <v>35</v>
      </c>
      <c r="F26" s="219">
        <v>1</v>
      </c>
      <c r="G26" s="219"/>
      <c r="H26" s="219">
        <v>1</v>
      </c>
      <c r="I26" s="218">
        <f t="shared" si="0"/>
        <v>1.3</v>
      </c>
      <c r="J26" s="43"/>
      <c r="K26" s="43"/>
      <c r="L26" s="43"/>
      <c r="M26" s="43"/>
      <c r="N26" s="43"/>
      <c r="O26" s="53"/>
    </row>
    <row r="27" spans="1:15" s="16" customFormat="1" x14ac:dyDescent="0.25">
      <c r="A27" s="221">
        <v>100</v>
      </c>
      <c r="B27" s="213" t="s">
        <v>145</v>
      </c>
      <c r="C27" s="219" t="s">
        <v>145</v>
      </c>
      <c r="D27" s="220">
        <v>0.04</v>
      </c>
      <c r="E27" s="219" t="s">
        <v>147</v>
      </c>
      <c r="F27" s="219">
        <v>538</v>
      </c>
      <c r="G27" s="219" t="s">
        <v>383</v>
      </c>
      <c r="H27" s="219">
        <v>1</v>
      </c>
      <c r="I27" s="218">
        <f t="shared" si="0"/>
        <v>21.52</v>
      </c>
      <c r="J27" s="43"/>
      <c r="K27" s="43"/>
      <c r="L27" s="43"/>
      <c r="M27" s="43"/>
      <c r="N27" s="43"/>
      <c r="O27" s="53"/>
    </row>
    <row r="28" spans="1:15" s="16" customFormat="1" ht="60" x14ac:dyDescent="0.25">
      <c r="A28" s="221">
        <v>110</v>
      </c>
      <c r="B28" s="244" t="s">
        <v>382</v>
      </c>
      <c r="C28" s="219" t="s">
        <v>381</v>
      </c>
      <c r="D28" s="220">
        <v>0.35</v>
      </c>
      <c r="E28" s="219" t="s">
        <v>309</v>
      </c>
      <c r="F28" s="219">
        <v>12</v>
      </c>
      <c r="G28" s="219"/>
      <c r="H28" s="219">
        <v>1</v>
      </c>
      <c r="I28" s="218">
        <f t="shared" si="0"/>
        <v>4.1999999999999993</v>
      </c>
      <c r="J28" s="43"/>
      <c r="K28" s="43"/>
      <c r="L28" s="43"/>
      <c r="M28" s="43"/>
      <c r="N28" s="43"/>
      <c r="O28" s="53"/>
    </row>
    <row r="29" spans="1:15" s="16" customFormat="1" ht="60" x14ac:dyDescent="0.25">
      <c r="A29" s="221">
        <v>120</v>
      </c>
      <c r="B29" s="244" t="s">
        <v>154</v>
      </c>
      <c r="C29" s="219" t="s">
        <v>380</v>
      </c>
      <c r="D29" s="220">
        <v>0.13</v>
      </c>
      <c r="E29" s="219" t="s">
        <v>35</v>
      </c>
      <c r="F29" s="219">
        <v>2</v>
      </c>
      <c r="G29" s="219"/>
      <c r="H29" s="219">
        <v>1</v>
      </c>
      <c r="I29" s="218">
        <f t="shared" si="0"/>
        <v>0.26</v>
      </c>
      <c r="J29" s="43"/>
      <c r="K29" s="43"/>
      <c r="L29" s="43"/>
      <c r="M29" s="43"/>
      <c r="N29" s="43"/>
      <c r="O29" s="53"/>
    </row>
    <row r="30" spans="1:15" ht="45" x14ac:dyDescent="0.25">
      <c r="A30" s="221">
        <v>130</v>
      </c>
      <c r="B30" s="244" t="s">
        <v>142</v>
      </c>
      <c r="C30" s="219" t="s">
        <v>380</v>
      </c>
      <c r="D30" s="220">
        <v>0.5</v>
      </c>
      <c r="E30" s="219" t="s">
        <v>35</v>
      </c>
      <c r="F30" s="219">
        <v>24</v>
      </c>
      <c r="G30" s="219"/>
      <c r="H30" s="219">
        <v>1</v>
      </c>
      <c r="I30" s="218">
        <f t="shared" si="0"/>
        <v>12</v>
      </c>
      <c r="J30" s="41"/>
      <c r="L30" s="41"/>
      <c r="M30" s="41"/>
      <c r="N30" s="41"/>
      <c r="O30" s="47"/>
    </row>
    <row r="31" spans="1:15" s="12" customFormat="1" ht="45" x14ac:dyDescent="0.25">
      <c r="A31" s="221">
        <v>140</v>
      </c>
      <c r="B31" s="244" t="s">
        <v>379</v>
      </c>
      <c r="C31" s="219" t="s">
        <v>378</v>
      </c>
      <c r="D31" s="220">
        <v>0.75</v>
      </c>
      <c r="E31" s="219" t="s">
        <v>35</v>
      </c>
      <c r="F31" s="219">
        <v>3</v>
      </c>
      <c r="G31" s="219"/>
      <c r="H31" s="219">
        <v>1</v>
      </c>
      <c r="I31" s="218">
        <f t="shared" si="0"/>
        <v>2.25</v>
      </c>
      <c r="J31" s="42"/>
      <c r="K31" s="42"/>
      <c r="L31" s="42"/>
      <c r="M31" s="42"/>
      <c r="N31" s="42"/>
      <c r="O31" s="50"/>
    </row>
    <row r="32" spans="1:15" x14ac:dyDescent="0.25">
      <c r="A32" s="52"/>
      <c r="B32" s="15"/>
      <c r="C32" s="15"/>
      <c r="D32" s="15"/>
      <c r="E32" s="15"/>
      <c r="F32" s="15"/>
      <c r="G32" s="15"/>
      <c r="H32" s="109" t="s">
        <v>18</v>
      </c>
      <c r="I32" s="106">
        <f>SUM(I18:I31)</f>
        <v>101.49</v>
      </c>
      <c r="J32" s="15"/>
      <c r="K32" s="15"/>
      <c r="L32" s="15"/>
      <c r="M32" s="15"/>
      <c r="N32" s="15"/>
      <c r="O32" s="47"/>
    </row>
    <row r="33" spans="1:15" x14ac:dyDescent="0.25">
      <c r="A33" s="48"/>
      <c r="B33" s="41"/>
      <c r="C33" s="41"/>
      <c r="D33" s="41"/>
      <c r="E33" s="41"/>
      <c r="F33" s="41"/>
      <c r="G33" s="41"/>
      <c r="H33" s="41"/>
      <c r="I33" s="42"/>
      <c r="J33" s="41"/>
      <c r="K33" s="41"/>
      <c r="L33" s="41"/>
      <c r="M33" s="41"/>
      <c r="N33" s="41"/>
      <c r="O33" s="47"/>
    </row>
    <row r="34" spans="1:15" x14ac:dyDescent="0.25">
      <c r="A34" s="217" t="s">
        <v>14</v>
      </c>
      <c r="B34" s="216" t="s">
        <v>36</v>
      </c>
      <c r="C34" s="216" t="s">
        <v>20</v>
      </c>
      <c r="D34" s="216" t="s">
        <v>21</v>
      </c>
      <c r="E34" s="216" t="s">
        <v>22</v>
      </c>
      <c r="F34" s="216" t="s">
        <v>23</v>
      </c>
      <c r="G34" s="216" t="s">
        <v>24</v>
      </c>
      <c r="H34" s="216" t="s">
        <v>25</v>
      </c>
      <c r="I34" s="216" t="s">
        <v>17</v>
      </c>
      <c r="J34" s="216" t="s">
        <v>18</v>
      </c>
      <c r="K34" s="41"/>
      <c r="L34" s="41"/>
      <c r="M34" s="41"/>
      <c r="N34" s="41"/>
      <c r="O34" s="47"/>
    </row>
    <row r="35" spans="1:15" ht="45" x14ac:dyDescent="0.25">
      <c r="A35" s="213">
        <v>10</v>
      </c>
      <c r="B35" s="198" t="s">
        <v>377</v>
      </c>
      <c r="C35" s="213" t="s">
        <v>376</v>
      </c>
      <c r="D35" s="215">
        <f>1.25/105154*E35*E35*G35*SQRT(G35)+0.005*EXP(0.319*E35)</f>
        <v>5.6317842209943889E-2</v>
      </c>
      <c r="E35" s="213">
        <v>6</v>
      </c>
      <c r="F35" s="214" t="s">
        <v>30</v>
      </c>
      <c r="G35" s="213">
        <v>14</v>
      </c>
      <c r="H35" s="213" t="s">
        <v>30</v>
      </c>
      <c r="I35" s="212">
        <v>24</v>
      </c>
      <c r="J35" s="211">
        <f>I35*D35</f>
        <v>1.3516282130386532</v>
      </c>
      <c r="K35" s="41"/>
      <c r="L35" s="41"/>
      <c r="M35" s="41"/>
      <c r="N35" s="41"/>
      <c r="O35" s="47"/>
    </row>
    <row r="36" spans="1:15" ht="45" x14ac:dyDescent="0.25">
      <c r="A36" s="213">
        <v>20</v>
      </c>
      <c r="B36" s="198" t="s">
        <v>375</v>
      </c>
      <c r="C36" s="213"/>
      <c r="D36" s="215">
        <v>0.02</v>
      </c>
      <c r="E36" s="213"/>
      <c r="F36" s="214" t="s">
        <v>35</v>
      </c>
      <c r="G36" s="213"/>
      <c r="H36" s="213"/>
      <c r="I36" s="212">
        <v>24</v>
      </c>
      <c r="J36" s="211">
        <f>I36*D36</f>
        <v>0.48</v>
      </c>
      <c r="K36" s="41"/>
      <c r="L36" s="41"/>
      <c r="M36" s="41"/>
      <c r="N36" s="41"/>
      <c r="O36" s="47"/>
    </row>
    <row r="37" spans="1:15" ht="60" x14ac:dyDescent="0.25">
      <c r="A37" s="213">
        <v>30</v>
      </c>
      <c r="B37" s="198" t="s">
        <v>374</v>
      </c>
      <c r="C37" s="213"/>
      <c r="D37" s="215">
        <f>1/105154*E37*E37*G37*SQRT(G37)+0.004*EXP(0.319*E37)</f>
        <v>6.5102725326469366E-2</v>
      </c>
      <c r="E37" s="213">
        <v>8</v>
      </c>
      <c r="F37" s="214" t="s">
        <v>30</v>
      </c>
      <c r="G37" s="213">
        <v>8</v>
      </c>
      <c r="H37" s="213" t="s">
        <v>30</v>
      </c>
      <c r="I37" s="212">
        <v>3</v>
      </c>
      <c r="J37" s="211">
        <f>I37*D37</f>
        <v>0.19530817597940808</v>
      </c>
      <c r="K37" s="41"/>
      <c r="L37" s="41"/>
      <c r="M37" s="41"/>
      <c r="N37" s="41"/>
      <c r="O37" s="47"/>
    </row>
    <row r="38" spans="1:15" ht="30" x14ac:dyDescent="0.25">
      <c r="A38" s="213">
        <v>40</v>
      </c>
      <c r="B38" s="198" t="s">
        <v>373</v>
      </c>
      <c r="C38" s="213"/>
      <c r="D38" s="215">
        <v>0.33600000000000002</v>
      </c>
      <c r="E38" s="213">
        <v>8</v>
      </c>
      <c r="F38" s="214" t="s">
        <v>30</v>
      </c>
      <c r="G38" s="213"/>
      <c r="H38" s="213"/>
      <c r="I38" s="212">
        <v>3</v>
      </c>
      <c r="J38" s="211">
        <f>I38*D38</f>
        <v>1.008</v>
      </c>
      <c r="K38" s="41"/>
      <c r="L38" s="41"/>
      <c r="M38" s="41"/>
      <c r="N38" s="41"/>
      <c r="O38" s="47"/>
    </row>
    <row r="39" spans="1:15" x14ac:dyDescent="0.25">
      <c r="A39" s="52"/>
      <c r="B39" s="15"/>
      <c r="C39" s="15"/>
      <c r="D39" s="15"/>
      <c r="E39" s="15"/>
      <c r="F39" s="15"/>
      <c r="G39" s="15"/>
      <c r="H39" s="15"/>
      <c r="I39" s="109" t="s">
        <v>18</v>
      </c>
      <c r="J39" s="106">
        <f>SUM(J35:J38)</f>
        <v>3.0349363890180614</v>
      </c>
      <c r="K39" s="41"/>
      <c r="L39" s="41"/>
      <c r="M39" s="41"/>
      <c r="N39" s="41"/>
      <c r="O39" s="47"/>
    </row>
    <row r="40" spans="1:15" ht="15.75" thickBot="1" x14ac:dyDescent="0.3">
      <c r="A40" s="54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6"/>
    </row>
  </sheetData>
  <hyperlinks>
    <hyperlink ref="B4" location="EN_A0900!A1" display="Differential" xr:uid="{6CB8330E-FA96-4AEF-AF47-83214EE548D7}"/>
    <hyperlink ref="G2" location="EN_A0900_BOM" display="Back to BOM" xr:uid="{7F0E6870-F107-4B35-AA65-CC0D7EA7E82A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40" max="16383" man="1"/>
    <brk id="74" max="16383" man="1"/>
  </rowBreaks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0B353-3811-44FB-8081-614D111618C0}">
  <sheetPr>
    <tabColor theme="6" tint="0.39997558519241921"/>
  </sheetPr>
  <dimension ref="A1:O26"/>
  <sheetViews>
    <sheetView workbookViewId="0">
      <selection activeCell="N3" sqref="N3"/>
    </sheetView>
  </sheetViews>
  <sheetFormatPr baseColWidth="10" defaultRowHeight="15" x14ac:dyDescent="0.25"/>
  <cols>
    <col min="2" max="2" width="33.7109375" bestFit="1" customWidth="1"/>
    <col min="3" max="3" width="22.7109375" bestFit="1" customWidth="1"/>
  </cols>
  <sheetData>
    <row r="1" spans="1:15" x14ac:dyDescent="0.25">
      <c r="A1" s="210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8"/>
    </row>
    <row r="2" spans="1:15" x14ac:dyDescent="0.25">
      <c r="A2" s="261" t="s">
        <v>0</v>
      </c>
      <c r="B2" s="262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EN_0900_002_m+EN_0900_002_p</f>
        <v>10.904564699673662</v>
      </c>
      <c r="O2" s="170"/>
    </row>
    <row r="3" spans="1:15" x14ac:dyDescent="0.25">
      <c r="A3" s="266" t="s">
        <v>3</v>
      </c>
      <c r="B3" s="262" t="s">
        <v>372</v>
      </c>
      <c r="C3" s="41"/>
      <c r="D3" s="265" t="s">
        <v>6</v>
      </c>
      <c r="E3" s="41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170"/>
    </row>
    <row r="4" spans="1:15" x14ac:dyDescent="0.25">
      <c r="A4" s="245" t="s">
        <v>5</v>
      </c>
      <c r="B4" s="69" t="s">
        <v>395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170"/>
    </row>
    <row r="5" spans="1:15" x14ac:dyDescent="0.25">
      <c r="A5" s="245" t="s">
        <v>15</v>
      </c>
      <c r="B5" s="41" t="s">
        <v>367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10.904564699673662</v>
      </c>
      <c r="O5" s="170"/>
    </row>
    <row r="6" spans="1:15" x14ac:dyDescent="0.25">
      <c r="A6" s="245" t="s">
        <v>7</v>
      </c>
      <c r="B6" s="264" t="s">
        <v>401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170"/>
    </row>
    <row r="7" spans="1:15" x14ac:dyDescent="0.25">
      <c r="A7" s="263" t="s">
        <v>10</v>
      </c>
      <c r="B7" s="262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70"/>
    </row>
    <row r="8" spans="1:15" x14ac:dyDescent="0.25">
      <c r="A8" s="261" t="s">
        <v>13</v>
      </c>
      <c r="B8" s="18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70"/>
    </row>
    <row r="9" spans="1:15" x14ac:dyDescent="0.25">
      <c r="A9" s="260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70"/>
    </row>
    <row r="10" spans="1:15" x14ac:dyDescent="0.25">
      <c r="A10" s="259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216" t="s">
        <v>23</v>
      </c>
      <c r="G10" s="216" t="s">
        <v>24</v>
      </c>
      <c r="H10" s="216" t="s">
        <v>25</v>
      </c>
      <c r="I10" s="216" t="s">
        <v>26</v>
      </c>
      <c r="J10" s="216" t="s">
        <v>27</v>
      </c>
      <c r="K10" s="216" t="s">
        <v>28</v>
      </c>
      <c r="L10" s="216" t="s">
        <v>29</v>
      </c>
      <c r="M10" s="216" t="s">
        <v>17</v>
      </c>
      <c r="N10" s="216" t="s">
        <v>18</v>
      </c>
      <c r="O10" s="170"/>
    </row>
    <row r="11" spans="1:15" x14ac:dyDescent="0.25">
      <c r="A11" s="258">
        <v>10</v>
      </c>
      <c r="B11" s="257" t="s">
        <v>400</v>
      </c>
      <c r="C11" s="213"/>
      <c r="D11" s="220">
        <v>3.3</v>
      </c>
      <c r="E11" s="229">
        <f>J11*K11*L11</f>
        <v>0.78556506050717001</v>
      </c>
      <c r="F11" s="219" t="s">
        <v>144</v>
      </c>
      <c r="G11" s="219"/>
      <c r="H11" s="227"/>
      <c r="I11" s="228" t="s">
        <v>399</v>
      </c>
      <c r="J11" s="228">
        <f>PI()*87.5*87.5/1000000</f>
        <v>2.4052818754046849E-2</v>
      </c>
      <c r="K11" s="224">
        <v>2.3E-2</v>
      </c>
      <c r="L11" s="223">
        <v>1420</v>
      </c>
      <c r="M11" s="223">
        <v>1</v>
      </c>
      <c r="N11" s="220">
        <f>E11*D11</f>
        <v>2.5923646996736607</v>
      </c>
      <c r="O11" s="199"/>
    </row>
    <row r="12" spans="1:15" x14ac:dyDescent="0.25">
      <c r="A12" s="256"/>
      <c r="B12" s="255"/>
      <c r="C12" s="253"/>
      <c r="D12" s="254"/>
      <c r="E12" s="253"/>
      <c r="F12" s="253"/>
      <c r="G12" s="253"/>
      <c r="H12" s="252"/>
      <c r="I12" s="251"/>
      <c r="J12" s="250"/>
      <c r="K12" s="249"/>
      <c r="L12" s="248"/>
      <c r="M12" s="247"/>
      <c r="N12" s="246"/>
      <c r="O12" s="199"/>
    </row>
    <row r="13" spans="1:15" x14ac:dyDescent="0.25">
      <c r="A13" s="173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22" t="s">
        <v>18</v>
      </c>
      <c r="N13" s="106">
        <f>SUM(N11:N11)</f>
        <v>2.5923646996736607</v>
      </c>
      <c r="O13" s="170"/>
    </row>
    <row r="14" spans="1:15" x14ac:dyDescent="0.25">
      <c r="A14" s="177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70"/>
    </row>
    <row r="15" spans="1:15" x14ac:dyDescent="0.25">
      <c r="A15" s="245" t="s">
        <v>14</v>
      </c>
      <c r="B15" s="216" t="s">
        <v>31</v>
      </c>
      <c r="C15" s="216" t="s">
        <v>20</v>
      </c>
      <c r="D15" s="216" t="s">
        <v>21</v>
      </c>
      <c r="E15" s="216" t="s">
        <v>32</v>
      </c>
      <c r="F15" s="216" t="s">
        <v>17</v>
      </c>
      <c r="G15" s="216" t="s">
        <v>33</v>
      </c>
      <c r="H15" s="216" t="s">
        <v>34</v>
      </c>
      <c r="I15" s="216" t="s">
        <v>18</v>
      </c>
      <c r="J15" s="15"/>
      <c r="K15" s="15"/>
      <c r="L15" s="15"/>
      <c r="M15" s="15"/>
      <c r="N15" s="15"/>
      <c r="O15" s="170"/>
    </row>
    <row r="16" spans="1:15" x14ac:dyDescent="0.25">
      <c r="A16" s="239">
        <v>10</v>
      </c>
      <c r="B16" s="244" t="s">
        <v>45</v>
      </c>
      <c r="C16" s="243" t="s">
        <v>398</v>
      </c>
      <c r="D16" s="242">
        <v>1.3</v>
      </c>
      <c r="E16" s="240" t="s">
        <v>32</v>
      </c>
      <c r="F16" s="240">
        <v>1</v>
      </c>
      <c r="G16" s="241"/>
      <c r="H16" s="240"/>
      <c r="I16" s="234">
        <f>IF(H16="",D16*F16,D16*F16*H16)</f>
        <v>1.3</v>
      </c>
      <c r="J16" s="43"/>
      <c r="K16" s="43"/>
      <c r="L16" s="43"/>
      <c r="M16" s="43"/>
      <c r="N16" s="43"/>
      <c r="O16" s="191"/>
    </row>
    <row r="17" spans="1:15" ht="30" x14ac:dyDescent="0.25">
      <c r="A17" s="239">
        <v>20</v>
      </c>
      <c r="B17" s="190" t="s">
        <v>145</v>
      </c>
      <c r="C17" s="213" t="s">
        <v>397</v>
      </c>
      <c r="D17" s="238">
        <v>0.04</v>
      </c>
      <c r="E17" s="237" t="s">
        <v>147</v>
      </c>
      <c r="F17" s="236">
        <v>350.61</v>
      </c>
      <c r="G17" s="190" t="s">
        <v>396</v>
      </c>
      <c r="H17" s="235">
        <v>0.5</v>
      </c>
      <c r="I17" s="234">
        <f>IF(H17="",D17*F17,D17*F17*H17)</f>
        <v>7.0122</v>
      </c>
      <c r="J17" s="43"/>
      <c r="K17" s="43"/>
      <c r="L17" s="43"/>
      <c r="M17" s="43"/>
      <c r="N17" s="43"/>
      <c r="O17" s="191"/>
    </row>
    <row r="18" spans="1:15" x14ac:dyDescent="0.25">
      <c r="A18" s="173"/>
      <c r="B18" s="15"/>
      <c r="C18" s="15"/>
      <c r="D18" s="15"/>
      <c r="E18" s="15"/>
      <c r="F18" s="15"/>
      <c r="G18" s="15"/>
      <c r="H18" s="109" t="s">
        <v>18</v>
      </c>
      <c r="I18" s="106">
        <f>SUM(I16:I17)</f>
        <v>8.3122000000000007</v>
      </c>
      <c r="J18" s="15"/>
      <c r="K18" s="15"/>
      <c r="L18" s="15"/>
      <c r="M18" s="15"/>
      <c r="N18" s="15"/>
      <c r="O18" s="170"/>
    </row>
    <row r="19" spans="1:15" x14ac:dyDescent="0.25">
      <c r="A19" s="177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70"/>
    </row>
    <row r="20" spans="1:15" x14ac:dyDescent="0.25">
      <c r="A20" s="177"/>
      <c r="B20" s="41"/>
      <c r="C20" s="232"/>
      <c r="D20" s="232"/>
      <c r="E20" s="233"/>
      <c r="F20" s="41"/>
      <c r="G20" s="41"/>
      <c r="H20" s="41"/>
      <c r="I20" s="41"/>
      <c r="J20" s="41"/>
      <c r="K20" s="41"/>
      <c r="L20" s="41"/>
      <c r="M20" s="41"/>
      <c r="N20" s="41"/>
      <c r="O20" s="170"/>
    </row>
    <row r="21" spans="1:15" x14ac:dyDescent="0.25">
      <c r="A21" s="177"/>
      <c r="B21" s="41"/>
      <c r="C21" s="232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70"/>
    </row>
    <row r="22" spans="1:15" x14ac:dyDescent="0.25">
      <c r="A22" s="177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70"/>
    </row>
    <row r="23" spans="1:15" x14ac:dyDescent="0.25">
      <c r="A23" s="177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70"/>
    </row>
    <row r="24" spans="1:15" x14ac:dyDescent="0.25">
      <c r="A24" s="177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70"/>
    </row>
    <row r="25" spans="1:15" x14ac:dyDescent="0.25">
      <c r="A25" s="177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70"/>
    </row>
    <row r="26" spans="1:15" ht="15.75" thickBot="1" x14ac:dyDescent="0.3">
      <c r="A26" s="169"/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7"/>
    </row>
  </sheetData>
  <hyperlinks>
    <hyperlink ref="D3" location="'EN_0900_002 Drawing'!A1" display="FileLink1" xr:uid="{ECDC8661-0D3F-4C07-AD93-18900582CBCA}"/>
    <hyperlink ref="B4" location="EN_A0900!A1" display="Differential" xr:uid="{606CCB03-2F4A-462D-B9DA-17F06C3B5AE9}"/>
    <hyperlink ref="G2" location="EN_A0900_BOM" display="Back to BOM" xr:uid="{FF34ABBE-4643-4BEE-9312-928EABE24441}"/>
  </hyperlink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64D-D535-4AB2-8552-F4708BCFD89F}">
  <sheetPr>
    <tabColor theme="6" tint="0.39997558519241921"/>
    <pageSetUpPr fitToPage="1"/>
  </sheetPr>
  <dimension ref="A1:B1"/>
  <sheetViews>
    <sheetView zoomScale="85" zoomScaleNormal="85" workbookViewId="0">
      <selection activeCell="I21" sqref="I21"/>
    </sheetView>
  </sheetViews>
  <sheetFormatPr baseColWidth="10" defaultRowHeight="15" x14ac:dyDescent="0.25"/>
  <cols>
    <col min="1" max="1" width="14" customWidth="1"/>
  </cols>
  <sheetData>
    <row r="1" spans="1:2" x14ac:dyDescent="0.25">
      <c r="A1" s="70" t="s">
        <v>401</v>
      </c>
      <c r="B1" s="70"/>
    </row>
  </sheetData>
  <hyperlinks>
    <hyperlink ref="A1" location="EN_0900_002" display="EN_0900_002" xr:uid="{3E6B704C-0A42-4901-8D65-9CD184337D9B}"/>
  </hyperlinks>
  <pageMargins left="0.7" right="0.7" top="0.75" bottom="0.75" header="0.3" footer="0.3"/>
  <pageSetup paperSize="9" fitToHeight="0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3BE53-FDF5-43E6-B803-FB79C695615F}">
  <sheetPr>
    <tabColor theme="6" tint="0.39997558519241921"/>
  </sheetPr>
  <dimension ref="A1:P31"/>
  <sheetViews>
    <sheetView zoomScale="70" zoomScaleNormal="70" workbookViewId="0">
      <selection activeCell="N3" sqref="N3"/>
    </sheetView>
  </sheetViews>
  <sheetFormatPr baseColWidth="10" defaultRowHeight="15" x14ac:dyDescent="0.25"/>
  <cols>
    <col min="2" max="2" width="33.7109375" bestFit="1" customWidth="1"/>
  </cols>
  <sheetData>
    <row r="1" spans="1:15" x14ac:dyDescent="0.25">
      <c r="A1" s="210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8"/>
    </row>
    <row r="2" spans="1:15" x14ac:dyDescent="0.25">
      <c r="A2" s="261" t="s">
        <v>0</v>
      </c>
      <c r="B2" s="262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EN_0900_003_m+EN_0900_003_p</f>
        <v>8.5389646196590014</v>
      </c>
      <c r="O2" s="170"/>
    </row>
    <row r="3" spans="1:15" x14ac:dyDescent="0.25">
      <c r="A3" s="266" t="s">
        <v>3</v>
      </c>
      <c r="B3" s="262" t="s">
        <v>372</v>
      </c>
      <c r="C3" s="41"/>
      <c r="D3" s="265" t="s">
        <v>6</v>
      </c>
      <c r="E3" s="41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170"/>
    </row>
    <row r="4" spans="1:15" x14ac:dyDescent="0.25">
      <c r="A4" s="245" t="s">
        <v>5</v>
      </c>
      <c r="B4" s="69" t="s">
        <v>395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170"/>
    </row>
    <row r="5" spans="1:15" x14ac:dyDescent="0.25">
      <c r="A5" s="245" t="s">
        <v>15</v>
      </c>
      <c r="B5" s="41" t="s">
        <v>366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8.5389646196590014</v>
      </c>
      <c r="O5" s="170"/>
    </row>
    <row r="6" spans="1:15" x14ac:dyDescent="0.25">
      <c r="A6" s="245" t="s">
        <v>7</v>
      </c>
      <c r="B6" s="264" t="s">
        <v>403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170"/>
    </row>
    <row r="7" spans="1:15" x14ac:dyDescent="0.25">
      <c r="A7" s="263" t="s">
        <v>10</v>
      </c>
      <c r="B7" s="262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70"/>
    </row>
    <row r="8" spans="1:15" x14ac:dyDescent="0.25">
      <c r="A8" s="261" t="s">
        <v>13</v>
      </c>
      <c r="B8" s="18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70"/>
    </row>
    <row r="9" spans="1:15" x14ac:dyDescent="0.25">
      <c r="A9" s="260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70"/>
    </row>
    <row r="10" spans="1:15" x14ac:dyDescent="0.25">
      <c r="A10" s="259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216" t="s">
        <v>23</v>
      </c>
      <c r="G10" s="216" t="s">
        <v>24</v>
      </c>
      <c r="H10" s="216" t="s">
        <v>25</v>
      </c>
      <c r="I10" s="216" t="s">
        <v>26</v>
      </c>
      <c r="J10" s="216" t="s">
        <v>27</v>
      </c>
      <c r="K10" s="216" t="s">
        <v>28</v>
      </c>
      <c r="L10" s="216" t="s">
        <v>29</v>
      </c>
      <c r="M10" s="216" t="s">
        <v>17</v>
      </c>
      <c r="N10" s="216" t="s">
        <v>18</v>
      </c>
      <c r="O10" s="170"/>
    </row>
    <row r="11" spans="1:15" x14ac:dyDescent="0.25">
      <c r="A11" s="258">
        <v>10</v>
      </c>
      <c r="B11" s="257" t="s">
        <v>400</v>
      </c>
      <c r="C11" s="213"/>
      <c r="D11" s="220">
        <v>3.3</v>
      </c>
      <c r="E11" s="229">
        <f>J11*K11*L11</f>
        <v>0.60726200595727309</v>
      </c>
      <c r="F11" s="219" t="s">
        <v>144</v>
      </c>
      <c r="G11" s="219"/>
      <c r="H11" s="227"/>
      <c r="I11" s="228" t="s">
        <v>402</v>
      </c>
      <c r="J11" s="228">
        <f>PI()*82.5*82.5/1000000</f>
        <v>2.138246499849553E-2</v>
      </c>
      <c r="K11" s="224">
        <v>0.02</v>
      </c>
      <c r="L11" s="223">
        <v>1420</v>
      </c>
      <c r="M11" s="223">
        <v>1</v>
      </c>
      <c r="N11" s="220">
        <f>E11*D11</f>
        <v>2.0039646196590013</v>
      </c>
      <c r="O11" s="199"/>
    </row>
    <row r="12" spans="1:15" x14ac:dyDescent="0.25">
      <c r="A12" s="256"/>
      <c r="B12" s="255"/>
      <c r="C12" s="253"/>
      <c r="D12" s="254"/>
      <c r="E12" s="253"/>
      <c r="F12" s="253"/>
      <c r="G12" s="253"/>
      <c r="H12" s="252"/>
      <c r="I12" s="251"/>
      <c r="J12" s="250"/>
      <c r="K12" s="249"/>
      <c r="L12" s="248"/>
      <c r="M12" s="247"/>
      <c r="N12" s="246"/>
      <c r="O12" s="199"/>
    </row>
    <row r="13" spans="1:15" x14ac:dyDescent="0.25">
      <c r="A13" s="173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22" t="s">
        <v>18</v>
      </c>
      <c r="N13" s="106">
        <f>SUM(N11:N11)</f>
        <v>2.0039646196590013</v>
      </c>
      <c r="O13" s="170"/>
    </row>
    <row r="14" spans="1:15" x14ac:dyDescent="0.25">
      <c r="A14" s="177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70"/>
    </row>
    <row r="15" spans="1:15" x14ac:dyDescent="0.25">
      <c r="A15" s="245" t="s">
        <v>14</v>
      </c>
      <c r="B15" s="216" t="s">
        <v>31</v>
      </c>
      <c r="C15" s="216" t="s">
        <v>20</v>
      </c>
      <c r="D15" s="216" t="s">
        <v>21</v>
      </c>
      <c r="E15" s="216" t="s">
        <v>32</v>
      </c>
      <c r="F15" s="216" t="s">
        <v>17</v>
      </c>
      <c r="G15" s="216" t="s">
        <v>33</v>
      </c>
      <c r="H15" s="216" t="s">
        <v>34</v>
      </c>
      <c r="I15" s="216" t="s">
        <v>18</v>
      </c>
      <c r="J15" s="15"/>
      <c r="K15" s="15"/>
      <c r="L15" s="15"/>
      <c r="M15" s="15"/>
      <c r="N15" s="15"/>
      <c r="O15" s="170"/>
    </row>
    <row r="16" spans="1:15" ht="30" x14ac:dyDescent="0.25">
      <c r="A16" s="239">
        <v>10</v>
      </c>
      <c r="B16" s="244" t="s">
        <v>45</v>
      </c>
      <c r="C16" s="243" t="s">
        <v>398</v>
      </c>
      <c r="D16" s="242">
        <v>1.3</v>
      </c>
      <c r="E16" s="240" t="s">
        <v>32</v>
      </c>
      <c r="F16" s="240">
        <v>1</v>
      </c>
      <c r="G16" s="241"/>
      <c r="H16" s="240"/>
      <c r="I16" s="234">
        <f>IF(H16="",D16*F16,D16*F16*H16)</f>
        <v>1.3</v>
      </c>
      <c r="J16" s="43"/>
      <c r="K16" s="43"/>
      <c r="L16" s="43"/>
      <c r="M16" s="43"/>
      <c r="N16" s="43"/>
      <c r="O16" s="191"/>
    </row>
    <row r="17" spans="1:16" ht="30" x14ac:dyDescent="0.25">
      <c r="A17" s="239">
        <v>20</v>
      </c>
      <c r="B17" s="190" t="s">
        <v>145</v>
      </c>
      <c r="C17" s="213" t="s">
        <v>397</v>
      </c>
      <c r="D17" s="238">
        <v>0.04</v>
      </c>
      <c r="E17" s="237" t="s">
        <v>147</v>
      </c>
      <c r="F17" s="236">
        <v>261.75</v>
      </c>
      <c r="G17" s="190" t="s">
        <v>396</v>
      </c>
      <c r="H17" s="235">
        <v>0.5</v>
      </c>
      <c r="I17" s="234">
        <f>IF(H17="",D17*F17,D17*F17*H17)</f>
        <v>5.2350000000000003</v>
      </c>
      <c r="J17" s="43"/>
      <c r="K17" s="43"/>
      <c r="L17" s="43"/>
      <c r="M17" s="43"/>
      <c r="N17" s="43"/>
      <c r="O17" s="191"/>
    </row>
    <row r="18" spans="1:16" x14ac:dyDescent="0.25">
      <c r="A18" s="173"/>
      <c r="B18" s="15"/>
      <c r="C18" s="15"/>
      <c r="D18" s="15"/>
      <c r="E18" s="15"/>
      <c r="F18" s="15"/>
      <c r="G18" s="15"/>
      <c r="H18" s="109" t="s">
        <v>18</v>
      </c>
      <c r="I18" s="106">
        <f>SUM(I16:I17)</f>
        <v>6.5350000000000001</v>
      </c>
      <c r="J18" s="15"/>
      <c r="K18" s="15"/>
      <c r="L18" s="15"/>
      <c r="M18" s="15"/>
      <c r="N18" s="15"/>
      <c r="O18" s="170"/>
    </row>
    <row r="19" spans="1:16" x14ac:dyDescent="0.25">
      <c r="A19" s="177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70"/>
    </row>
    <row r="20" spans="1:16" x14ac:dyDescent="0.25">
      <c r="A20" s="177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70"/>
    </row>
    <row r="21" spans="1:16" x14ac:dyDescent="0.25">
      <c r="A21" s="177"/>
      <c r="B21" s="41"/>
      <c r="C21" s="41"/>
      <c r="D21" s="41"/>
      <c r="E21" s="232"/>
      <c r="F21" s="41"/>
      <c r="G21" s="232"/>
      <c r="H21" s="233"/>
      <c r="I21" s="41"/>
      <c r="J21" s="41"/>
      <c r="K21" s="41"/>
      <c r="L21" s="41"/>
      <c r="M21" s="41"/>
      <c r="N21" s="41"/>
      <c r="O21" s="170"/>
    </row>
    <row r="22" spans="1:16" x14ac:dyDescent="0.25">
      <c r="A22" s="177"/>
      <c r="B22" s="41"/>
      <c r="C22" s="41"/>
      <c r="D22" s="41"/>
      <c r="E22" s="232"/>
      <c r="F22" s="41"/>
      <c r="G22" s="41"/>
      <c r="H22" s="41"/>
      <c r="I22" s="41"/>
      <c r="J22" s="41"/>
      <c r="K22" s="41"/>
      <c r="L22" s="41"/>
      <c r="M22" s="41"/>
      <c r="N22" s="41"/>
      <c r="O22" s="170"/>
    </row>
    <row r="23" spans="1:16" x14ac:dyDescent="0.25">
      <c r="A23" s="177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70"/>
    </row>
    <row r="24" spans="1:16" x14ac:dyDescent="0.25">
      <c r="A24" s="177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70"/>
    </row>
    <row r="25" spans="1:16" x14ac:dyDescent="0.25">
      <c r="A25" s="177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70"/>
    </row>
    <row r="26" spans="1:16" x14ac:dyDescent="0.25">
      <c r="A26" s="177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70"/>
      <c r="P26" s="41"/>
    </row>
    <row r="27" spans="1:16" ht="15.75" thickBot="1" x14ac:dyDescent="0.3">
      <c r="A27" s="169"/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7"/>
      <c r="P27" s="41"/>
    </row>
    <row r="28" spans="1:16" x14ac:dyDescent="0.25">
      <c r="A28" s="177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</row>
    <row r="29" spans="1:16" x14ac:dyDescent="0.25">
      <c r="A29" s="177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</row>
    <row r="30" spans="1:16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</row>
    <row r="31" spans="1:16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</sheetData>
  <hyperlinks>
    <hyperlink ref="D3" location="'EN_0900_003 Drawing'!A1" display="FileLink1" xr:uid="{59C5B32C-7553-42F4-AFEA-29C9E3DD5D96}"/>
    <hyperlink ref="B4" location="EN_A0900!A1" display="Differential" xr:uid="{1B866F73-6B2A-4890-8043-8FCD8402A00D}"/>
    <hyperlink ref="G2" location="EN_A0900_BOM" display="Back to BOM" xr:uid="{58E9C4AD-495E-4880-8BE6-232B3E9A972F}"/>
  </hyperlink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ACD6-0066-4932-A91A-62610B29547A}">
  <sheetPr>
    <tabColor theme="6" tint="0.39997558519241921"/>
  </sheetPr>
  <dimension ref="A1"/>
  <sheetViews>
    <sheetView topLeftCell="A13" workbookViewId="0">
      <selection activeCell="I21" sqref="I21"/>
    </sheetView>
  </sheetViews>
  <sheetFormatPr baseColWidth="10" defaultRowHeight="15" x14ac:dyDescent="0.25"/>
  <sheetData>
    <row r="1" spans="1:1" x14ac:dyDescent="0.25">
      <c r="A1" s="70" t="s">
        <v>403</v>
      </c>
    </row>
  </sheetData>
  <hyperlinks>
    <hyperlink ref="A1" location="EN_0900_003" display="EN_0900_003" xr:uid="{3478DEC4-9D81-4D5D-B1A0-69D3277F469C}"/>
  </hyperlink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E12C-B898-4411-957E-CDE8348B743B}">
  <sheetPr>
    <tabColor theme="6" tint="0.39997558519241921"/>
  </sheetPr>
  <dimension ref="A1:P26"/>
  <sheetViews>
    <sheetView workbookViewId="0">
      <selection activeCell="G2" sqref="G2"/>
    </sheetView>
  </sheetViews>
  <sheetFormatPr baseColWidth="10" defaultRowHeight="15" x14ac:dyDescent="0.25"/>
  <cols>
    <col min="2" max="2" width="21.28515625" bestFit="1" customWidth="1"/>
    <col min="3" max="3" width="32.28515625" bestFit="1" customWidth="1"/>
    <col min="9" max="9" width="27.42578125" bestFit="1" customWidth="1"/>
  </cols>
  <sheetData>
    <row r="1" spans="1:16" x14ac:dyDescent="0.25">
      <c r="A1" s="210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8"/>
    </row>
    <row r="2" spans="1:16" x14ac:dyDescent="0.25">
      <c r="A2" s="261" t="s">
        <v>0</v>
      </c>
      <c r="B2" s="262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EN_0900_004_m+EN_0900_004_p</f>
        <v>23.956417471999998</v>
      </c>
      <c r="O2" s="170"/>
    </row>
    <row r="3" spans="1:16" x14ac:dyDescent="0.25">
      <c r="A3" s="266" t="s">
        <v>3</v>
      </c>
      <c r="B3" s="262" t="s">
        <v>372</v>
      </c>
      <c r="C3" s="41"/>
      <c r="D3" s="265" t="s">
        <v>6</v>
      </c>
      <c r="E3" s="41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170"/>
    </row>
    <row r="4" spans="1:16" x14ac:dyDescent="0.25">
      <c r="A4" s="245" t="s">
        <v>5</v>
      </c>
      <c r="B4" s="69" t="s">
        <v>395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170"/>
    </row>
    <row r="5" spans="1:16" x14ac:dyDescent="0.25">
      <c r="A5" s="245" t="s">
        <v>15</v>
      </c>
      <c r="B5" s="41" t="s">
        <v>410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23.956417471999998</v>
      </c>
      <c r="O5" s="170"/>
    </row>
    <row r="6" spans="1:16" x14ac:dyDescent="0.25">
      <c r="A6" s="245" t="s">
        <v>7</v>
      </c>
      <c r="B6" s="264" t="s">
        <v>409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170"/>
    </row>
    <row r="7" spans="1:16" x14ac:dyDescent="0.25">
      <c r="A7" s="263" t="s">
        <v>10</v>
      </c>
      <c r="B7" s="262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70"/>
      <c r="P7">
        <f>341.663+32</f>
        <v>373.66300000000001</v>
      </c>
    </row>
    <row r="8" spans="1:16" x14ac:dyDescent="0.25">
      <c r="A8" s="261" t="s">
        <v>13</v>
      </c>
      <c r="B8" s="18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70"/>
    </row>
    <row r="9" spans="1:16" x14ac:dyDescent="0.25">
      <c r="A9" s="260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70"/>
    </row>
    <row r="10" spans="1:16" x14ac:dyDescent="0.25">
      <c r="A10" s="259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216" t="s">
        <v>23</v>
      </c>
      <c r="G10" s="216" t="s">
        <v>24</v>
      </c>
      <c r="H10" s="216" t="s">
        <v>25</v>
      </c>
      <c r="I10" s="216" t="s">
        <v>26</v>
      </c>
      <c r="J10" s="216" t="s">
        <v>27</v>
      </c>
      <c r="K10" s="216" t="s">
        <v>28</v>
      </c>
      <c r="L10" s="216" t="s">
        <v>29</v>
      </c>
      <c r="M10" s="216" t="s">
        <v>17</v>
      </c>
      <c r="N10" s="216" t="s">
        <v>18</v>
      </c>
      <c r="O10" s="170"/>
    </row>
    <row r="11" spans="1:16" x14ac:dyDescent="0.25">
      <c r="A11" s="276">
        <v>10</v>
      </c>
      <c r="B11" s="275" t="s">
        <v>393</v>
      </c>
      <c r="C11" s="274" t="s">
        <v>408</v>
      </c>
      <c r="D11" s="182">
        <v>4.2</v>
      </c>
      <c r="E11" s="273">
        <f>J11*K11*L11</f>
        <v>1.8460041599999997</v>
      </c>
      <c r="F11" s="240" t="s">
        <v>144</v>
      </c>
      <c r="G11" s="240"/>
      <c r="H11" s="195"/>
      <c r="I11" s="272" t="s">
        <v>407</v>
      </c>
      <c r="J11" s="271">
        <f>374*130/1000000</f>
        <v>4.8619999999999997E-2</v>
      </c>
      <c r="K11" s="270">
        <f>14/1000</f>
        <v>1.4E-2</v>
      </c>
      <c r="L11" s="193">
        <v>2712</v>
      </c>
      <c r="M11" s="193">
        <v>1</v>
      </c>
      <c r="N11" s="267">
        <f>IF(J11="",D11*M11,D11*J11*K11*L11*M11)</f>
        <v>7.7532174719999993</v>
      </c>
      <c r="O11" s="199"/>
    </row>
    <row r="12" spans="1:16" x14ac:dyDescent="0.25">
      <c r="A12" s="256"/>
      <c r="B12" s="255"/>
      <c r="C12" s="253"/>
      <c r="D12" s="254"/>
      <c r="E12" s="253"/>
      <c r="F12" s="253"/>
      <c r="G12" s="253"/>
      <c r="H12" s="252"/>
      <c r="I12" s="251"/>
      <c r="J12" s="250"/>
      <c r="K12" s="249"/>
      <c r="L12" s="248"/>
      <c r="M12" s="247"/>
      <c r="N12" s="246"/>
      <c r="O12" s="199"/>
    </row>
    <row r="13" spans="1:16" x14ac:dyDescent="0.25">
      <c r="A13" s="173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22" t="s">
        <v>18</v>
      </c>
      <c r="N13" s="106">
        <f>SUM(N11:N11)</f>
        <v>7.7532174719999993</v>
      </c>
      <c r="O13" s="170"/>
    </row>
    <row r="14" spans="1:16" x14ac:dyDescent="0.25">
      <c r="A14" s="177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70"/>
    </row>
    <row r="15" spans="1:16" x14ac:dyDescent="0.25">
      <c r="A15" s="245" t="s">
        <v>14</v>
      </c>
      <c r="B15" s="216" t="s">
        <v>31</v>
      </c>
      <c r="C15" s="216" t="s">
        <v>20</v>
      </c>
      <c r="D15" s="216" t="s">
        <v>21</v>
      </c>
      <c r="E15" s="216" t="s">
        <v>32</v>
      </c>
      <c r="F15" s="216" t="s">
        <v>17</v>
      </c>
      <c r="G15" s="216" t="s">
        <v>33</v>
      </c>
      <c r="H15" s="216" t="s">
        <v>34</v>
      </c>
      <c r="I15" s="216" t="s">
        <v>18</v>
      </c>
      <c r="J15" s="15"/>
      <c r="K15" s="15"/>
      <c r="L15" s="15"/>
      <c r="M15" s="15"/>
      <c r="N15" s="15"/>
      <c r="O15" s="170"/>
    </row>
    <row r="16" spans="1:16" ht="45" x14ac:dyDescent="0.25">
      <c r="A16" s="258">
        <v>10</v>
      </c>
      <c r="B16" s="268" t="s">
        <v>45</v>
      </c>
      <c r="C16" s="268" t="s">
        <v>406</v>
      </c>
      <c r="D16" s="182">
        <v>1.3</v>
      </c>
      <c r="E16" s="244" t="s">
        <v>32</v>
      </c>
      <c r="F16" s="269">
        <v>1</v>
      </c>
      <c r="G16" s="269"/>
      <c r="H16" s="235"/>
      <c r="I16" s="267">
        <f>IF(H16="",D16*F16,D16*F16*H16)</f>
        <v>1.3</v>
      </c>
      <c r="J16" s="43"/>
      <c r="K16" s="43"/>
      <c r="L16" s="43"/>
      <c r="M16" s="43"/>
      <c r="N16" s="43"/>
      <c r="O16" s="191"/>
    </row>
    <row r="17" spans="1:15" ht="30" x14ac:dyDescent="0.25">
      <c r="A17" s="258">
        <v>20</v>
      </c>
      <c r="B17" s="268" t="s">
        <v>145</v>
      </c>
      <c r="C17" s="268" t="s">
        <v>405</v>
      </c>
      <c r="D17" s="182">
        <v>0.04</v>
      </c>
      <c r="E17" s="240" t="s">
        <v>147</v>
      </c>
      <c r="F17" s="236">
        <v>372.58</v>
      </c>
      <c r="G17" s="244" t="s">
        <v>404</v>
      </c>
      <c r="H17" s="235">
        <v>1</v>
      </c>
      <c r="I17" s="267">
        <f>IF(H17="",D17*F17,D17*F17*H17)</f>
        <v>14.9032</v>
      </c>
      <c r="J17" s="43"/>
      <c r="K17" s="43"/>
      <c r="L17" s="43"/>
      <c r="M17" s="43"/>
      <c r="N17" s="43"/>
      <c r="O17" s="191"/>
    </row>
    <row r="18" spans="1:15" x14ac:dyDescent="0.25">
      <c r="A18" s="173"/>
      <c r="B18" s="15"/>
      <c r="C18" s="15"/>
      <c r="D18" s="15"/>
      <c r="E18" s="15"/>
      <c r="F18" s="15"/>
      <c r="G18" s="15"/>
      <c r="H18" s="109" t="s">
        <v>18</v>
      </c>
      <c r="I18" s="106">
        <f>SUM(I16:I17)</f>
        <v>16.203199999999999</v>
      </c>
      <c r="J18" s="15"/>
      <c r="K18" s="15"/>
      <c r="L18" s="15"/>
      <c r="M18" s="15"/>
      <c r="N18" s="15"/>
      <c r="O18" s="170"/>
    </row>
    <row r="19" spans="1:15" x14ac:dyDescent="0.25">
      <c r="A19" s="177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70"/>
    </row>
    <row r="20" spans="1:15" x14ac:dyDescent="0.25">
      <c r="A20" s="177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70"/>
    </row>
    <row r="21" spans="1:15" x14ac:dyDescent="0.25">
      <c r="A21" s="177"/>
      <c r="B21" s="41"/>
      <c r="C21" s="41"/>
      <c r="D21" s="41"/>
      <c r="E21" s="41"/>
      <c r="F21" s="232"/>
      <c r="G21" s="233"/>
      <c r="H21" s="233"/>
      <c r="I21" s="41"/>
      <c r="J21" s="41"/>
      <c r="K21" s="41"/>
      <c r="L21" s="41"/>
      <c r="M21" s="41"/>
      <c r="N21" s="41"/>
      <c r="O21" s="170"/>
    </row>
    <row r="22" spans="1:15" x14ac:dyDescent="0.25">
      <c r="A22" s="177"/>
      <c r="B22" s="41"/>
      <c r="C22" s="41"/>
      <c r="D22" s="41"/>
      <c r="E22" s="41"/>
      <c r="F22" s="232"/>
      <c r="G22" s="41"/>
      <c r="H22" s="41"/>
      <c r="I22" s="41"/>
      <c r="J22" s="41"/>
      <c r="K22" s="41"/>
      <c r="L22" s="41"/>
      <c r="M22" s="41"/>
      <c r="N22" s="41"/>
      <c r="O22" s="170"/>
    </row>
    <row r="23" spans="1:15" x14ac:dyDescent="0.25">
      <c r="A23" s="177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70"/>
    </row>
    <row r="24" spans="1:15" x14ac:dyDescent="0.25">
      <c r="A24" s="177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70"/>
    </row>
    <row r="25" spans="1:15" x14ac:dyDescent="0.25">
      <c r="A25" s="177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70"/>
    </row>
    <row r="26" spans="1:15" ht="15.75" thickBot="1" x14ac:dyDescent="0.3">
      <c r="A26" s="169"/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7"/>
    </row>
  </sheetData>
  <hyperlinks>
    <hyperlink ref="D3" location="'EN_0900_004 Drawing'!A1" display="FileLink1" xr:uid="{6A68EED4-513C-421E-A1FD-224DD9A14C59}"/>
    <hyperlink ref="B4" location="EN_A0900!A1" display="Differential" xr:uid="{0AE4B8F9-86C3-4AB7-AB62-0DE605A2148B}"/>
    <hyperlink ref="G2" location="EN_A0900_BOM" display="Back to BOM" xr:uid="{DA4877A0-3272-4D52-B4B9-38801A062EBD}"/>
  </hyperlink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97DC-65DD-4B95-B0BD-FFAA9DE40D18}">
  <sheetPr>
    <tabColor theme="6" tint="0.39997558519241921"/>
  </sheetPr>
  <dimension ref="A1"/>
  <sheetViews>
    <sheetView topLeftCell="A17" zoomScaleNormal="100" workbookViewId="0">
      <selection activeCell="I21" sqref="I21"/>
    </sheetView>
  </sheetViews>
  <sheetFormatPr baseColWidth="10" defaultRowHeight="15" x14ac:dyDescent="0.25"/>
  <sheetData>
    <row r="1" spans="1:1" x14ac:dyDescent="0.25">
      <c r="A1" s="277" t="s">
        <v>409</v>
      </c>
    </row>
  </sheetData>
  <hyperlinks>
    <hyperlink ref="A1" location="EN_0900_004" display="EN_0900_004" xr:uid="{2E4E2DB0-CD4F-4100-BC62-30408841A317}"/>
  </hyperlink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8C89-231C-4440-877D-D39B3EE588F8}">
  <sheetPr>
    <tabColor theme="6" tint="0.39997558519241921"/>
  </sheetPr>
  <dimension ref="A1:O28"/>
  <sheetViews>
    <sheetView workbookViewId="0">
      <selection activeCell="G2" sqref="G2"/>
    </sheetView>
  </sheetViews>
  <sheetFormatPr baseColWidth="10" defaultRowHeight="15" x14ac:dyDescent="0.25"/>
  <cols>
    <col min="2" max="2" width="21.28515625" bestFit="1" customWidth="1"/>
    <col min="3" max="3" width="33.42578125" bestFit="1" customWidth="1"/>
    <col min="9" max="9" width="27.42578125" bestFit="1" customWidth="1"/>
  </cols>
  <sheetData>
    <row r="1" spans="1:15" x14ac:dyDescent="0.25">
      <c r="A1" s="210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8"/>
    </row>
    <row r="2" spans="1:15" x14ac:dyDescent="0.25">
      <c r="A2" s="261" t="s">
        <v>0</v>
      </c>
      <c r="B2" s="262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EN_0900_005_m+EN_0900_005_p</f>
        <v>17.198412672</v>
      </c>
      <c r="O2" s="170"/>
    </row>
    <row r="3" spans="1:15" x14ac:dyDescent="0.25">
      <c r="A3" s="266" t="s">
        <v>3</v>
      </c>
      <c r="B3" s="262" t="s">
        <v>372</v>
      </c>
      <c r="C3" s="41"/>
      <c r="D3" s="265" t="s">
        <v>6</v>
      </c>
      <c r="E3" s="41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170"/>
    </row>
    <row r="4" spans="1:15" x14ac:dyDescent="0.25">
      <c r="A4" s="245" t="s">
        <v>5</v>
      </c>
      <c r="B4" s="69" t="s">
        <v>395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170"/>
    </row>
    <row r="5" spans="1:15" x14ac:dyDescent="0.25">
      <c r="A5" s="245" t="s">
        <v>15</v>
      </c>
      <c r="B5" s="41" t="s">
        <v>413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17.198412672</v>
      </c>
      <c r="O5" s="170"/>
    </row>
    <row r="6" spans="1:15" x14ac:dyDescent="0.25">
      <c r="A6" s="245" t="s">
        <v>7</v>
      </c>
      <c r="B6" s="264" t="s">
        <v>412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170"/>
    </row>
    <row r="7" spans="1:15" x14ac:dyDescent="0.25">
      <c r="A7" s="263" t="s">
        <v>10</v>
      </c>
      <c r="B7" s="262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70"/>
    </row>
    <row r="8" spans="1:15" x14ac:dyDescent="0.25">
      <c r="A8" s="261" t="s">
        <v>13</v>
      </c>
      <c r="B8" s="18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70"/>
    </row>
    <row r="9" spans="1:15" x14ac:dyDescent="0.25">
      <c r="A9" s="260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70"/>
    </row>
    <row r="10" spans="1:15" x14ac:dyDescent="0.25">
      <c r="A10" s="259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216" t="s">
        <v>23</v>
      </c>
      <c r="G10" s="216" t="s">
        <v>24</v>
      </c>
      <c r="H10" s="216" t="s">
        <v>25</v>
      </c>
      <c r="I10" s="216" t="s">
        <v>26</v>
      </c>
      <c r="J10" s="216" t="s">
        <v>27</v>
      </c>
      <c r="K10" s="216" t="s">
        <v>28</v>
      </c>
      <c r="L10" s="216" t="s">
        <v>29</v>
      </c>
      <c r="M10" s="216" t="s">
        <v>17</v>
      </c>
      <c r="N10" s="216" t="s">
        <v>18</v>
      </c>
      <c r="O10" s="170"/>
    </row>
    <row r="11" spans="1:15" x14ac:dyDescent="0.25">
      <c r="A11" s="276">
        <v>10</v>
      </c>
      <c r="B11" s="275" t="s">
        <v>393</v>
      </c>
      <c r="C11" s="274" t="s">
        <v>408</v>
      </c>
      <c r="D11" s="182">
        <v>4.2</v>
      </c>
      <c r="E11" s="273">
        <f>J11*K11*L11</f>
        <v>1.3388601600000001</v>
      </c>
      <c r="F11" s="240" t="s">
        <v>144</v>
      </c>
      <c r="G11" s="240"/>
      <c r="H11" s="195"/>
      <c r="I11" s="272" t="s">
        <v>411</v>
      </c>
      <c r="J11" s="271">
        <f>374*120/1000000</f>
        <v>4.4880000000000003E-2</v>
      </c>
      <c r="K11" s="270">
        <f>11/1000</f>
        <v>1.0999999999999999E-2</v>
      </c>
      <c r="L11" s="193">
        <v>2712</v>
      </c>
      <c r="M11" s="193">
        <v>1</v>
      </c>
      <c r="N11" s="267">
        <f>IF(J11="",D11*M11,D11*J11*K11*L11*M11)</f>
        <v>5.6232126720000002</v>
      </c>
      <c r="O11" s="199"/>
    </row>
    <row r="12" spans="1:15" x14ac:dyDescent="0.25">
      <c r="A12" s="256"/>
      <c r="B12" s="255"/>
      <c r="C12" s="253"/>
      <c r="D12" s="254"/>
      <c r="E12" s="253"/>
      <c r="F12" s="253"/>
      <c r="G12" s="253"/>
      <c r="H12" s="252"/>
      <c r="I12" s="251"/>
      <c r="J12" s="250"/>
      <c r="K12" s="249"/>
      <c r="L12" s="248"/>
      <c r="M12" s="247"/>
      <c r="N12" s="246"/>
      <c r="O12" s="199"/>
    </row>
    <row r="13" spans="1:15" x14ac:dyDescent="0.25">
      <c r="A13" s="173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22" t="s">
        <v>18</v>
      </c>
      <c r="N13" s="106">
        <f>SUM(N11:N11)</f>
        <v>5.6232126720000002</v>
      </c>
      <c r="O13" s="170"/>
    </row>
    <row r="14" spans="1:15" x14ac:dyDescent="0.25">
      <c r="A14" s="177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70"/>
    </row>
    <row r="15" spans="1:15" x14ac:dyDescent="0.25">
      <c r="A15" s="245" t="s">
        <v>14</v>
      </c>
      <c r="B15" s="216" t="s">
        <v>31</v>
      </c>
      <c r="C15" s="216" t="s">
        <v>20</v>
      </c>
      <c r="D15" s="216" t="s">
        <v>21</v>
      </c>
      <c r="E15" s="216" t="s">
        <v>32</v>
      </c>
      <c r="F15" s="216" t="s">
        <v>17</v>
      </c>
      <c r="G15" s="216" t="s">
        <v>33</v>
      </c>
      <c r="H15" s="216" t="s">
        <v>34</v>
      </c>
      <c r="I15" s="216" t="s">
        <v>18</v>
      </c>
      <c r="J15" s="15"/>
      <c r="K15" s="15"/>
      <c r="L15" s="15"/>
      <c r="M15" s="15"/>
      <c r="N15" s="15"/>
      <c r="O15" s="170"/>
    </row>
    <row r="16" spans="1:15" ht="30" x14ac:dyDescent="0.25">
      <c r="A16" s="258">
        <v>10</v>
      </c>
      <c r="B16" s="268" t="s">
        <v>45</v>
      </c>
      <c r="C16" s="268" t="s">
        <v>406</v>
      </c>
      <c r="D16" s="182">
        <v>1.3</v>
      </c>
      <c r="E16" s="244" t="s">
        <v>32</v>
      </c>
      <c r="F16" s="269">
        <v>1</v>
      </c>
      <c r="G16" s="269"/>
      <c r="H16" s="235"/>
      <c r="I16" s="267">
        <f>IF(H16="",D16*F16,D16*F16*H16)</f>
        <v>1.3</v>
      </c>
      <c r="J16" s="43"/>
      <c r="K16" s="43"/>
      <c r="L16" s="43"/>
      <c r="M16" s="43"/>
      <c r="N16" s="43"/>
      <c r="O16" s="191"/>
    </row>
    <row r="17" spans="1:15" ht="30" x14ac:dyDescent="0.25">
      <c r="A17" s="258">
        <v>20</v>
      </c>
      <c r="B17" s="268" t="s">
        <v>145</v>
      </c>
      <c r="C17" s="268" t="s">
        <v>405</v>
      </c>
      <c r="D17" s="182">
        <v>0.04</v>
      </c>
      <c r="E17" s="240" t="s">
        <v>147</v>
      </c>
      <c r="F17" s="236">
        <v>256.88</v>
      </c>
      <c r="G17" s="244" t="s">
        <v>404</v>
      </c>
      <c r="H17" s="235">
        <v>1</v>
      </c>
      <c r="I17" s="267">
        <f>IF(H17="",D17*F17,D17*F17*H17)</f>
        <v>10.2752</v>
      </c>
      <c r="J17" s="43"/>
      <c r="K17" s="43"/>
      <c r="L17" s="43"/>
      <c r="M17" s="43"/>
      <c r="N17" s="43"/>
      <c r="O17" s="191"/>
    </row>
    <row r="18" spans="1:15" x14ac:dyDescent="0.25">
      <c r="A18" s="173"/>
      <c r="B18" s="15"/>
      <c r="C18" s="15"/>
      <c r="D18" s="15"/>
      <c r="E18" s="15"/>
      <c r="F18" s="15"/>
      <c r="G18" s="15"/>
      <c r="H18" s="109" t="s">
        <v>18</v>
      </c>
      <c r="I18" s="106">
        <f>SUM(I16:I17)</f>
        <v>11.575200000000001</v>
      </c>
      <c r="J18" s="15"/>
      <c r="K18" s="15"/>
      <c r="L18" s="15"/>
      <c r="M18" s="15"/>
      <c r="N18" s="15"/>
      <c r="O18" s="170"/>
    </row>
    <row r="19" spans="1:15" x14ac:dyDescent="0.25">
      <c r="A19" s="177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70"/>
    </row>
    <row r="20" spans="1:15" x14ac:dyDescent="0.25">
      <c r="A20" s="177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70"/>
    </row>
    <row r="21" spans="1:15" x14ac:dyDescent="0.25">
      <c r="A21" s="177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70"/>
    </row>
    <row r="22" spans="1:15" x14ac:dyDescent="0.25">
      <c r="A22" s="177"/>
      <c r="B22" s="41"/>
      <c r="C22" s="41"/>
      <c r="D22" s="41"/>
      <c r="E22" s="232"/>
      <c r="F22" s="278"/>
      <c r="G22" s="278"/>
      <c r="H22" s="41"/>
      <c r="I22" s="41"/>
      <c r="J22" s="41"/>
      <c r="K22" s="41"/>
      <c r="L22" s="41"/>
      <c r="M22" s="41"/>
      <c r="N22" s="41"/>
      <c r="O22" s="170"/>
    </row>
    <row r="23" spans="1:15" x14ac:dyDescent="0.25">
      <c r="A23" s="177"/>
      <c r="B23" s="41"/>
      <c r="C23" s="41"/>
      <c r="D23" s="41"/>
      <c r="E23" s="278"/>
      <c r="F23" s="41"/>
      <c r="G23" s="41"/>
      <c r="H23" s="41"/>
      <c r="I23" s="41"/>
      <c r="J23" s="41"/>
      <c r="K23" s="41"/>
      <c r="L23" s="41"/>
      <c r="M23" s="41"/>
      <c r="N23" s="41"/>
      <c r="O23" s="170"/>
    </row>
    <row r="24" spans="1:15" x14ac:dyDescent="0.25">
      <c r="A24" s="177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70"/>
    </row>
    <row r="25" spans="1:15" x14ac:dyDescent="0.25">
      <c r="A25" s="177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70"/>
    </row>
    <row r="26" spans="1:15" x14ac:dyDescent="0.25">
      <c r="A26" s="177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70"/>
    </row>
    <row r="27" spans="1:15" x14ac:dyDescent="0.25">
      <c r="A27" s="177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170"/>
    </row>
    <row r="28" spans="1:15" ht="15.75" thickBot="1" x14ac:dyDescent="0.3">
      <c r="A28" s="169"/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7"/>
    </row>
  </sheetData>
  <hyperlinks>
    <hyperlink ref="D3" location="'EN_0900_005 Drawing'!A1" display="FileLink1" xr:uid="{61892D57-9684-4295-9529-3CA5DC00953C}"/>
    <hyperlink ref="B4" location="EN_A0900!A1" display="Differential" xr:uid="{C621E891-E732-4DF6-A9C8-22D55A42E267}"/>
    <hyperlink ref="G2" location="EN_A0900_BOM" display="Back to BOM" xr:uid="{57497152-DB94-490B-8172-E12D8DC6E3A8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C277-486A-44C1-9A17-0665E9BE0796}">
  <sheetPr>
    <tabColor theme="6" tint="0.39997558519241921"/>
    <pageSetUpPr fitToPage="1"/>
  </sheetPr>
  <dimension ref="A1:B1"/>
  <sheetViews>
    <sheetView zoomScale="85" zoomScaleNormal="85" workbookViewId="0">
      <selection activeCell="N3" sqref="N3"/>
    </sheetView>
  </sheetViews>
  <sheetFormatPr baseColWidth="10" defaultRowHeight="15" x14ac:dyDescent="0.25"/>
  <cols>
    <col min="1" max="1" width="14" customWidth="1"/>
  </cols>
  <sheetData>
    <row r="1" spans="1:2" x14ac:dyDescent="0.25">
      <c r="A1" s="70" t="s">
        <v>91</v>
      </c>
      <c r="B1" s="70" t="str">
        <f>EN_02001</f>
        <v>EN 02001</v>
      </c>
    </row>
  </sheetData>
  <hyperlinks>
    <hyperlink ref="B1" location="EN_02001" display="EN_02001" xr:uid="{00000000-0004-0000-0400-000000000000}"/>
    <hyperlink ref="A1" location="EL_01001" display="Drawing part :" xr:uid="{00000000-0004-0000-0400-000001000000}"/>
    <hyperlink ref="A1:B1" location="EN_02001" display="Drawing part :" xr:uid="{3DA26943-A771-4315-B979-6A7365C3648B}"/>
  </hyperlinks>
  <pageMargins left="0.7" right="0.7" top="0.75" bottom="0.75" header="0.3" footer="0.3"/>
  <pageSetup paperSize="9" fitToHeight="0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2E62-0E95-4B55-BF96-E3AE8CDE8D8B}">
  <sheetPr>
    <tabColor theme="6" tint="0.39997558519241921"/>
  </sheetPr>
  <dimension ref="A1"/>
  <sheetViews>
    <sheetView topLeftCell="A7" workbookViewId="0">
      <selection activeCell="I21" sqref="I21"/>
    </sheetView>
  </sheetViews>
  <sheetFormatPr baseColWidth="10" defaultRowHeight="15" x14ac:dyDescent="0.25"/>
  <sheetData>
    <row r="1" spans="1:1" x14ac:dyDescent="0.25">
      <c r="A1" s="70" t="s">
        <v>412</v>
      </c>
    </row>
  </sheetData>
  <hyperlinks>
    <hyperlink ref="A1" location="EN_0900_005" display="EN_0900_005" xr:uid="{C4345D02-149F-4EAA-AEE8-2D8364388E73}"/>
  </hyperlink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29F6-B824-48B7-A57C-89F619FDFD74}">
  <sheetPr>
    <tabColor theme="6" tint="0.39997558519241921"/>
  </sheetPr>
  <dimension ref="A1:O26"/>
  <sheetViews>
    <sheetView topLeftCell="A4" workbookViewId="0">
      <selection activeCell="G2" sqref="G2"/>
    </sheetView>
  </sheetViews>
  <sheetFormatPr baseColWidth="10" defaultRowHeight="15" x14ac:dyDescent="0.25"/>
  <cols>
    <col min="2" max="2" width="28.5703125" bestFit="1" customWidth="1"/>
    <col min="3" max="3" width="39.28515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210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8"/>
    </row>
    <row r="2" spans="1:15" x14ac:dyDescent="0.25">
      <c r="A2" s="261" t="s">
        <v>0</v>
      </c>
      <c r="B2" s="262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EN_0900_006_m+EN_0900_006_p</f>
        <v>0.99587245000000002</v>
      </c>
      <c r="O2" s="170"/>
    </row>
    <row r="3" spans="1:15" x14ac:dyDescent="0.25">
      <c r="A3" s="266" t="s">
        <v>3</v>
      </c>
      <c r="B3" s="262" t="s">
        <v>372</v>
      </c>
      <c r="C3" s="41"/>
      <c r="D3" s="265" t="s">
        <v>6</v>
      </c>
      <c r="E3" s="41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4</v>
      </c>
      <c r="O3" s="170"/>
    </row>
    <row r="4" spans="1:15" x14ac:dyDescent="0.25">
      <c r="A4" s="245" t="s">
        <v>5</v>
      </c>
      <c r="B4" s="69" t="s">
        <v>395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170"/>
    </row>
    <row r="5" spans="1:15" x14ac:dyDescent="0.25">
      <c r="A5" s="245" t="s">
        <v>15</v>
      </c>
      <c r="B5" s="41" t="s">
        <v>363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3.9834898000000001</v>
      </c>
      <c r="O5" s="170"/>
    </row>
    <row r="6" spans="1:15" x14ac:dyDescent="0.25">
      <c r="A6" s="245" t="s">
        <v>7</v>
      </c>
      <c r="B6" s="264" t="s">
        <v>419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170"/>
    </row>
    <row r="7" spans="1:15" x14ac:dyDescent="0.25">
      <c r="A7" s="263" t="s">
        <v>10</v>
      </c>
      <c r="B7" s="262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70"/>
    </row>
    <row r="8" spans="1:15" x14ac:dyDescent="0.25">
      <c r="A8" s="261" t="s">
        <v>13</v>
      </c>
      <c r="B8" s="18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70"/>
    </row>
    <row r="9" spans="1:15" x14ac:dyDescent="0.25">
      <c r="A9" s="260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70"/>
    </row>
    <row r="10" spans="1:15" x14ac:dyDescent="0.25">
      <c r="A10" s="259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216" t="s">
        <v>23</v>
      </c>
      <c r="G10" s="216" t="s">
        <v>24</v>
      </c>
      <c r="H10" s="216" t="s">
        <v>25</v>
      </c>
      <c r="I10" s="216" t="s">
        <v>26</v>
      </c>
      <c r="J10" s="216" t="s">
        <v>27</v>
      </c>
      <c r="K10" s="216" t="s">
        <v>28</v>
      </c>
      <c r="L10" s="216" t="s">
        <v>29</v>
      </c>
      <c r="M10" s="216" t="s">
        <v>17</v>
      </c>
      <c r="N10" s="216" t="s">
        <v>18</v>
      </c>
      <c r="O10" s="170"/>
    </row>
    <row r="11" spans="1:15" x14ac:dyDescent="0.25">
      <c r="A11" s="239">
        <v>10</v>
      </c>
      <c r="B11" s="198" t="s">
        <v>245</v>
      </c>
      <c r="C11" s="213" t="s">
        <v>418</v>
      </c>
      <c r="D11" s="220">
        <v>2.25</v>
      </c>
      <c r="E11" s="229">
        <f>J11*K11*L11</f>
        <v>3.6832200000000002E-2</v>
      </c>
      <c r="F11" s="219" t="s">
        <v>144</v>
      </c>
      <c r="G11" s="219"/>
      <c r="H11" s="227"/>
      <c r="I11" s="228" t="s">
        <v>417</v>
      </c>
      <c r="J11" s="228">
        <f>46*34/1000000</f>
        <v>1.5640000000000001E-3</v>
      </c>
      <c r="K11" s="224">
        <f>3/1000</f>
        <v>3.0000000000000001E-3</v>
      </c>
      <c r="L11" s="223">
        <v>7850</v>
      </c>
      <c r="M11" s="223">
        <v>1</v>
      </c>
      <c r="N11" s="220">
        <f>M11*L11*J11*K11*D11</f>
        <v>8.287245E-2</v>
      </c>
      <c r="O11" s="199"/>
    </row>
    <row r="12" spans="1:15" x14ac:dyDescent="0.25">
      <c r="A12" s="173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22" t="s">
        <v>18</v>
      </c>
      <c r="N12" s="106">
        <f>SUM(N11:N11)</f>
        <v>8.287245E-2</v>
      </c>
      <c r="O12" s="170"/>
    </row>
    <row r="13" spans="1:15" x14ac:dyDescent="0.25">
      <c r="A13" s="177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70"/>
    </row>
    <row r="14" spans="1:15" x14ac:dyDescent="0.25">
      <c r="A14" s="245" t="s">
        <v>14</v>
      </c>
      <c r="B14" s="216" t="s">
        <v>31</v>
      </c>
      <c r="C14" s="216" t="s">
        <v>20</v>
      </c>
      <c r="D14" s="216" t="s">
        <v>21</v>
      </c>
      <c r="E14" s="216" t="s">
        <v>32</v>
      </c>
      <c r="F14" s="216" t="s">
        <v>17</v>
      </c>
      <c r="G14" s="216" t="s">
        <v>33</v>
      </c>
      <c r="H14" s="216" t="s">
        <v>34</v>
      </c>
      <c r="I14" s="216" t="s">
        <v>18</v>
      </c>
      <c r="J14" s="15"/>
      <c r="K14" s="15"/>
      <c r="L14" s="15"/>
      <c r="M14" s="15"/>
      <c r="N14" s="15"/>
      <c r="O14" s="170"/>
    </row>
    <row r="15" spans="1:15" ht="30" x14ac:dyDescent="0.25">
      <c r="A15" s="258">
        <v>10</v>
      </c>
      <c r="B15" s="280" t="s">
        <v>45</v>
      </c>
      <c r="C15" s="243" t="s">
        <v>398</v>
      </c>
      <c r="D15" s="279">
        <v>1.3</v>
      </c>
      <c r="E15" s="240" t="s">
        <v>32</v>
      </c>
      <c r="F15" s="240">
        <v>1</v>
      </c>
      <c r="G15" s="274" t="s">
        <v>416</v>
      </c>
      <c r="H15" s="243">
        <f>1/4</f>
        <v>0.25</v>
      </c>
      <c r="I15" s="220">
        <f>IF(H15="",D15*F15,D15*F15*H15)</f>
        <v>0.32500000000000001</v>
      </c>
      <c r="J15" s="43"/>
      <c r="K15" s="43"/>
      <c r="L15" s="43"/>
      <c r="M15" s="43"/>
      <c r="N15" s="43"/>
      <c r="O15" s="191"/>
    </row>
    <row r="16" spans="1:15" x14ac:dyDescent="0.25">
      <c r="A16" s="276">
        <v>20</v>
      </c>
      <c r="B16" s="243" t="s">
        <v>149</v>
      </c>
      <c r="C16" s="268" t="s">
        <v>415</v>
      </c>
      <c r="D16" s="279">
        <v>0.01</v>
      </c>
      <c r="E16" s="240" t="s">
        <v>46</v>
      </c>
      <c r="F16" s="240">
        <v>19.600000000000001</v>
      </c>
      <c r="G16" s="240" t="s">
        <v>414</v>
      </c>
      <c r="H16" s="240">
        <v>3</v>
      </c>
      <c r="I16" s="220">
        <f>IF(H16="",D16*F16,D16*F16*H16)</f>
        <v>0.58800000000000008</v>
      </c>
      <c r="J16" s="43"/>
      <c r="K16" s="43"/>
      <c r="L16" s="43"/>
      <c r="M16" s="43"/>
      <c r="N16" s="43"/>
      <c r="O16" s="191"/>
    </row>
    <row r="17" spans="1:15" x14ac:dyDescent="0.25">
      <c r="A17" s="173"/>
      <c r="B17" s="15"/>
      <c r="C17" s="15"/>
      <c r="D17" s="15"/>
      <c r="E17" s="15"/>
      <c r="F17" s="15"/>
      <c r="G17" s="15"/>
      <c r="H17" s="109" t="s">
        <v>18</v>
      </c>
      <c r="I17" s="106">
        <f>SUM(I15:I16)</f>
        <v>0.91300000000000003</v>
      </c>
      <c r="J17" s="15"/>
      <c r="K17" s="15"/>
      <c r="L17" s="15"/>
      <c r="M17" s="15"/>
      <c r="N17" s="15"/>
      <c r="O17" s="170"/>
    </row>
    <row r="18" spans="1:15" x14ac:dyDescent="0.25">
      <c r="A18" s="177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70"/>
    </row>
    <row r="19" spans="1:15" x14ac:dyDescent="0.25">
      <c r="A19" s="177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70"/>
    </row>
    <row r="20" spans="1:15" x14ac:dyDescent="0.25">
      <c r="A20" s="177"/>
      <c r="B20" s="41"/>
      <c r="C20" s="232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70"/>
    </row>
    <row r="21" spans="1:15" x14ac:dyDescent="0.25">
      <c r="A21" s="177"/>
      <c r="B21" s="41"/>
      <c r="C21" s="232"/>
      <c r="D21" s="232"/>
      <c r="E21" s="232"/>
      <c r="F21" s="41"/>
      <c r="G21" s="41"/>
      <c r="H21" s="41"/>
      <c r="I21" s="41"/>
      <c r="J21" s="41"/>
      <c r="K21" s="41"/>
      <c r="L21" s="41"/>
      <c r="M21" s="41"/>
      <c r="N21" s="41"/>
      <c r="O21" s="170"/>
    </row>
    <row r="22" spans="1:15" x14ac:dyDescent="0.25">
      <c r="A22" s="177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70"/>
    </row>
    <row r="23" spans="1:15" x14ac:dyDescent="0.25">
      <c r="A23" s="177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70"/>
    </row>
    <row r="24" spans="1:15" x14ac:dyDescent="0.25">
      <c r="A24" s="177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70"/>
    </row>
    <row r="25" spans="1:15" x14ac:dyDescent="0.25">
      <c r="A25" s="177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70"/>
    </row>
    <row r="26" spans="1:15" ht="15.75" thickBot="1" x14ac:dyDescent="0.3">
      <c r="A26" s="169"/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7"/>
    </row>
  </sheetData>
  <hyperlinks>
    <hyperlink ref="D3" location="'EN_0900_006 Drawing'!A1" display="FileLink1" xr:uid="{731B3E14-BD29-4A7B-8AEC-C7E1C65CD6EF}"/>
    <hyperlink ref="B4" location="EN_A0900!A1" display="Differential" xr:uid="{C1C6B9F0-5163-4372-B430-5697255E03BF}"/>
    <hyperlink ref="G2" location="EN_A0900_BOM" display="Back to BOM" xr:uid="{195D7BB5-514A-4905-A143-2B22B4D4018A}"/>
  </hyperlink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1C21-1D24-442E-990F-F4D26D021771}">
  <sheetPr>
    <tabColor theme="6" tint="0.39997558519241921"/>
  </sheetPr>
  <dimension ref="A1"/>
  <sheetViews>
    <sheetView workbookViewId="0">
      <selection activeCell="I21" sqref="I21"/>
    </sheetView>
  </sheetViews>
  <sheetFormatPr baseColWidth="10" defaultRowHeight="15" x14ac:dyDescent="0.25"/>
  <sheetData>
    <row r="1" spans="1:1" x14ac:dyDescent="0.25">
      <c r="A1" s="70" t="s">
        <v>419</v>
      </c>
    </row>
  </sheetData>
  <hyperlinks>
    <hyperlink ref="A1" location="EN_0900_006" display="EN_0900_006" xr:uid="{459E7C1C-6BD1-47EF-AA5D-C8488BE4679A}"/>
  </hyperlink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1889-3878-469D-9FA4-5B156240CEDB}">
  <sheetPr>
    <tabColor theme="6" tint="0.39997558519241921"/>
  </sheetPr>
  <dimension ref="A1:O25"/>
  <sheetViews>
    <sheetView zoomScale="85" zoomScaleNormal="85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35.85546875" bestFit="1" customWidth="1"/>
    <col min="9" max="9" width="25.28515625" bestFit="1" customWidth="1"/>
  </cols>
  <sheetData>
    <row r="1" spans="1:15" x14ac:dyDescent="0.25">
      <c r="A1" s="210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8"/>
    </row>
    <row r="2" spans="1:15" x14ac:dyDescent="0.25">
      <c r="A2" s="261" t="s">
        <v>0</v>
      </c>
      <c r="B2" s="262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EN_0900_007_m+EN_0900_007_p</f>
        <v>0.96928532500000009</v>
      </c>
      <c r="O2" s="170"/>
    </row>
    <row r="3" spans="1:15" x14ac:dyDescent="0.25">
      <c r="A3" s="266" t="s">
        <v>3</v>
      </c>
      <c r="B3" s="262" t="s">
        <v>372</v>
      </c>
      <c r="C3" s="41"/>
      <c r="D3" s="265" t="s">
        <v>6</v>
      </c>
      <c r="E3" s="41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4</v>
      </c>
      <c r="O3" s="170"/>
    </row>
    <row r="4" spans="1:15" x14ac:dyDescent="0.25">
      <c r="A4" s="245" t="s">
        <v>5</v>
      </c>
      <c r="B4" s="69" t="s">
        <v>395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170"/>
    </row>
    <row r="5" spans="1:15" x14ac:dyDescent="0.25">
      <c r="A5" s="245" t="s">
        <v>15</v>
      </c>
      <c r="B5" s="41" t="s">
        <v>362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3.8771413000000003</v>
      </c>
      <c r="O5" s="170"/>
    </row>
    <row r="6" spans="1:15" x14ac:dyDescent="0.25">
      <c r="A6" s="245" t="s">
        <v>7</v>
      </c>
      <c r="B6" s="264" t="s">
        <v>421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170"/>
    </row>
    <row r="7" spans="1:15" x14ac:dyDescent="0.25">
      <c r="A7" s="263" t="s">
        <v>10</v>
      </c>
      <c r="B7" s="262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70"/>
    </row>
    <row r="8" spans="1:15" x14ac:dyDescent="0.25">
      <c r="A8" s="261" t="s">
        <v>13</v>
      </c>
      <c r="B8" s="18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70"/>
    </row>
    <row r="9" spans="1:15" x14ac:dyDescent="0.25">
      <c r="A9" s="260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70"/>
    </row>
    <row r="10" spans="1:15" x14ac:dyDescent="0.25">
      <c r="A10" s="259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216" t="s">
        <v>23</v>
      </c>
      <c r="G10" s="216" t="s">
        <v>24</v>
      </c>
      <c r="H10" s="216" t="s">
        <v>25</v>
      </c>
      <c r="I10" s="216" t="s">
        <v>26</v>
      </c>
      <c r="J10" s="216" t="s">
        <v>27</v>
      </c>
      <c r="K10" s="216" t="s">
        <v>28</v>
      </c>
      <c r="L10" s="216" t="s">
        <v>29</v>
      </c>
      <c r="M10" s="216" t="s">
        <v>17</v>
      </c>
      <c r="N10" s="216" t="s">
        <v>18</v>
      </c>
      <c r="O10" s="170"/>
    </row>
    <row r="11" spans="1:15" x14ac:dyDescent="0.25">
      <c r="A11" s="239">
        <v>10</v>
      </c>
      <c r="B11" s="198" t="s">
        <v>245</v>
      </c>
      <c r="C11" s="213" t="s">
        <v>418</v>
      </c>
      <c r="D11" s="220">
        <v>2.25</v>
      </c>
      <c r="E11" s="229">
        <f>J11*K11*L11</f>
        <v>3.1415699999999998E-2</v>
      </c>
      <c r="F11" s="219" t="s">
        <v>144</v>
      </c>
      <c r="G11" s="219"/>
      <c r="H11" s="227"/>
      <c r="I11" s="228" t="s">
        <v>420</v>
      </c>
      <c r="J11" s="228">
        <f>46*29/1000000</f>
        <v>1.3339999999999999E-3</v>
      </c>
      <c r="K11" s="224">
        <f>3/1000</f>
        <v>3.0000000000000001E-3</v>
      </c>
      <c r="L11" s="223">
        <v>7850</v>
      </c>
      <c r="M11" s="223">
        <v>1</v>
      </c>
      <c r="N11" s="220">
        <f>M11*L11*J11*K11*D11</f>
        <v>7.0685324999999993E-2</v>
      </c>
      <c r="O11" s="199"/>
    </row>
    <row r="12" spans="1:15" x14ac:dyDescent="0.25">
      <c r="A12" s="173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22" t="s">
        <v>18</v>
      </c>
      <c r="N12" s="106">
        <f>SUM(N11:N11)</f>
        <v>7.0685324999999993E-2</v>
      </c>
      <c r="O12" s="170"/>
    </row>
    <row r="13" spans="1:15" x14ac:dyDescent="0.25">
      <c r="A13" s="177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70"/>
    </row>
    <row r="14" spans="1:15" x14ac:dyDescent="0.25">
      <c r="A14" s="245" t="s">
        <v>14</v>
      </c>
      <c r="B14" s="216" t="s">
        <v>31</v>
      </c>
      <c r="C14" s="216" t="s">
        <v>20</v>
      </c>
      <c r="D14" s="216" t="s">
        <v>21</v>
      </c>
      <c r="E14" s="216" t="s">
        <v>32</v>
      </c>
      <c r="F14" s="216" t="s">
        <v>17</v>
      </c>
      <c r="G14" s="216" t="s">
        <v>33</v>
      </c>
      <c r="H14" s="216" t="s">
        <v>34</v>
      </c>
      <c r="I14" s="216" t="s">
        <v>18</v>
      </c>
      <c r="J14" s="15"/>
      <c r="K14" s="15"/>
      <c r="L14" s="15"/>
      <c r="M14" s="15"/>
      <c r="N14" s="15"/>
      <c r="O14" s="170"/>
    </row>
    <row r="15" spans="1:15" ht="30" x14ac:dyDescent="0.25">
      <c r="A15" s="258">
        <v>10</v>
      </c>
      <c r="B15" s="280" t="s">
        <v>45</v>
      </c>
      <c r="C15" s="243" t="s">
        <v>398</v>
      </c>
      <c r="D15" s="279">
        <v>1.3</v>
      </c>
      <c r="E15" s="240" t="s">
        <v>32</v>
      </c>
      <c r="F15" s="240">
        <v>1</v>
      </c>
      <c r="G15" s="274" t="s">
        <v>416</v>
      </c>
      <c r="H15" s="243">
        <f>1/4</f>
        <v>0.25</v>
      </c>
      <c r="I15" s="220">
        <f>IF(H15="",D15*F15,D15*F15*H15)</f>
        <v>0.32500000000000001</v>
      </c>
      <c r="J15" s="43"/>
      <c r="K15" s="43"/>
      <c r="L15" s="43"/>
      <c r="M15" s="43"/>
      <c r="N15" s="43"/>
      <c r="O15" s="191"/>
    </row>
    <row r="16" spans="1:15" ht="30" x14ac:dyDescent="0.25">
      <c r="A16" s="276">
        <v>20</v>
      </c>
      <c r="B16" s="243" t="s">
        <v>149</v>
      </c>
      <c r="C16" s="268" t="s">
        <v>415</v>
      </c>
      <c r="D16" s="279">
        <v>0.01</v>
      </c>
      <c r="E16" s="240" t="s">
        <v>46</v>
      </c>
      <c r="F16" s="240">
        <v>19.12</v>
      </c>
      <c r="G16" s="240" t="s">
        <v>414</v>
      </c>
      <c r="H16" s="240">
        <v>3</v>
      </c>
      <c r="I16" s="220">
        <f>IF(H16="",D16*F16,D16*F16*H16)</f>
        <v>0.5736</v>
      </c>
      <c r="J16" s="43"/>
      <c r="K16" s="43"/>
      <c r="L16" s="43"/>
      <c r="M16" s="43"/>
      <c r="N16" s="43"/>
      <c r="O16" s="191"/>
    </row>
    <row r="17" spans="1:15" x14ac:dyDescent="0.25">
      <c r="A17" s="173"/>
      <c r="B17" s="15"/>
      <c r="C17" s="15"/>
      <c r="D17" s="15"/>
      <c r="E17" s="15"/>
      <c r="F17" s="15"/>
      <c r="G17" s="15"/>
      <c r="H17" s="109" t="s">
        <v>18</v>
      </c>
      <c r="I17" s="106">
        <f>SUM(I15:I16)</f>
        <v>0.89860000000000007</v>
      </c>
      <c r="J17" s="15"/>
      <c r="K17" s="15"/>
      <c r="L17" s="15"/>
      <c r="M17" s="15"/>
      <c r="N17" s="15"/>
      <c r="O17" s="170"/>
    </row>
    <row r="18" spans="1:15" x14ac:dyDescent="0.25">
      <c r="A18" s="177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70"/>
    </row>
    <row r="19" spans="1:15" x14ac:dyDescent="0.25">
      <c r="A19" s="177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70"/>
    </row>
    <row r="20" spans="1:15" x14ac:dyDescent="0.25">
      <c r="A20" s="177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70"/>
    </row>
    <row r="21" spans="1:15" x14ac:dyDescent="0.25">
      <c r="A21" s="177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70"/>
    </row>
    <row r="22" spans="1:15" x14ac:dyDescent="0.25">
      <c r="A22" s="177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70"/>
    </row>
    <row r="23" spans="1:15" x14ac:dyDescent="0.25">
      <c r="A23" s="177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70"/>
    </row>
    <row r="24" spans="1:15" x14ac:dyDescent="0.25">
      <c r="A24" s="177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70"/>
    </row>
    <row r="25" spans="1:15" ht="15.75" thickBot="1" x14ac:dyDescent="0.3">
      <c r="A25" s="169"/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7"/>
    </row>
  </sheetData>
  <hyperlinks>
    <hyperlink ref="D3" location="'EN_0900_007 Drawing'!A1" display="FileLink1" xr:uid="{456BD7D5-0F5C-4D47-BE9E-315D5EC71C92}"/>
    <hyperlink ref="B4" location="EN_A0900!A1" display="Differential" xr:uid="{0B4776C4-222A-4C11-8FD8-6C52C73E682C}"/>
    <hyperlink ref="G2" location="EN_A0900_BOM" display="Back to BOM" xr:uid="{0BC19379-65CC-427A-B972-6EE5336F0B31}"/>
  </hyperlink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349F7-D8A3-4B34-8B66-032CF7B93DAA}">
  <sheetPr>
    <tabColor theme="6" tint="0.39997558519241921"/>
  </sheetPr>
  <dimension ref="A1"/>
  <sheetViews>
    <sheetView topLeftCell="A13" workbookViewId="0">
      <selection activeCell="I21" sqref="I21"/>
    </sheetView>
  </sheetViews>
  <sheetFormatPr baseColWidth="10" defaultRowHeight="15" x14ac:dyDescent="0.25"/>
  <sheetData>
    <row r="1" spans="1:1" x14ac:dyDescent="0.25">
      <c r="A1" s="70" t="s">
        <v>421</v>
      </c>
    </row>
  </sheetData>
  <hyperlinks>
    <hyperlink ref="A1" location="EN_0900_007" display="EN_0900_007" xr:uid="{3D2D908B-3D39-40F3-A8B1-E3AA97A249D9}"/>
  </hyperlink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D13F-DBE9-44F6-8A23-0DB715C38B6A}">
  <sheetPr>
    <tabColor theme="6" tint="0.39997558519241921"/>
  </sheetPr>
  <dimension ref="A1:O25"/>
  <sheetViews>
    <sheetView workbookViewId="0">
      <selection activeCell="G2" sqref="G2"/>
    </sheetView>
  </sheetViews>
  <sheetFormatPr baseColWidth="10" defaultRowHeight="15" x14ac:dyDescent="0.25"/>
  <cols>
    <col min="2" max="2" width="26.14062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210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8"/>
    </row>
    <row r="2" spans="1:15" x14ac:dyDescent="0.25">
      <c r="A2" s="261" t="s">
        <v>0</v>
      </c>
      <c r="B2" s="262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EN_0900_008_m+EN_0900_008_p</f>
        <v>2.2021247500000003</v>
      </c>
      <c r="O2" s="170"/>
    </row>
    <row r="3" spans="1:15" x14ac:dyDescent="0.25">
      <c r="A3" s="266" t="s">
        <v>3</v>
      </c>
      <c r="B3" s="262" t="s">
        <v>372</v>
      </c>
      <c r="C3" s="41"/>
      <c r="D3" s="265" t="s">
        <v>6</v>
      </c>
      <c r="E3" s="41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170"/>
    </row>
    <row r="4" spans="1:15" x14ac:dyDescent="0.25">
      <c r="A4" s="245" t="s">
        <v>5</v>
      </c>
      <c r="B4" s="69" t="s">
        <v>395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170"/>
    </row>
    <row r="5" spans="1:15" x14ac:dyDescent="0.25">
      <c r="A5" s="245" t="s">
        <v>15</v>
      </c>
      <c r="B5" s="41" t="s">
        <v>361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2.2021247500000003</v>
      </c>
      <c r="O5" s="170"/>
    </row>
    <row r="6" spans="1:15" x14ac:dyDescent="0.25">
      <c r="A6" s="245" t="s">
        <v>7</v>
      </c>
      <c r="B6" s="264" t="s">
        <v>423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170"/>
    </row>
    <row r="7" spans="1:15" x14ac:dyDescent="0.25">
      <c r="A7" s="263" t="s">
        <v>10</v>
      </c>
      <c r="B7" s="262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70"/>
    </row>
    <row r="8" spans="1:15" x14ac:dyDescent="0.25">
      <c r="A8" s="261" t="s">
        <v>13</v>
      </c>
      <c r="B8" s="18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70"/>
    </row>
    <row r="9" spans="1:15" x14ac:dyDescent="0.25">
      <c r="A9" s="260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70"/>
    </row>
    <row r="10" spans="1:15" x14ac:dyDescent="0.25">
      <c r="A10" s="259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216" t="s">
        <v>23</v>
      </c>
      <c r="G10" s="216" t="s">
        <v>24</v>
      </c>
      <c r="H10" s="216" t="s">
        <v>25</v>
      </c>
      <c r="I10" s="216" t="s">
        <v>26</v>
      </c>
      <c r="J10" s="216" t="s">
        <v>27</v>
      </c>
      <c r="K10" s="216" t="s">
        <v>28</v>
      </c>
      <c r="L10" s="216" t="s">
        <v>29</v>
      </c>
      <c r="M10" s="216" t="s">
        <v>17</v>
      </c>
      <c r="N10" s="216" t="s">
        <v>18</v>
      </c>
      <c r="O10" s="170"/>
    </row>
    <row r="11" spans="1:15" x14ac:dyDescent="0.25">
      <c r="A11" s="239">
        <v>10</v>
      </c>
      <c r="B11" s="198" t="s">
        <v>245</v>
      </c>
      <c r="C11" s="213" t="s">
        <v>418</v>
      </c>
      <c r="D11" s="220">
        <v>2.25</v>
      </c>
      <c r="E11" s="229">
        <f>J11*K11*L11</f>
        <v>6.6410999999999998E-2</v>
      </c>
      <c r="F11" s="219" t="s">
        <v>144</v>
      </c>
      <c r="G11" s="219"/>
      <c r="H11" s="227"/>
      <c r="I11" s="228" t="s">
        <v>422</v>
      </c>
      <c r="J11" s="228">
        <f>60*47/1000000</f>
        <v>2.82E-3</v>
      </c>
      <c r="K11" s="224">
        <f>3/1000</f>
        <v>3.0000000000000001E-3</v>
      </c>
      <c r="L11" s="223">
        <v>7850</v>
      </c>
      <c r="M11" s="223">
        <v>1</v>
      </c>
      <c r="N11" s="220">
        <f>M11*L11*J11*K11*D11</f>
        <v>0.14942475</v>
      </c>
      <c r="O11" s="199"/>
    </row>
    <row r="12" spans="1:15" x14ac:dyDescent="0.25">
      <c r="A12" s="256"/>
      <c r="B12" s="255"/>
      <c r="C12" s="253"/>
      <c r="D12" s="254"/>
      <c r="E12" s="253"/>
      <c r="F12" s="253"/>
      <c r="G12" s="253"/>
      <c r="H12" s="252"/>
      <c r="I12" s="251"/>
      <c r="J12" s="250"/>
      <c r="K12" s="249"/>
      <c r="L12" s="248"/>
      <c r="M12" s="247"/>
      <c r="N12" s="246"/>
      <c r="O12" s="199"/>
    </row>
    <row r="13" spans="1:15" x14ac:dyDescent="0.25">
      <c r="A13" s="173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22" t="s">
        <v>18</v>
      </c>
      <c r="N13" s="106">
        <f>SUM(N11:N11)</f>
        <v>0.14942475</v>
      </c>
      <c r="O13" s="170"/>
    </row>
    <row r="14" spans="1:15" x14ac:dyDescent="0.25">
      <c r="A14" s="177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70"/>
    </row>
    <row r="15" spans="1:15" x14ac:dyDescent="0.25">
      <c r="A15" s="245" t="s">
        <v>14</v>
      </c>
      <c r="B15" s="216" t="s">
        <v>31</v>
      </c>
      <c r="C15" s="216" t="s">
        <v>20</v>
      </c>
      <c r="D15" s="216" t="s">
        <v>21</v>
      </c>
      <c r="E15" s="216" t="s">
        <v>32</v>
      </c>
      <c r="F15" s="216" t="s">
        <v>17</v>
      </c>
      <c r="G15" s="216" t="s">
        <v>33</v>
      </c>
      <c r="H15" s="216" t="s">
        <v>34</v>
      </c>
      <c r="I15" s="216" t="s">
        <v>18</v>
      </c>
      <c r="J15" s="15"/>
      <c r="K15" s="15"/>
      <c r="L15" s="15"/>
      <c r="M15" s="15"/>
      <c r="N15" s="15"/>
      <c r="O15" s="170"/>
    </row>
    <row r="16" spans="1:15" ht="30" x14ac:dyDescent="0.25">
      <c r="A16" s="258">
        <v>10</v>
      </c>
      <c r="B16" s="280" t="s">
        <v>45</v>
      </c>
      <c r="C16" s="243" t="s">
        <v>398</v>
      </c>
      <c r="D16" s="279">
        <v>1.3</v>
      </c>
      <c r="E16" s="240" t="s">
        <v>32</v>
      </c>
      <c r="F16" s="240">
        <v>1</v>
      </c>
      <c r="G16" s="274"/>
      <c r="H16" s="243"/>
      <c r="I16" s="220">
        <f>IF(H16="",D16*F16,D16*F16*H16)</f>
        <v>1.3</v>
      </c>
      <c r="J16" s="43"/>
      <c r="K16" s="43"/>
      <c r="L16" s="43"/>
      <c r="M16" s="43"/>
      <c r="N16" s="43"/>
      <c r="O16" s="191"/>
    </row>
    <row r="17" spans="1:15" ht="30" x14ac:dyDescent="0.25">
      <c r="A17" s="276">
        <v>20</v>
      </c>
      <c r="B17" s="243" t="s">
        <v>149</v>
      </c>
      <c r="C17" s="268" t="s">
        <v>415</v>
      </c>
      <c r="D17" s="279">
        <v>0.01</v>
      </c>
      <c r="E17" s="240" t="s">
        <v>46</v>
      </c>
      <c r="F17" s="240">
        <v>25.09</v>
      </c>
      <c r="G17" s="240" t="s">
        <v>414</v>
      </c>
      <c r="H17" s="240">
        <v>3</v>
      </c>
      <c r="I17" s="220">
        <f>IF(H17="",D17*F17,D17*F17*H17)</f>
        <v>0.75270000000000004</v>
      </c>
      <c r="J17" s="43"/>
      <c r="K17" s="43"/>
      <c r="L17" s="43"/>
      <c r="M17" s="43"/>
      <c r="N17" s="43"/>
      <c r="O17" s="191"/>
    </row>
    <row r="18" spans="1:15" x14ac:dyDescent="0.25">
      <c r="A18" s="173"/>
      <c r="B18" s="15"/>
      <c r="C18" s="15"/>
      <c r="D18" s="15"/>
      <c r="E18" s="15"/>
      <c r="F18" s="15"/>
      <c r="G18" s="15"/>
      <c r="H18" s="109" t="s">
        <v>18</v>
      </c>
      <c r="I18" s="106">
        <f>SUM(I16:I17)</f>
        <v>2.0527000000000002</v>
      </c>
      <c r="J18" s="15"/>
      <c r="K18" s="15"/>
      <c r="L18" s="15"/>
      <c r="M18" s="15"/>
      <c r="N18" s="15"/>
      <c r="O18" s="170"/>
    </row>
    <row r="19" spans="1:15" x14ac:dyDescent="0.25">
      <c r="A19" s="177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70"/>
    </row>
    <row r="20" spans="1:15" x14ac:dyDescent="0.25">
      <c r="A20" s="177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70"/>
    </row>
    <row r="21" spans="1:15" x14ac:dyDescent="0.25">
      <c r="A21" s="177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70"/>
    </row>
    <row r="22" spans="1:15" x14ac:dyDescent="0.25">
      <c r="A22" s="177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70"/>
    </row>
    <row r="23" spans="1:15" x14ac:dyDescent="0.25">
      <c r="A23" s="177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70"/>
    </row>
    <row r="24" spans="1:15" x14ac:dyDescent="0.25">
      <c r="A24" s="177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70"/>
    </row>
    <row r="25" spans="1:15" ht="15.75" thickBot="1" x14ac:dyDescent="0.3">
      <c r="A25" s="169"/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7"/>
    </row>
  </sheetData>
  <hyperlinks>
    <hyperlink ref="D3" location="'EN_0900_008 Drawing'!A1" display="FileLink1" xr:uid="{CF540C9A-7D70-4139-B381-37726EB07E31}"/>
    <hyperlink ref="B4" location="EN_A0900!A1" display="Differential" xr:uid="{8E555552-4149-49E4-B1BD-DF0DF724A9BC}"/>
    <hyperlink ref="G2" location="EN_A0900_BOM" display="Back to BOM" xr:uid="{29B00D76-E46C-4D9A-9E24-36DE93331CF9}"/>
  </hyperlink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DBA5-20CB-456F-A1F5-0203C64CCE22}">
  <sheetPr>
    <tabColor theme="6" tint="0.39997558519241921"/>
  </sheetPr>
  <dimension ref="A1"/>
  <sheetViews>
    <sheetView topLeftCell="A13" workbookViewId="0">
      <selection activeCell="I21" sqref="I21"/>
    </sheetView>
  </sheetViews>
  <sheetFormatPr baseColWidth="10" defaultRowHeight="15" x14ac:dyDescent="0.25"/>
  <sheetData>
    <row r="1" spans="1:1" x14ac:dyDescent="0.25">
      <c r="A1" s="70" t="s">
        <v>423</v>
      </c>
    </row>
  </sheetData>
  <hyperlinks>
    <hyperlink ref="A1" location="EN_0900_008" display="EN_0900_008" xr:uid="{5451F878-B3C6-4CD7-9CFD-DA94F1169DC2}"/>
  </hyperlink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2C4E7-7F23-4609-BF48-2DEEEA737627}">
  <sheetPr>
    <tabColor theme="6" tint="0.39997558519241921"/>
  </sheetPr>
  <dimension ref="A1:O25"/>
  <sheetViews>
    <sheetView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210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8"/>
    </row>
    <row r="2" spans="1:15" x14ac:dyDescent="0.25">
      <c r="A2" s="261" t="s">
        <v>0</v>
      </c>
      <c r="B2" s="262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EN_0900_009_m+EN_0900_009_p</f>
        <v>2.2130151625000001</v>
      </c>
      <c r="O2" s="170"/>
    </row>
    <row r="3" spans="1:15" x14ac:dyDescent="0.25">
      <c r="A3" s="266" t="s">
        <v>3</v>
      </c>
      <c r="B3" s="262" t="s">
        <v>372</v>
      </c>
      <c r="C3" s="41"/>
      <c r="D3" s="265" t="s">
        <v>6</v>
      </c>
      <c r="E3" s="41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170"/>
    </row>
    <row r="4" spans="1:15" x14ac:dyDescent="0.25">
      <c r="A4" s="245" t="s">
        <v>5</v>
      </c>
      <c r="B4" s="69" t="s">
        <v>395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170"/>
    </row>
    <row r="5" spans="1:15" x14ac:dyDescent="0.25">
      <c r="A5" s="245" t="s">
        <v>15</v>
      </c>
      <c r="B5" s="41" t="s">
        <v>360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2.2130151625000001</v>
      </c>
      <c r="O5" s="170"/>
    </row>
    <row r="6" spans="1:15" x14ac:dyDescent="0.25">
      <c r="A6" s="245" t="s">
        <v>7</v>
      </c>
      <c r="B6" s="264" t="s">
        <v>425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170"/>
    </row>
    <row r="7" spans="1:15" x14ac:dyDescent="0.25">
      <c r="A7" s="263" t="s">
        <v>10</v>
      </c>
      <c r="B7" s="262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70"/>
    </row>
    <row r="8" spans="1:15" x14ac:dyDescent="0.25">
      <c r="A8" s="261" t="s">
        <v>13</v>
      </c>
      <c r="B8" s="18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70"/>
    </row>
    <row r="9" spans="1:15" x14ac:dyDescent="0.25">
      <c r="A9" s="260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70"/>
    </row>
    <row r="10" spans="1:15" x14ac:dyDescent="0.25">
      <c r="A10" s="259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216" t="s">
        <v>23</v>
      </c>
      <c r="G10" s="216" t="s">
        <v>24</v>
      </c>
      <c r="H10" s="216" t="s">
        <v>25</v>
      </c>
      <c r="I10" s="216" t="s">
        <v>26</v>
      </c>
      <c r="J10" s="216" t="s">
        <v>27</v>
      </c>
      <c r="K10" s="216" t="s">
        <v>28</v>
      </c>
      <c r="L10" s="216" t="s">
        <v>29</v>
      </c>
      <c r="M10" s="216" t="s">
        <v>17</v>
      </c>
      <c r="N10" s="216" t="s">
        <v>18</v>
      </c>
      <c r="O10" s="170"/>
    </row>
    <row r="11" spans="1:15" x14ac:dyDescent="0.25">
      <c r="A11" s="239">
        <v>10</v>
      </c>
      <c r="B11" s="198" t="s">
        <v>245</v>
      </c>
      <c r="C11" s="213" t="s">
        <v>418</v>
      </c>
      <c r="D11" s="220">
        <v>2.25</v>
      </c>
      <c r="E11" s="229">
        <f>J11*K11*L11</f>
        <v>6.7517850000000004E-2</v>
      </c>
      <c r="F11" s="219" t="s">
        <v>144</v>
      </c>
      <c r="G11" s="219"/>
      <c r="H11" s="227"/>
      <c r="I11" s="228" t="s">
        <v>424</v>
      </c>
      <c r="J11" s="228">
        <f>61*47/1000000</f>
        <v>2.8670000000000002E-3</v>
      </c>
      <c r="K11" s="224">
        <f>3/1000</f>
        <v>3.0000000000000001E-3</v>
      </c>
      <c r="L11" s="223">
        <v>7850</v>
      </c>
      <c r="M11" s="223">
        <v>1</v>
      </c>
      <c r="N11" s="220">
        <f>M11*L11*J11*K11*D11</f>
        <v>0.15191516250000001</v>
      </c>
      <c r="O11" s="199"/>
    </row>
    <row r="12" spans="1:15" x14ac:dyDescent="0.25">
      <c r="A12" s="256"/>
      <c r="B12" s="255"/>
      <c r="C12" s="253"/>
      <c r="D12" s="254"/>
      <c r="E12" s="253"/>
      <c r="F12" s="253"/>
      <c r="G12" s="253"/>
      <c r="H12" s="252"/>
      <c r="I12" s="251"/>
      <c r="J12" s="250"/>
      <c r="K12" s="249"/>
      <c r="L12" s="248"/>
      <c r="M12" s="247"/>
      <c r="N12" s="246"/>
      <c r="O12" s="199"/>
    </row>
    <row r="13" spans="1:15" x14ac:dyDescent="0.25">
      <c r="A13" s="173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22" t="s">
        <v>18</v>
      </c>
      <c r="N13" s="106">
        <f>SUM(N11:N11)</f>
        <v>0.15191516250000001</v>
      </c>
      <c r="O13" s="170"/>
    </row>
    <row r="14" spans="1:15" x14ac:dyDescent="0.25">
      <c r="A14" s="177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70"/>
    </row>
    <row r="15" spans="1:15" x14ac:dyDescent="0.25">
      <c r="A15" s="245" t="s">
        <v>14</v>
      </c>
      <c r="B15" s="216" t="s">
        <v>31</v>
      </c>
      <c r="C15" s="216" t="s">
        <v>20</v>
      </c>
      <c r="D15" s="216" t="s">
        <v>21</v>
      </c>
      <c r="E15" s="216" t="s">
        <v>32</v>
      </c>
      <c r="F15" s="216" t="s">
        <v>17</v>
      </c>
      <c r="G15" s="216" t="s">
        <v>33</v>
      </c>
      <c r="H15" s="216" t="s">
        <v>34</v>
      </c>
      <c r="I15" s="216" t="s">
        <v>18</v>
      </c>
      <c r="J15" s="15"/>
      <c r="K15" s="15"/>
      <c r="L15" s="15"/>
      <c r="M15" s="15"/>
      <c r="N15" s="15"/>
      <c r="O15" s="170"/>
    </row>
    <row r="16" spans="1:15" x14ac:dyDescent="0.25">
      <c r="A16" s="258">
        <v>10</v>
      </c>
      <c r="B16" s="280" t="s">
        <v>45</v>
      </c>
      <c r="C16" s="243" t="s">
        <v>398</v>
      </c>
      <c r="D16" s="279">
        <v>1.3</v>
      </c>
      <c r="E16" s="240" t="s">
        <v>32</v>
      </c>
      <c r="F16" s="240">
        <v>1</v>
      </c>
      <c r="G16" s="274"/>
      <c r="H16" s="243"/>
      <c r="I16" s="220">
        <f>IF(H16="",D16*F16,D16*F16*H16)</f>
        <v>1.3</v>
      </c>
      <c r="J16" s="43"/>
      <c r="K16" s="43"/>
      <c r="L16" s="43"/>
      <c r="M16" s="43"/>
      <c r="N16" s="43"/>
      <c r="O16" s="191"/>
    </row>
    <row r="17" spans="1:15" ht="30" x14ac:dyDescent="0.25">
      <c r="A17" s="276">
        <v>20</v>
      </c>
      <c r="B17" s="243" t="s">
        <v>149</v>
      </c>
      <c r="C17" s="268" t="s">
        <v>415</v>
      </c>
      <c r="D17" s="279">
        <v>0.01</v>
      </c>
      <c r="E17" s="240" t="s">
        <v>46</v>
      </c>
      <c r="F17" s="240">
        <v>25.37</v>
      </c>
      <c r="G17" s="240" t="s">
        <v>414</v>
      </c>
      <c r="H17" s="240">
        <v>3</v>
      </c>
      <c r="I17" s="220">
        <f>IF(H17="",D17*F17,D17*F17*H17)</f>
        <v>0.76110000000000011</v>
      </c>
      <c r="J17" s="43"/>
      <c r="K17" s="43"/>
      <c r="L17" s="43"/>
      <c r="M17" s="43"/>
      <c r="N17" s="43"/>
      <c r="O17" s="191"/>
    </row>
    <row r="18" spans="1:15" x14ac:dyDescent="0.25">
      <c r="A18" s="173"/>
      <c r="B18" s="15"/>
      <c r="C18" s="15"/>
      <c r="D18" s="15"/>
      <c r="E18" s="15"/>
      <c r="F18" s="15"/>
      <c r="G18" s="15"/>
      <c r="H18" s="109" t="s">
        <v>18</v>
      </c>
      <c r="I18" s="106">
        <f>SUM(I16:I17)</f>
        <v>2.0611000000000002</v>
      </c>
      <c r="J18" s="15"/>
      <c r="K18" s="15"/>
      <c r="L18" s="15"/>
      <c r="M18" s="15"/>
      <c r="N18" s="15"/>
      <c r="O18" s="170"/>
    </row>
    <row r="19" spans="1:15" x14ac:dyDescent="0.25">
      <c r="A19" s="177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70"/>
    </row>
    <row r="20" spans="1:15" x14ac:dyDescent="0.25">
      <c r="A20" s="177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70"/>
    </row>
    <row r="21" spans="1:15" x14ac:dyDescent="0.25">
      <c r="A21" s="177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70"/>
    </row>
    <row r="22" spans="1:15" x14ac:dyDescent="0.25">
      <c r="A22" s="177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70"/>
    </row>
    <row r="23" spans="1:15" x14ac:dyDescent="0.25">
      <c r="A23" s="177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70"/>
    </row>
    <row r="24" spans="1:15" x14ac:dyDescent="0.25">
      <c r="A24" s="177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70"/>
    </row>
    <row r="25" spans="1:15" ht="15.75" thickBot="1" x14ac:dyDescent="0.3">
      <c r="A25" s="169"/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7"/>
    </row>
  </sheetData>
  <hyperlinks>
    <hyperlink ref="D3" location="'EN_0900_009 Drawing'!A1" display="FileLink1" xr:uid="{C0B6B514-8E88-4C67-A76D-070A1E227D85}"/>
    <hyperlink ref="B4" location="EN_A0900!A1" display="Differential" xr:uid="{137EB44C-786B-48DF-87C7-3D5DCA7C709D}"/>
    <hyperlink ref="G2" location="EN_A0900_BOM" display="Back to BOM" xr:uid="{4471A051-3C0A-4757-A045-BE2ED0A7AE51}"/>
  </hyperlink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777D-4A20-4C21-B416-912A90E96231}">
  <sheetPr>
    <tabColor theme="6" tint="0.39997558519241921"/>
  </sheetPr>
  <dimension ref="A1"/>
  <sheetViews>
    <sheetView workbookViewId="0">
      <selection activeCell="I21" sqref="I21"/>
    </sheetView>
  </sheetViews>
  <sheetFormatPr baseColWidth="10" defaultRowHeight="15" x14ac:dyDescent="0.25"/>
  <sheetData>
    <row r="1" spans="1:1" x14ac:dyDescent="0.25">
      <c r="A1" s="70" t="s">
        <v>425</v>
      </c>
    </row>
  </sheetData>
  <hyperlinks>
    <hyperlink ref="A1" location="EN_0900_009" display="EN_0900_009" xr:uid="{35F4E745-4FD9-40E4-8E32-5B4E844C3F5E}"/>
  </hyperlinks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B19E-F1B9-4457-ABC8-4099E839BFE3}">
  <sheetPr>
    <tabColor theme="6" tint="-0.249977111117893"/>
  </sheetPr>
  <dimension ref="A1:O44"/>
  <sheetViews>
    <sheetView zoomScaleNormal="100" workbookViewId="0">
      <selection activeCell="I21" sqref="I21"/>
    </sheetView>
  </sheetViews>
  <sheetFormatPr baseColWidth="10" defaultRowHeight="15" x14ac:dyDescent="0.25"/>
  <cols>
    <col min="2" max="2" width="28.42578125" bestFit="1" customWidth="1"/>
    <col min="3" max="3" width="43.85546875" bestFit="1" customWidth="1"/>
  </cols>
  <sheetData>
    <row r="1" spans="1:15" x14ac:dyDescent="0.25">
      <c r="A1" s="210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8"/>
    </row>
    <row r="2" spans="1:15" x14ac:dyDescent="0.25">
      <c r="A2" s="176" t="s">
        <v>0</v>
      </c>
      <c r="B2" s="180" t="s">
        <v>44</v>
      </c>
      <c r="C2" s="41"/>
      <c r="D2" s="41"/>
      <c r="E2" s="41" t="s">
        <v>121</v>
      </c>
      <c r="F2" s="41"/>
      <c r="G2" s="41"/>
      <c r="H2" s="41"/>
      <c r="I2" s="41"/>
      <c r="J2" s="175" t="s">
        <v>1</v>
      </c>
      <c r="K2" s="65">
        <v>81</v>
      </c>
      <c r="L2" s="41"/>
      <c r="M2" s="175" t="s">
        <v>2</v>
      </c>
      <c r="N2" s="76">
        <f>EN_A1000_pa+EN_A1000_m+EN_A1000_p+EN_A1000_f</f>
        <v>534.45240754550855</v>
      </c>
      <c r="O2" s="170"/>
    </row>
    <row r="3" spans="1:15" x14ac:dyDescent="0.25">
      <c r="A3" s="176" t="s">
        <v>3</v>
      </c>
      <c r="B3" s="180" t="s">
        <v>372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175" t="s">
        <v>4</v>
      </c>
      <c r="N3" s="64">
        <v>1</v>
      </c>
      <c r="O3" s="170"/>
    </row>
    <row r="4" spans="1:15" x14ac:dyDescent="0.25">
      <c r="A4" s="176" t="s">
        <v>5</v>
      </c>
      <c r="B4" s="180" t="s">
        <v>371</v>
      </c>
      <c r="C4" s="41"/>
      <c r="D4" s="41"/>
      <c r="E4" s="41"/>
      <c r="F4" s="41"/>
      <c r="G4" s="41"/>
      <c r="H4" s="41"/>
      <c r="I4" s="41"/>
      <c r="J4" s="206" t="s">
        <v>6</v>
      </c>
      <c r="K4" s="41"/>
      <c r="L4" s="41"/>
      <c r="M4" s="41"/>
      <c r="N4" s="41"/>
      <c r="O4" s="170"/>
    </row>
    <row r="5" spans="1:15" x14ac:dyDescent="0.25">
      <c r="A5" s="176" t="s">
        <v>7</v>
      </c>
      <c r="B5" s="207" t="s">
        <v>453</v>
      </c>
      <c r="C5" s="41"/>
      <c r="D5" s="41"/>
      <c r="E5" s="41"/>
      <c r="F5" s="41"/>
      <c r="G5" s="41"/>
      <c r="H5" s="41"/>
      <c r="I5" s="41"/>
      <c r="J5" s="206" t="s">
        <v>8</v>
      </c>
      <c r="K5" s="41"/>
      <c r="L5" s="41"/>
      <c r="M5" s="175" t="s">
        <v>9</v>
      </c>
      <c r="N5" s="58">
        <f>N2*N3</f>
        <v>534.45240754550855</v>
      </c>
      <c r="O5" s="170"/>
    </row>
    <row r="6" spans="1:15" x14ac:dyDescent="0.25">
      <c r="A6" s="176" t="s">
        <v>10</v>
      </c>
      <c r="B6" s="180" t="s">
        <v>11</v>
      </c>
      <c r="C6" s="41"/>
      <c r="D6" s="41"/>
      <c r="E6" s="41"/>
      <c r="F6" s="41"/>
      <c r="G6" s="41"/>
      <c r="H6" s="41"/>
      <c r="I6" s="41"/>
      <c r="J6" s="206" t="s">
        <v>12</v>
      </c>
      <c r="K6" s="41"/>
      <c r="L6" s="41"/>
      <c r="M6" s="41"/>
      <c r="N6" s="41"/>
      <c r="O6" s="170"/>
    </row>
    <row r="7" spans="1:15" x14ac:dyDescent="0.25">
      <c r="A7" s="176" t="s">
        <v>13</v>
      </c>
      <c r="B7" s="180" t="s">
        <v>452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70"/>
    </row>
    <row r="8" spans="1:15" x14ac:dyDescent="0.25">
      <c r="A8" s="177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70"/>
    </row>
    <row r="9" spans="1:15" x14ac:dyDescent="0.25">
      <c r="A9" s="292" t="s">
        <v>14</v>
      </c>
      <c r="B9" s="291" t="s">
        <v>15</v>
      </c>
      <c r="C9" s="290" t="s">
        <v>16</v>
      </c>
      <c r="D9" s="175" t="s">
        <v>17</v>
      </c>
      <c r="E9" s="175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170"/>
    </row>
    <row r="10" spans="1:15" x14ac:dyDescent="0.25">
      <c r="A10" s="288">
        <v>10</v>
      </c>
      <c r="B10" s="287" t="s">
        <v>451</v>
      </c>
      <c r="C10" s="286">
        <f>EN_1000_001!N$2</f>
        <v>66.549787154500507</v>
      </c>
      <c r="D10" s="184">
        <f>EN_1000_001_q</f>
        <v>2</v>
      </c>
      <c r="E10" s="285">
        <f>C10*D10</f>
        <v>133.09957430900101</v>
      </c>
      <c r="F10" s="180"/>
      <c r="G10" s="180"/>
      <c r="H10" s="180"/>
      <c r="I10" s="180"/>
      <c r="J10" s="180"/>
      <c r="K10" s="180"/>
      <c r="L10" s="180"/>
      <c r="M10" s="180"/>
      <c r="N10" s="180"/>
      <c r="O10" s="170"/>
    </row>
    <row r="11" spans="1:15" x14ac:dyDescent="0.25">
      <c r="A11" s="288">
        <v>20</v>
      </c>
      <c r="B11" s="287" t="s">
        <v>450</v>
      </c>
      <c r="C11" s="286">
        <f>EN_1000_002!N$2</f>
        <v>72.275200595774251</v>
      </c>
      <c r="D11" s="184">
        <f>EN_1000_002_q</f>
        <v>2</v>
      </c>
      <c r="E11" s="285">
        <f>C11*D11</f>
        <v>144.5504011915485</v>
      </c>
      <c r="F11" s="180"/>
      <c r="G11" s="180"/>
      <c r="H11" s="180"/>
      <c r="I11" s="180"/>
      <c r="J11" s="180"/>
      <c r="K11" s="180"/>
      <c r="L11" s="180"/>
      <c r="M11" s="180"/>
      <c r="N11" s="180"/>
      <c r="O11" s="170"/>
    </row>
    <row r="12" spans="1:15" x14ac:dyDescent="0.25">
      <c r="A12" s="288">
        <v>30</v>
      </c>
      <c r="B12" s="289" t="s">
        <v>449</v>
      </c>
      <c r="C12" s="286">
        <f>EN_1000_003!N$2</f>
        <v>16.43313830045987</v>
      </c>
      <c r="D12" s="184">
        <f>EN_1000_003_q</f>
        <v>1</v>
      </c>
      <c r="E12" s="285">
        <f>C12*D12</f>
        <v>16.43313830045987</v>
      </c>
      <c r="F12" s="180"/>
      <c r="G12" s="180"/>
      <c r="H12" s="180"/>
      <c r="I12" s="180"/>
      <c r="J12" s="180"/>
      <c r="K12" s="180"/>
      <c r="L12" s="180"/>
      <c r="M12" s="180"/>
      <c r="N12" s="180"/>
      <c r="O12" s="199"/>
    </row>
    <row r="13" spans="1:15" x14ac:dyDescent="0.25">
      <c r="A13" s="288">
        <v>40</v>
      </c>
      <c r="B13" s="287" t="s">
        <v>448</v>
      </c>
      <c r="C13" s="286">
        <f>EN_1000_004!N$2</f>
        <v>17.337133082722115</v>
      </c>
      <c r="D13" s="184">
        <f>EN_1000_004_q</f>
        <v>1</v>
      </c>
      <c r="E13" s="285">
        <f>C13*D13</f>
        <v>17.337133082722115</v>
      </c>
      <c r="F13" s="180"/>
      <c r="G13" s="180"/>
      <c r="H13" s="180"/>
      <c r="I13" s="180"/>
      <c r="J13" s="180"/>
      <c r="K13" s="180"/>
      <c r="L13" s="180"/>
      <c r="M13" s="180"/>
      <c r="N13" s="180"/>
      <c r="O13" s="170"/>
    </row>
    <row r="14" spans="1:15" x14ac:dyDescent="0.25">
      <c r="A14" s="177"/>
      <c r="B14" s="41"/>
      <c r="C14" s="41"/>
      <c r="D14" s="172" t="s">
        <v>18</v>
      </c>
      <c r="E14" s="171">
        <f>SUM(E10:E13)</f>
        <v>311.42024688373152</v>
      </c>
      <c r="F14" s="42"/>
      <c r="G14" s="42"/>
      <c r="H14" s="42"/>
      <c r="I14" s="42"/>
      <c r="J14" s="42"/>
      <c r="K14" s="42"/>
      <c r="L14" s="42"/>
      <c r="M14" s="42"/>
      <c r="N14" s="42"/>
      <c r="O14" s="170"/>
    </row>
    <row r="15" spans="1:15" x14ac:dyDescent="0.25">
      <c r="A15" s="177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199"/>
    </row>
    <row r="16" spans="1:15" x14ac:dyDescent="0.25">
      <c r="A16" s="176" t="s">
        <v>14</v>
      </c>
      <c r="B16" s="175" t="s">
        <v>19</v>
      </c>
      <c r="C16" s="175" t="s">
        <v>20</v>
      </c>
      <c r="D16" s="175" t="s">
        <v>21</v>
      </c>
      <c r="E16" s="175" t="s">
        <v>22</v>
      </c>
      <c r="F16" s="175" t="s">
        <v>23</v>
      </c>
      <c r="G16" s="175" t="s">
        <v>24</v>
      </c>
      <c r="H16" s="175" t="s">
        <v>25</v>
      </c>
      <c r="I16" s="175" t="s">
        <v>26</v>
      </c>
      <c r="J16" s="175" t="s">
        <v>27</v>
      </c>
      <c r="K16" s="175" t="s">
        <v>28</v>
      </c>
      <c r="L16" s="175" t="s">
        <v>29</v>
      </c>
      <c r="M16" s="175" t="s">
        <v>17</v>
      </c>
      <c r="N16" s="175" t="s">
        <v>18</v>
      </c>
      <c r="O16" s="199"/>
    </row>
    <row r="17" spans="1:15" x14ac:dyDescent="0.25">
      <c r="A17" s="188">
        <v>10</v>
      </c>
      <c r="B17" s="185" t="s">
        <v>447</v>
      </c>
      <c r="C17" s="185" t="s">
        <v>446</v>
      </c>
      <c r="D17" s="279">
        <v>45</v>
      </c>
      <c r="E17" s="185"/>
      <c r="F17" s="185" t="s">
        <v>35</v>
      </c>
      <c r="G17" s="185"/>
      <c r="H17" s="195"/>
      <c r="I17" s="200"/>
      <c r="J17" s="196"/>
      <c r="K17" s="195"/>
      <c r="L17" s="195"/>
      <c r="M17" s="196">
        <v>4</v>
      </c>
      <c r="N17" s="284">
        <f>IF(J17="",D17*M17,D17*J17*K17*L17*M17)</f>
        <v>180</v>
      </c>
      <c r="O17" s="189"/>
    </row>
    <row r="18" spans="1:15" x14ac:dyDescent="0.25">
      <c r="A18" s="188">
        <v>20</v>
      </c>
      <c r="B18" s="185" t="s">
        <v>445</v>
      </c>
      <c r="C18" s="185" t="s">
        <v>444</v>
      </c>
      <c r="D18" s="279">
        <v>5</v>
      </c>
      <c r="E18" s="185"/>
      <c r="F18" s="185" t="s">
        <v>35</v>
      </c>
      <c r="G18" s="185"/>
      <c r="H18" s="195"/>
      <c r="I18" s="200"/>
      <c r="J18" s="196"/>
      <c r="K18" s="195"/>
      <c r="L18" s="195"/>
      <c r="M18" s="196">
        <v>4</v>
      </c>
      <c r="N18" s="284">
        <f>IF(J18="",D18*M18,D18*J18*K18*L18*M18)</f>
        <v>20</v>
      </c>
      <c r="O18" s="170"/>
    </row>
    <row r="19" spans="1:15" x14ac:dyDescent="0.25">
      <c r="A19" s="173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75" t="s">
        <v>18</v>
      </c>
      <c r="N19" s="178">
        <f>SUM(N17:N18)</f>
        <v>200</v>
      </c>
      <c r="O19" s="170"/>
    </row>
    <row r="20" spans="1:15" x14ac:dyDescent="0.25">
      <c r="A20" s="177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70"/>
    </row>
    <row r="21" spans="1:15" x14ac:dyDescent="0.25">
      <c r="A21" s="176" t="s">
        <v>14</v>
      </c>
      <c r="B21" s="175" t="s">
        <v>31</v>
      </c>
      <c r="C21" s="175" t="s">
        <v>20</v>
      </c>
      <c r="D21" s="175" t="s">
        <v>21</v>
      </c>
      <c r="E21" s="175" t="s">
        <v>32</v>
      </c>
      <c r="F21" s="175" t="s">
        <v>17</v>
      </c>
      <c r="G21" s="175" t="s">
        <v>33</v>
      </c>
      <c r="H21" s="175" t="s">
        <v>34</v>
      </c>
      <c r="I21" s="175" t="s">
        <v>18</v>
      </c>
      <c r="J21" s="15"/>
      <c r="K21" s="15"/>
      <c r="L21" s="15"/>
      <c r="M21" s="15"/>
      <c r="N21" s="15"/>
      <c r="O21" s="170"/>
    </row>
    <row r="22" spans="1:15" x14ac:dyDescent="0.25">
      <c r="A22" s="188">
        <v>10</v>
      </c>
      <c r="B22" s="184" t="s">
        <v>348</v>
      </c>
      <c r="C22" s="184" t="s">
        <v>443</v>
      </c>
      <c r="D22" s="279">
        <v>0.56000000000000005</v>
      </c>
      <c r="E22" s="185" t="s">
        <v>35</v>
      </c>
      <c r="F22" s="185">
        <v>2</v>
      </c>
      <c r="G22" s="185"/>
      <c r="H22" s="185">
        <v>1</v>
      </c>
      <c r="I22" s="279">
        <f t="shared" ref="I22:I33" si="0">D22*F22*H22</f>
        <v>1.1200000000000001</v>
      </c>
      <c r="J22" s="180"/>
      <c r="K22" s="180"/>
      <c r="L22" s="180"/>
      <c r="M22" s="42"/>
      <c r="N22" s="42"/>
      <c r="O22" s="170"/>
    </row>
    <row r="23" spans="1:15" x14ac:dyDescent="0.25">
      <c r="A23" s="188">
        <v>20</v>
      </c>
      <c r="B23" s="184" t="s">
        <v>174</v>
      </c>
      <c r="C23" s="184" t="s">
        <v>442</v>
      </c>
      <c r="D23" s="279">
        <v>1.5</v>
      </c>
      <c r="E23" s="185" t="s">
        <v>35</v>
      </c>
      <c r="F23" s="185">
        <v>2</v>
      </c>
      <c r="G23" s="185"/>
      <c r="H23" s="185">
        <v>1</v>
      </c>
      <c r="I23" s="279">
        <f t="shared" si="0"/>
        <v>3</v>
      </c>
      <c r="J23" s="180"/>
      <c r="K23" s="180"/>
      <c r="L23" s="180"/>
      <c r="M23" s="42"/>
      <c r="N23" s="42"/>
      <c r="O23" s="170"/>
    </row>
    <row r="24" spans="1:15" x14ac:dyDescent="0.25">
      <c r="A24" s="188">
        <v>30</v>
      </c>
      <c r="B24" s="184" t="s">
        <v>344</v>
      </c>
      <c r="C24" s="184" t="s">
        <v>441</v>
      </c>
      <c r="D24" s="279">
        <v>0.19</v>
      </c>
      <c r="E24" s="185" t="s">
        <v>35</v>
      </c>
      <c r="F24" s="185">
        <v>4</v>
      </c>
      <c r="G24" s="185"/>
      <c r="H24" s="185">
        <v>1</v>
      </c>
      <c r="I24" s="279">
        <f t="shared" si="0"/>
        <v>0.76</v>
      </c>
      <c r="J24" s="180"/>
      <c r="K24" s="180"/>
      <c r="L24" s="180"/>
      <c r="M24" s="41"/>
      <c r="N24" s="41"/>
      <c r="O24" s="170"/>
    </row>
    <row r="25" spans="1:15" x14ac:dyDescent="0.25">
      <c r="A25" s="188">
        <v>40</v>
      </c>
      <c r="B25" s="184" t="s">
        <v>344</v>
      </c>
      <c r="C25" s="184" t="s">
        <v>439</v>
      </c>
      <c r="D25" s="279">
        <v>0.19</v>
      </c>
      <c r="E25" s="185" t="s">
        <v>35</v>
      </c>
      <c r="F25" s="185">
        <v>4</v>
      </c>
      <c r="G25" s="185"/>
      <c r="H25" s="185">
        <v>1</v>
      </c>
      <c r="I25" s="279">
        <f t="shared" si="0"/>
        <v>0.76</v>
      </c>
      <c r="J25" s="180"/>
      <c r="K25" s="180"/>
      <c r="L25" s="180"/>
      <c r="M25" s="41"/>
      <c r="N25" s="41"/>
      <c r="O25" s="170"/>
    </row>
    <row r="26" spans="1:15" x14ac:dyDescent="0.25">
      <c r="A26" s="188">
        <v>50</v>
      </c>
      <c r="B26" s="184" t="s">
        <v>154</v>
      </c>
      <c r="C26" s="184" t="s">
        <v>440</v>
      </c>
      <c r="D26" s="279">
        <v>0.13</v>
      </c>
      <c r="E26" s="185" t="s">
        <v>35</v>
      </c>
      <c r="F26" s="185">
        <v>4</v>
      </c>
      <c r="G26" s="185"/>
      <c r="H26" s="185">
        <v>1</v>
      </c>
      <c r="I26" s="279">
        <f t="shared" si="0"/>
        <v>0.52</v>
      </c>
      <c r="J26" s="180"/>
      <c r="K26" s="180"/>
      <c r="L26" s="180"/>
      <c r="M26" s="41"/>
      <c r="N26" s="41"/>
      <c r="O26" s="189"/>
    </row>
    <row r="27" spans="1:15" x14ac:dyDescent="0.25">
      <c r="A27" s="188">
        <v>60</v>
      </c>
      <c r="B27" s="184" t="s">
        <v>344</v>
      </c>
      <c r="C27" s="184" t="s">
        <v>439</v>
      </c>
      <c r="D27" s="279">
        <v>0.19</v>
      </c>
      <c r="E27" s="185" t="s">
        <v>35</v>
      </c>
      <c r="F27" s="185">
        <v>4</v>
      </c>
      <c r="G27" s="185"/>
      <c r="H27" s="185">
        <v>1</v>
      </c>
      <c r="I27" s="279">
        <f t="shared" si="0"/>
        <v>0.76</v>
      </c>
      <c r="J27" s="180"/>
      <c r="K27" s="180"/>
      <c r="L27" s="180"/>
      <c r="M27" s="41"/>
      <c r="N27" s="41"/>
      <c r="O27" s="170"/>
    </row>
    <row r="28" spans="1:15" x14ac:dyDescent="0.25">
      <c r="A28" s="188">
        <v>70</v>
      </c>
      <c r="B28" s="184" t="s">
        <v>438</v>
      </c>
      <c r="C28" s="184" t="s">
        <v>437</v>
      </c>
      <c r="D28" s="279">
        <v>0.19</v>
      </c>
      <c r="E28" s="185" t="s">
        <v>35</v>
      </c>
      <c r="F28" s="185">
        <v>4</v>
      </c>
      <c r="G28" s="185"/>
      <c r="H28" s="185">
        <v>1</v>
      </c>
      <c r="I28" s="279">
        <f t="shared" si="0"/>
        <v>0.76</v>
      </c>
      <c r="J28" s="180"/>
      <c r="K28" s="180"/>
      <c r="L28" s="180"/>
      <c r="M28" s="41"/>
      <c r="N28" s="41"/>
      <c r="O28" s="170"/>
    </row>
    <row r="29" spans="1:15" x14ac:dyDescent="0.25">
      <c r="A29" s="188">
        <v>80</v>
      </c>
      <c r="B29" s="184" t="s">
        <v>344</v>
      </c>
      <c r="C29" s="184" t="s">
        <v>436</v>
      </c>
      <c r="D29" s="279">
        <v>0.19</v>
      </c>
      <c r="E29" s="185" t="s">
        <v>35</v>
      </c>
      <c r="F29" s="185">
        <v>4</v>
      </c>
      <c r="G29" s="185"/>
      <c r="H29" s="185">
        <v>1</v>
      </c>
      <c r="I29" s="279">
        <f t="shared" si="0"/>
        <v>0.76</v>
      </c>
      <c r="J29" s="180"/>
      <c r="K29" s="180"/>
      <c r="L29" s="180"/>
      <c r="M29" s="41"/>
      <c r="N29" s="41"/>
      <c r="O29" s="170"/>
    </row>
    <row r="30" spans="1:15" x14ac:dyDescent="0.25">
      <c r="A30" s="188">
        <v>90</v>
      </c>
      <c r="B30" s="184" t="s">
        <v>348</v>
      </c>
      <c r="C30" s="184" t="s">
        <v>435</v>
      </c>
      <c r="D30" s="279">
        <v>0.56000000000000005</v>
      </c>
      <c r="E30" s="185" t="s">
        <v>35</v>
      </c>
      <c r="F30" s="185">
        <v>2</v>
      </c>
      <c r="G30" s="185"/>
      <c r="H30" s="185">
        <v>1</v>
      </c>
      <c r="I30" s="279">
        <f t="shared" si="0"/>
        <v>1.1200000000000001</v>
      </c>
      <c r="J30" s="180"/>
      <c r="K30" s="181"/>
      <c r="L30" s="181"/>
      <c r="M30" s="43"/>
      <c r="N30" s="43"/>
      <c r="O30" s="170"/>
    </row>
    <row r="31" spans="1:15" x14ac:dyDescent="0.25">
      <c r="A31" s="188">
        <v>100</v>
      </c>
      <c r="B31" s="184" t="s">
        <v>348</v>
      </c>
      <c r="C31" s="184" t="s">
        <v>434</v>
      </c>
      <c r="D31" s="279">
        <v>0.56000000000000005</v>
      </c>
      <c r="E31" s="185" t="s">
        <v>35</v>
      </c>
      <c r="F31" s="185">
        <v>4</v>
      </c>
      <c r="G31" s="185"/>
      <c r="H31" s="185">
        <v>1</v>
      </c>
      <c r="I31" s="279">
        <f t="shared" si="0"/>
        <v>2.2400000000000002</v>
      </c>
      <c r="J31" s="180"/>
      <c r="K31" s="180"/>
      <c r="L31" s="181"/>
      <c r="M31" s="42"/>
      <c r="N31" s="42"/>
      <c r="O31" s="170"/>
    </row>
    <row r="32" spans="1:15" x14ac:dyDescent="0.25">
      <c r="A32" s="188">
        <v>110</v>
      </c>
      <c r="B32" s="184" t="s">
        <v>348</v>
      </c>
      <c r="C32" s="184" t="s">
        <v>433</v>
      </c>
      <c r="D32" s="279">
        <v>0.56000000000000005</v>
      </c>
      <c r="E32" s="185" t="s">
        <v>35</v>
      </c>
      <c r="F32" s="185">
        <v>4</v>
      </c>
      <c r="G32" s="185"/>
      <c r="H32" s="185">
        <v>1</v>
      </c>
      <c r="I32" s="279">
        <f t="shared" si="0"/>
        <v>2.2400000000000002</v>
      </c>
      <c r="J32" s="180"/>
      <c r="K32" s="180"/>
      <c r="L32" s="180"/>
      <c r="M32" s="43"/>
      <c r="N32" s="43"/>
      <c r="O32" s="170"/>
    </row>
    <row r="33" spans="1:15" x14ac:dyDescent="0.25">
      <c r="A33" s="188">
        <v>120</v>
      </c>
      <c r="B33" s="184" t="s">
        <v>432</v>
      </c>
      <c r="C33" s="184" t="s">
        <v>431</v>
      </c>
      <c r="D33" s="279">
        <v>0.75</v>
      </c>
      <c r="E33" s="185" t="s">
        <v>35</v>
      </c>
      <c r="F33" s="185">
        <v>2</v>
      </c>
      <c r="G33" s="185"/>
      <c r="H33" s="185">
        <v>1</v>
      </c>
      <c r="I33" s="279">
        <f t="shared" si="0"/>
        <v>1.5</v>
      </c>
      <c r="J33" s="180"/>
      <c r="K33" s="180"/>
      <c r="L33" s="180"/>
      <c r="M33" s="41"/>
      <c r="N33" s="41"/>
      <c r="O33" s="170"/>
    </row>
    <row r="34" spans="1:15" x14ac:dyDescent="0.25">
      <c r="A34" s="173"/>
      <c r="B34" s="15"/>
      <c r="C34" s="15"/>
      <c r="D34" s="15"/>
      <c r="E34" s="15"/>
      <c r="F34" s="15"/>
      <c r="G34" s="15"/>
      <c r="H34" s="179" t="s">
        <v>18</v>
      </c>
      <c r="I34" s="178">
        <f>SUM(I22:I33)</f>
        <v>15.54</v>
      </c>
      <c r="J34" s="41"/>
      <c r="K34" s="41"/>
      <c r="L34" s="41"/>
      <c r="M34" s="41"/>
      <c r="N34" s="41"/>
      <c r="O34" s="170"/>
    </row>
    <row r="35" spans="1:15" x14ac:dyDescent="0.25">
      <c r="A35" s="177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170"/>
    </row>
    <row r="36" spans="1:15" x14ac:dyDescent="0.25">
      <c r="A36" s="176" t="s">
        <v>14</v>
      </c>
      <c r="B36" s="175" t="s">
        <v>36</v>
      </c>
      <c r="C36" s="175" t="s">
        <v>20</v>
      </c>
      <c r="D36" s="175" t="s">
        <v>21</v>
      </c>
      <c r="E36" s="175" t="s">
        <v>22</v>
      </c>
      <c r="F36" s="175" t="s">
        <v>23</v>
      </c>
      <c r="G36" s="175" t="s">
        <v>24</v>
      </c>
      <c r="H36" s="175" t="s">
        <v>25</v>
      </c>
      <c r="I36" s="175" t="s">
        <v>17</v>
      </c>
      <c r="J36" s="175" t="s">
        <v>18</v>
      </c>
      <c r="K36" s="41"/>
      <c r="L36" s="41"/>
      <c r="M36" s="41"/>
      <c r="N36" s="41"/>
      <c r="O36" s="170"/>
    </row>
    <row r="37" spans="1:15" x14ac:dyDescent="0.25">
      <c r="A37" s="188">
        <v>10</v>
      </c>
      <c r="B37" s="185" t="s">
        <v>430</v>
      </c>
      <c r="C37" s="185" t="s">
        <v>429</v>
      </c>
      <c r="D37" s="187">
        <f>0.0002*E37*E37+0.013</f>
        <v>9.2999999999999999E-2</v>
      </c>
      <c r="E37" s="185">
        <v>20</v>
      </c>
      <c r="F37" s="282" t="s">
        <v>30</v>
      </c>
      <c r="G37" s="185"/>
      <c r="H37" s="184"/>
      <c r="I37" s="281">
        <v>8</v>
      </c>
      <c r="J37" s="279">
        <f>D37*I37</f>
        <v>0.74399999999999999</v>
      </c>
      <c r="K37" s="41"/>
      <c r="L37" s="41"/>
      <c r="M37" s="41"/>
      <c r="N37" s="41"/>
      <c r="O37" s="170"/>
    </row>
    <row r="38" spans="1:15" x14ac:dyDescent="0.25">
      <c r="A38" s="188">
        <v>20</v>
      </c>
      <c r="B38" s="198" t="s">
        <v>171</v>
      </c>
      <c r="C38" s="185" t="s">
        <v>428</v>
      </c>
      <c r="D38" s="187">
        <f>0.004*E38+0.5</f>
        <v>0.7898639999999999</v>
      </c>
      <c r="E38" s="185">
        <f>36.233*2</f>
        <v>72.465999999999994</v>
      </c>
      <c r="F38" s="282" t="s">
        <v>30</v>
      </c>
      <c r="G38" s="185"/>
      <c r="H38" s="184"/>
      <c r="I38" s="281">
        <v>4</v>
      </c>
      <c r="J38" s="279">
        <f>D38*I38</f>
        <v>3.1594559999999996</v>
      </c>
      <c r="K38" s="41"/>
      <c r="L38" s="41"/>
      <c r="M38" s="41"/>
      <c r="N38" s="41"/>
      <c r="O38" s="170"/>
    </row>
    <row r="39" spans="1:15" x14ac:dyDescent="0.25">
      <c r="A39" s="188">
        <v>30</v>
      </c>
      <c r="B39" s="198" t="s">
        <v>171</v>
      </c>
      <c r="C39" s="185" t="s">
        <v>428</v>
      </c>
      <c r="D39" s="187">
        <f>0.004*E39+0.5</f>
        <v>0.61115200000000003</v>
      </c>
      <c r="E39" s="185">
        <f>13.894*2</f>
        <v>27.788</v>
      </c>
      <c r="F39" s="282" t="s">
        <v>30</v>
      </c>
      <c r="G39" s="185"/>
      <c r="H39" s="184"/>
      <c r="I39" s="281">
        <v>4</v>
      </c>
      <c r="J39" s="279">
        <f>D39*I39</f>
        <v>2.4446080000000001</v>
      </c>
      <c r="K39" s="41"/>
      <c r="L39" s="41"/>
      <c r="M39" s="41"/>
      <c r="N39" s="41"/>
      <c r="O39" s="170"/>
    </row>
    <row r="40" spans="1:15" x14ac:dyDescent="0.25">
      <c r="A40" s="188">
        <v>40</v>
      </c>
      <c r="B40" s="185" t="s">
        <v>331</v>
      </c>
      <c r="C40" s="185" t="s">
        <v>427</v>
      </c>
      <c r="D40" s="187">
        <f>0.8/105154*E40*E40*G40*SQRT(G40)+(0.003*EXP(0.319*E40))</f>
        <v>8.2048330888522564E-2</v>
      </c>
      <c r="E40" s="185">
        <v>8</v>
      </c>
      <c r="F40" s="282" t="s">
        <v>30</v>
      </c>
      <c r="G40" s="185">
        <v>20</v>
      </c>
      <c r="H40" s="184" t="s">
        <v>30</v>
      </c>
      <c r="I40" s="281">
        <v>2</v>
      </c>
      <c r="J40" s="279">
        <f>D40*I40</f>
        <v>0.16409666177704513</v>
      </c>
      <c r="K40" s="41"/>
      <c r="L40" s="41"/>
      <c r="M40" s="41"/>
      <c r="N40" s="41"/>
      <c r="O40" s="170"/>
    </row>
    <row r="41" spans="1:15" x14ac:dyDescent="0.25">
      <c r="A41" s="188">
        <v>50</v>
      </c>
      <c r="B41" s="283" t="s">
        <v>38</v>
      </c>
      <c r="C41" s="185" t="s">
        <v>426</v>
      </c>
      <c r="D41" s="187">
        <v>0.49</v>
      </c>
      <c r="E41" s="185">
        <v>20</v>
      </c>
      <c r="F41" s="282" t="s">
        <v>30</v>
      </c>
      <c r="G41" s="185"/>
      <c r="H41" s="184"/>
      <c r="I41" s="281">
        <v>2</v>
      </c>
      <c r="J41" s="279">
        <f>D41*I41</f>
        <v>0.98</v>
      </c>
      <c r="K41" s="41"/>
      <c r="L41" s="41"/>
      <c r="M41" s="41"/>
      <c r="N41" s="41"/>
      <c r="O41" s="170"/>
    </row>
    <row r="42" spans="1:15" x14ac:dyDescent="0.25">
      <c r="A42" s="173"/>
      <c r="B42" s="15"/>
      <c r="C42" s="15"/>
      <c r="D42" s="15"/>
      <c r="E42" s="15"/>
      <c r="F42" s="15"/>
      <c r="G42" s="15"/>
      <c r="H42" s="15"/>
      <c r="I42" s="179" t="s">
        <v>18</v>
      </c>
      <c r="J42" s="178">
        <f>SUM(J37:J41)</f>
        <v>7.492160661777044</v>
      </c>
      <c r="K42" s="41"/>
      <c r="L42" s="41"/>
      <c r="M42" s="41"/>
      <c r="N42" s="41"/>
      <c r="O42" s="170"/>
    </row>
    <row r="43" spans="1:15" x14ac:dyDescent="0.25">
      <c r="A43" s="177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170"/>
    </row>
    <row r="44" spans="1:15" ht="15.75" thickBot="1" x14ac:dyDescent="0.3">
      <c r="A44" s="169"/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7"/>
    </row>
  </sheetData>
  <hyperlinks>
    <hyperlink ref="B10" location="EN_1000_001!A1" display="Inboard tripod housing" xr:uid="{A72A27D6-2A20-4300-924D-C758BA327F7E}"/>
    <hyperlink ref="B11" location="EN_1000_002!A1" display="Outboard tripod housing" xr:uid="{F3F51DEF-8CFB-40F9-85B6-42EB9AFF8C62}"/>
    <hyperlink ref="B13" location="EN_1000_004!A1" display="Right axle" xr:uid="{F9A1E856-B4CC-4119-A1D5-7D5CC7E17549}"/>
    <hyperlink ref="B12" location="EN_1000_003!A1" display="Left axle" xr:uid="{B3F2C828-FBF9-4C6B-8B62-07309ADDA2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050C-1470-4600-BA25-16C712EFACE1}">
  <sheetPr>
    <tabColor theme="6" tint="0.39997558519241921"/>
    <pageSetUpPr fitToPage="1"/>
  </sheetPr>
  <dimension ref="A1:O18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10.42578125" customWidth="1"/>
    <col min="2" max="2" width="21.42578125" customWidth="1"/>
    <col min="3" max="3" width="13.28515625" customWidth="1"/>
    <col min="5" max="5" width="6.28515625" customWidth="1"/>
    <col min="7" max="7" width="21.85546875" customWidth="1"/>
    <col min="8" max="8" width="9.7109375" customWidth="1"/>
    <col min="9" max="9" width="26.2851562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EN_02002_m+EN_02002_p</f>
        <v>1.75075</v>
      </c>
      <c r="O2" s="47"/>
    </row>
    <row r="3" spans="1:15" x14ac:dyDescent="0.25">
      <c r="A3" s="103" t="s">
        <v>3</v>
      </c>
      <c r="B3" s="11" t="str">
        <f>'[1]EN Assembly'!B3</f>
        <v>Engine and Drivetrain</v>
      </c>
      <c r="C3" s="41"/>
      <c r="D3" s="103" t="s">
        <v>6</v>
      </c>
      <c r="E3" s="70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4</v>
      </c>
      <c r="O3" s="47"/>
    </row>
    <row r="4" spans="1:15" x14ac:dyDescent="0.25">
      <c r="A4" s="103" t="s">
        <v>5</v>
      </c>
      <c r="B4" s="70" t="str">
        <f>'EN A0200'!B4</f>
        <v>Exhaust System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589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7.0030000000000001</v>
      </c>
      <c r="O5" s="47"/>
    </row>
    <row r="6" spans="1:15" x14ac:dyDescent="0.25">
      <c r="A6" s="103" t="s">
        <v>7</v>
      </c>
      <c r="B6" s="17" t="s">
        <v>588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475" t="s">
        <v>23</v>
      </c>
      <c r="G10" s="475" t="s">
        <v>24</v>
      </c>
      <c r="H10" s="475" t="s">
        <v>25</v>
      </c>
      <c r="I10" s="475" t="s">
        <v>26</v>
      </c>
      <c r="J10" s="475" t="s">
        <v>27</v>
      </c>
      <c r="K10" s="475" t="s">
        <v>28</v>
      </c>
      <c r="L10" s="475" t="s">
        <v>29</v>
      </c>
      <c r="M10" s="475" t="s">
        <v>17</v>
      </c>
      <c r="N10" s="475" t="s">
        <v>18</v>
      </c>
      <c r="O10" s="47"/>
    </row>
    <row r="11" spans="1:15" s="14" customFormat="1" x14ac:dyDescent="0.25">
      <c r="A11" s="493">
        <v>10</v>
      </c>
      <c r="B11" s="487" t="s">
        <v>583</v>
      </c>
      <c r="C11" s="486" t="s">
        <v>582</v>
      </c>
      <c r="D11" s="478">
        <v>2.25</v>
      </c>
      <c r="E11" s="485">
        <f>PRODUCT(L11,J11,K11)</f>
        <v>0.157</v>
      </c>
      <c r="F11" s="484" t="s">
        <v>144</v>
      </c>
      <c r="G11" s="484"/>
      <c r="H11" s="483"/>
      <c r="I11" s="492" t="s">
        <v>587</v>
      </c>
      <c r="J11" s="491">
        <f>0.08*0.05</f>
        <v>4.0000000000000001E-3</v>
      </c>
      <c r="K11" s="480">
        <v>5.0000000000000001E-3</v>
      </c>
      <c r="L11" s="479">
        <v>7850</v>
      </c>
      <c r="M11" s="479">
        <v>1</v>
      </c>
      <c r="N11" s="478">
        <f>PRODUCT(D11,E11)</f>
        <v>0.35325000000000001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7" t="s">
        <v>18</v>
      </c>
      <c r="N12" s="106">
        <f>SUM(N11:N11)</f>
        <v>0.35325000000000001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6" t="s">
        <v>14</v>
      </c>
      <c r="B14" s="475" t="s">
        <v>31</v>
      </c>
      <c r="C14" s="475" t="s">
        <v>20</v>
      </c>
      <c r="D14" s="475" t="s">
        <v>21</v>
      </c>
      <c r="E14" s="475" t="s">
        <v>32</v>
      </c>
      <c r="F14" s="475" t="s">
        <v>17</v>
      </c>
      <c r="G14" s="475" t="s">
        <v>33</v>
      </c>
      <c r="H14" s="475" t="s">
        <v>34</v>
      </c>
      <c r="I14" s="475" t="s">
        <v>18</v>
      </c>
      <c r="J14" s="15"/>
      <c r="K14" s="15"/>
      <c r="L14" s="15"/>
      <c r="M14" s="15"/>
      <c r="N14" s="15"/>
      <c r="O14" s="47"/>
    </row>
    <row r="15" spans="1:15" s="14" customFormat="1" ht="30" x14ac:dyDescent="0.25">
      <c r="A15" s="474">
        <v>10</v>
      </c>
      <c r="B15" s="457" t="s">
        <v>45</v>
      </c>
      <c r="C15" s="472"/>
      <c r="D15" s="438">
        <v>1.3</v>
      </c>
      <c r="E15" s="473" t="s">
        <v>35</v>
      </c>
      <c r="F15" s="472">
        <v>0.25</v>
      </c>
      <c r="G15" s="463" t="s">
        <v>580</v>
      </c>
      <c r="H15" s="472"/>
      <c r="I15" s="438">
        <f>IF(H15="",D15*F15,D15*F15*H15)</f>
        <v>0.32500000000000001</v>
      </c>
      <c r="J15" s="471"/>
      <c r="K15" s="471"/>
      <c r="L15" s="471"/>
      <c r="M15" s="471"/>
      <c r="N15" s="471"/>
      <c r="O15" s="51"/>
    </row>
    <row r="16" spans="1:15" x14ac:dyDescent="0.25">
      <c r="A16" s="462">
        <v>20</v>
      </c>
      <c r="B16" s="457" t="s">
        <v>149</v>
      </c>
      <c r="C16" s="417" t="s">
        <v>586</v>
      </c>
      <c r="D16" s="438">
        <v>0.01</v>
      </c>
      <c r="E16" s="417" t="s">
        <v>46</v>
      </c>
      <c r="F16" s="490">
        <v>35.75</v>
      </c>
      <c r="G16" s="457" t="s">
        <v>148</v>
      </c>
      <c r="H16" s="456">
        <v>3</v>
      </c>
      <c r="I16" s="438">
        <f>IF(H16="",D16*F16,D16*F16*H16)</f>
        <v>1.0725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9" t="s">
        <v>18</v>
      </c>
      <c r="I17" s="106">
        <f>SUM(I15:I16)</f>
        <v>1.3975</v>
      </c>
      <c r="J17" s="15"/>
      <c r="K17" s="15"/>
      <c r="L17" s="15"/>
      <c r="M17" s="15"/>
      <c r="N17" s="15"/>
      <c r="O17" s="47"/>
    </row>
    <row r="18" spans="1:15" ht="15.75" thickBot="1" x14ac:dyDescent="0.3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6"/>
    </row>
  </sheetData>
  <hyperlinks>
    <hyperlink ref="E3" location="dEN_02002!A1" display="Drawing" xr:uid="{ABFBEDB4-054F-4F63-93CC-D9CF6D911518}"/>
    <hyperlink ref="B4" location="EN_A0200" display="EN_A0200" xr:uid="{55E56DD1-F002-46D7-8A2D-2D33FBE0751F}"/>
    <hyperlink ref="G2" location="EN_A0200_BOM" display="Back to BOM" xr:uid="{4DDD4CF5-2802-4542-AA27-B8852ED0BC0A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A083B-4EAD-4196-95EA-532078ABFE5F}">
  <sheetPr>
    <tabColor theme="6" tint="0.39997558519241921"/>
  </sheetPr>
  <dimension ref="A1:O34"/>
  <sheetViews>
    <sheetView zoomScale="85" zoomScaleNormal="85" workbookViewId="0">
      <selection activeCell="I21" sqref="I21"/>
    </sheetView>
  </sheetViews>
  <sheetFormatPr baseColWidth="10" defaultRowHeight="15" x14ac:dyDescent="0.25"/>
  <cols>
    <col min="2" max="2" width="45.42578125" customWidth="1"/>
    <col min="3" max="3" width="59.5703125" customWidth="1"/>
    <col min="4" max="4" width="12.28515625" bestFit="1" customWidth="1"/>
    <col min="6" max="6" width="12.28515625" bestFit="1" customWidth="1"/>
    <col min="7" max="7" width="24.28515625" customWidth="1"/>
    <col min="9" max="9" width="20.140625" bestFit="1" customWidth="1"/>
  </cols>
  <sheetData>
    <row r="1" spans="1:15" x14ac:dyDescent="0.25">
      <c r="A1" s="210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8"/>
    </row>
    <row r="2" spans="1:15" x14ac:dyDescent="0.25">
      <c r="A2" s="261" t="s">
        <v>0</v>
      </c>
      <c r="B2" s="262" t="s">
        <v>44</v>
      </c>
      <c r="C2" s="41"/>
      <c r="D2" s="41"/>
      <c r="E2" s="41"/>
      <c r="F2" s="41"/>
      <c r="G2" s="41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EN_1000_001_m+EN_1000_001_p</f>
        <v>66.549787154500507</v>
      </c>
      <c r="O2" s="170"/>
    </row>
    <row r="3" spans="1:15" x14ac:dyDescent="0.25">
      <c r="A3" s="266" t="s">
        <v>3</v>
      </c>
      <c r="B3" s="262" t="s">
        <v>372</v>
      </c>
      <c r="C3" s="41"/>
      <c r="D3" s="311" t="s">
        <v>6</v>
      </c>
      <c r="E3" s="41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2</v>
      </c>
      <c r="O3" s="170"/>
    </row>
    <row r="4" spans="1:15" x14ac:dyDescent="0.25">
      <c r="A4" s="245" t="s">
        <v>5</v>
      </c>
      <c r="B4" s="310" t="s">
        <v>452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170"/>
    </row>
    <row r="5" spans="1:15" x14ac:dyDescent="0.25">
      <c r="A5" s="245" t="s">
        <v>15</v>
      </c>
      <c r="B5" s="309" t="s">
        <v>451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133.09957430900101</v>
      </c>
      <c r="O5" s="170"/>
    </row>
    <row r="6" spans="1:15" x14ac:dyDescent="0.25">
      <c r="A6" s="245" t="s">
        <v>7</v>
      </c>
      <c r="B6" s="264" t="s">
        <v>463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170"/>
    </row>
    <row r="7" spans="1:15" x14ac:dyDescent="0.25">
      <c r="A7" s="263" t="s">
        <v>10</v>
      </c>
      <c r="B7" s="262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70"/>
    </row>
    <row r="8" spans="1:15" x14ac:dyDescent="0.25">
      <c r="A8" s="261" t="s">
        <v>13</v>
      </c>
      <c r="B8" s="180" t="s">
        <v>312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70"/>
    </row>
    <row r="9" spans="1:15" x14ac:dyDescent="0.25">
      <c r="A9" s="260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70"/>
    </row>
    <row r="10" spans="1:15" x14ac:dyDescent="0.25">
      <c r="A10" s="259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216" t="s">
        <v>23</v>
      </c>
      <c r="G10" s="216" t="s">
        <v>24</v>
      </c>
      <c r="H10" s="216" t="s">
        <v>25</v>
      </c>
      <c r="I10" s="216" t="s">
        <v>26</v>
      </c>
      <c r="J10" s="216" t="s">
        <v>27</v>
      </c>
      <c r="K10" s="216" t="s">
        <v>28</v>
      </c>
      <c r="L10" s="216" t="s">
        <v>29</v>
      </c>
      <c r="M10" s="216" t="s">
        <v>17</v>
      </c>
      <c r="N10" s="216" t="s">
        <v>18</v>
      </c>
      <c r="O10" s="170"/>
    </row>
    <row r="11" spans="1:15" x14ac:dyDescent="0.25">
      <c r="A11" s="258">
        <v>10</v>
      </c>
      <c r="B11" s="198" t="s">
        <v>462</v>
      </c>
      <c r="C11" s="219" t="s">
        <v>461</v>
      </c>
      <c r="D11" s="220">
        <v>2.25</v>
      </c>
      <c r="E11" s="229">
        <f>J11*K11*L11</f>
        <v>4.0999054020002239</v>
      </c>
      <c r="F11" s="219" t="s">
        <v>144</v>
      </c>
      <c r="G11" s="219"/>
      <c r="H11" s="227"/>
      <c r="I11" s="228" t="s">
        <v>460</v>
      </c>
      <c r="J11" s="228">
        <f>PI()*65.5*65.5/4/1000000</f>
        <v>3.3695544705159026E-3</v>
      </c>
      <c r="K11" s="224">
        <v>0.155</v>
      </c>
      <c r="L11" s="223">
        <v>7850</v>
      </c>
      <c r="M11" s="223">
        <v>1</v>
      </c>
      <c r="N11" s="220">
        <f>D11*J11*K11*L11*M11</f>
        <v>9.224787154500504</v>
      </c>
      <c r="O11" s="199"/>
    </row>
    <row r="12" spans="1:15" x14ac:dyDescent="0.25">
      <c r="A12" s="256"/>
      <c r="B12" s="255"/>
      <c r="C12" s="253"/>
      <c r="D12" s="254"/>
      <c r="E12" s="253"/>
      <c r="F12" s="253"/>
      <c r="G12" s="253"/>
      <c r="H12" s="252"/>
      <c r="I12" s="251"/>
      <c r="J12" s="250"/>
      <c r="K12" s="249"/>
      <c r="L12" s="248"/>
      <c r="M12" s="247"/>
      <c r="N12" s="246"/>
      <c r="O12" s="199"/>
    </row>
    <row r="13" spans="1:15" x14ac:dyDescent="0.25">
      <c r="A13" s="173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22" t="s">
        <v>18</v>
      </c>
      <c r="N13" s="106">
        <f>SUM(N11:N11)</f>
        <v>9.224787154500504</v>
      </c>
      <c r="O13" s="170"/>
    </row>
    <row r="14" spans="1:15" x14ac:dyDescent="0.25">
      <c r="A14" s="177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70"/>
    </row>
    <row r="15" spans="1:15" x14ac:dyDescent="0.25">
      <c r="A15" s="245" t="s">
        <v>14</v>
      </c>
      <c r="B15" s="216" t="s">
        <v>31</v>
      </c>
      <c r="C15" s="216" t="s">
        <v>20</v>
      </c>
      <c r="D15" s="216" t="s">
        <v>21</v>
      </c>
      <c r="E15" s="216" t="s">
        <v>32</v>
      </c>
      <c r="F15" s="216" t="s">
        <v>17</v>
      </c>
      <c r="G15" s="216" t="s">
        <v>33</v>
      </c>
      <c r="H15" s="216" t="s">
        <v>34</v>
      </c>
      <c r="I15" s="216" t="s">
        <v>18</v>
      </c>
      <c r="J15" s="15"/>
      <c r="K15" s="15"/>
      <c r="L15" s="15"/>
      <c r="M15" s="15"/>
      <c r="N15" s="15"/>
      <c r="O15" s="170"/>
    </row>
    <row r="16" spans="1:15" x14ac:dyDescent="0.25">
      <c r="A16" s="306">
        <v>10</v>
      </c>
      <c r="B16" s="244" t="s">
        <v>45</v>
      </c>
      <c r="C16" s="268" t="s">
        <v>459</v>
      </c>
      <c r="D16" s="298">
        <v>1.3</v>
      </c>
      <c r="E16" s="244" t="s">
        <v>32</v>
      </c>
      <c r="F16" s="299">
        <v>1</v>
      </c>
      <c r="G16" s="299"/>
      <c r="H16" s="299"/>
      <c r="I16" s="267">
        <f t="shared" ref="I16:I21" si="0">IF(H16="",D16*F16,D16*F16*H16)</f>
        <v>1.3</v>
      </c>
      <c r="J16" s="15"/>
      <c r="K16" s="15"/>
      <c r="L16" s="15"/>
      <c r="M16" s="15"/>
      <c r="N16" s="15"/>
      <c r="O16" s="170"/>
    </row>
    <row r="17" spans="1:15" x14ac:dyDescent="0.25">
      <c r="A17" s="276">
        <v>20</v>
      </c>
      <c r="B17" s="268" t="s">
        <v>145</v>
      </c>
      <c r="C17" s="268" t="s">
        <v>458</v>
      </c>
      <c r="D17" s="298">
        <v>0.04</v>
      </c>
      <c r="E17" s="308" t="s">
        <v>147</v>
      </c>
      <c r="F17" s="236">
        <v>269.89999999999998</v>
      </c>
      <c r="G17" s="301" t="s">
        <v>148</v>
      </c>
      <c r="H17" s="307">
        <v>3</v>
      </c>
      <c r="I17" s="267">
        <f t="shared" si="0"/>
        <v>32.387999999999998</v>
      </c>
      <c r="J17" s="41"/>
      <c r="K17" s="41"/>
      <c r="L17" s="41"/>
      <c r="M17" s="41"/>
      <c r="N17" s="41"/>
      <c r="O17" s="170"/>
    </row>
    <row r="18" spans="1:15" x14ac:dyDescent="0.25">
      <c r="A18" s="306">
        <v>30</v>
      </c>
      <c r="B18" s="244" t="s">
        <v>146</v>
      </c>
      <c r="C18" s="268" t="s">
        <v>457</v>
      </c>
      <c r="D18" s="298">
        <v>0.65</v>
      </c>
      <c r="E18" s="244" t="s">
        <v>32</v>
      </c>
      <c r="F18" s="299">
        <v>1</v>
      </c>
      <c r="G18" s="299"/>
      <c r="H18" s="299"/>
      <c r="I18" s="267">
        <f t="shared" si="0"/>
        <v>0.65</v>
      </c>
      <c r="J18" s="41"/>
      <c r="K18" s="41"/>
      <c r="L18" s="41"/>
      <c r="M18" s="41"/>
      <c r="N18" s="41"/>
      <c r="O18" s="170"/>
    </row>
    <row r="19" spans="1:15" x14ac:dyDescent="0.25">
      <c r="A19" s="305">
        <v>40</v>
      </c>
      <c r="B19" s="304" t="s">
        <v>145</v>
      </c>
      <c r="C19" s="304" t="s">
        <v>456</v>
      </c>
      <c r="D19" s="298">
        <v>0.04</v>
      </c>
      <c r="E19" s="303" t="s">
        <v>147</v>
      </c>
      <c r="F19" s="302">
        <v>175.85</v>
      </c>
      <c r="G19" s="301" t="s">
        <v>148</v>
      </c>
      <c r="H19" s="300">
        <v>3</v>
      </c>
      <c r="I19" s="296">
        <f t="shared" si="0"/>
        <v>21.102</v>
      </c>
      <c r="J19" s="41"/>
      <c r="K19" s="41"/>
      <c r="L19" s="41"/>
      <c r="M19" s="41"/>
      <c r="N19" s="41"/>
      <c r="O19" s="170"/>
    </row>
    <row r="20" spans="1:15" x14ac:dyDescent="0.25">
      <c r="A20" s="240">
        <v>50</v>
      </c>
      <c r="B20" s="244" t="s">
        <v>146</v>
      </c>
      <c r="C20" s="268" t="s">
        <v>455</v>
      </c>
      <c r="D20" s="298">
        <v>0.65</v>
      </c>
      <c r="E20" s="244" t="s">
        <v>32</v>
      </c>
      <c r="F20" s="299">
        <v>1</v>
      </c>
      <c r="G20" s="190"/>
      <c r="H20" s="297"/>
      <c r="I20" s="296">
        <f t="shared" si="0"/>
        <v>0.65</v>
      </c>
      <c r="J20" s="41"/>
      <c r="K20" s="41"/>
      <c r="L20" s="41"/>
      <c r="M20" s="41"/>
      <c r="N20" s="41"/>
      <c r="O20" s="170"/>
    </row>
    <row r="21" spans="1:15" x14ac:dyDescent="0.25">
      <c r="A21" s="240">
        <v>60</v>
      </c>
      <c r="B21" s="268" t="s">
        <v>386</v>
      </c>
      <c r="C21" s="268" t="s">
        <v>454</v>
      </c>
      <c r="D21" s="298">
        <v>0.5</v>
      </c>
      <c r="E21" s="190" t="s">
        <v>46</v>
      </c>
      <c r="F21" s="236">
        <v>2.4700000000000002</v>
      </c>
      <c r="G21" s="190"/>
      <c r="H21" s="297"/>
      <c r="I21" s="296">
        <f t="shared" si="0"/>
        <v>1.2350000000000001</v>
      </c>
      <c r="J21" s="41"/>
      <c r="K21" s="41"/>
      <c r="L21" s="41"/>
      <c r="M21" s="41"/>
      <c r="N21" s="41"/>
      <c r="O21" s="170"/>
    </row>
    <row r="22" spans="1:15" x14ac:dyDescent="0.25">
      <c r="A22" s="173"/>
      <c r="B22" s="15"/>
      <c r="C22" s="15"/>
      <c r="D22" s="15"/>
      <c r="E22" s="15"/>
      <c r="F22" s="15"/>
      <c r="G22" s="15"/>
      <c r="H22" s="109" t="s">
        <v>18</v>
      </c>
      <c r="I22" s="295">
        <f>SUM(I16:I21)</f>
        <v>57.324999999999996</v>
      </c>
      <c r="J22" s="41"/>
      <c r="K22" s="41"/>
      <c r="L22" s="41"/>
      <c r="M22" s="41"/>
      <c r="N22" s="41"/>
      <c r="O22" s="170"/>
    </row>
    <row r="23" spans="1:15" x14ac:dyDescent="0.25">
      <c r="A23" s="177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70"/>
    </row>
    <row r="24" spans="1:15" x14ac:dyDescent="0.25">
      <c r="A24" s="177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70"/>
    </row>
    <row r="25" spans="1:15" x14ac:dyDescent="0.25">
      <c r="A25" s="177"/>
      <c r="B25" s="41"/>
      <c r="C25" s="41"/>
      <c r="D25" s="41"/>
      <c r="E25" s="41"/>
      <c r="F25" s="232"/>
      <c r="G25" s="41"/>
      <c r="H25" s="41"/>
      <c r="I25" s="41"/>
      <c r="J25" s="41"/>
      <c r="K25" s="41"/>
      <c r="L25" s="41"/>
      <c r="M25" s="41"/>
      <c r="N25" s="41"/>
      <c r="O25" s="170"/>
    </row>
    <row r="26" spans="1:15" x14ac:dyDescent="0.25">
      <c r="A26" s="177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70"/>
    </row>
    <row r="27" spans="1:15" x14ac:dyDescent="0.25">
      <c r="A27" s="177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170"/>
    </row>
    <row r="28" spans="1:15" x14ac:dyDescent="0.25">
      <c r="A28" s="177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170"/>
    </row>
    <row r="29" spans="1:15" ht="15.75" thickBot="1" x14ac:dyDescent="0.3">
      <c r="A29" s="169"/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7"/>
    </row>
    <row r="31" spans="1:15" x14ac:dyDescent="0.25">
      <c r="I31" s="294"/>
    </row>
    <row r="32" spans="1:15" x14ac:dyDescent="0.25">
      <c r="H32" s="111"/>
      <c r="J32" s="111"/>
    </row>
    <row r="33" spans="6:11" x14ac:dyDescent="0.25">
      <c r="K33" s="111"/>
    </row>
    <row r="34" spans="6:11" x14ac:dyDescent="0.25">
      <c r="F34" s="294"/>
      <c r="G34" s="111"/>
      <c r="H34" s="111"/>
      <c r="J34" s="293"/>
      <c r="K34" s="293"/>
    </row>
  </sheetData>
  <hyperlinks>
    <hyperlink ref="B4" location="EN_A1000!A1" display="Driveshaft" xr:uid="{14C71347-ABED-4F3A-8B04-3EB2F1C5F84E}"/>
  </hyperlinks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9CCC-B1A6-4AA0-93CE-70470EC13D74}">
  <sheetPr>
    <tabColor theme="6" tint="0.39997558519241921"/>
  </sheetPr>
  <dimension ref="A1:O30"/>
  <sheetViews>
    <sheetView zoomScaleNormal="100" workbookViewId="0">
      <selection activeCell="I21" sqref="I21"/>
    </sheetView>
  </sheetViews>
  <sheetFormatPr baseColWidth="10" defaultRowHeight="15" x14ac:dyDescent="0.25"/>
  <cols>
    <col min="2" max="2" width="33.7109375" bestFit="1" customWidth="1"/>
    <col min="3" max="3" width="53" bestFit="1" customWidth="1"/>
    <col min="7" max="7" width="14.5703125" bestFit="1" customWidth="1"/>
    <col min="9" max="9" width="20.140625" bestFit="1" customWidth="1"/>
    <col min="12" max="13" width="12" bestFit="1" customWidth="1"/>
  </cols>
  <sheetData>
    <row r="1" spans="1:15" x14ac:dyDescent="0.25">
      <c r="A1" s="210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8"/>
    </row>
    <row r="2" spans="1:15" x14ac:dyDescent="0.25">
      <c r="A2" s="261" t="s">
        <v>0</v>
      </c>
      <c r="B2" s="262" t="s">
        <v>44</v>
      </c>
      <c r="C2" s="41"/>
      <c r="D2" s="41"/>
      <c r="E2" s="41"/>
      <c r="F2" s="41"/>
      <c r="G2" s="41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EN_1000_002_m+EN_1000_002_p</f>
        <v>72.275200595774251</v>
      </c>
      <c r="O2" s="170"/>
    </row>
    <row r="3" spans="1:15" x14ac:dyDescent="0.25">
      <c r="A3" s="266" t="s">
        <v>3</v>
      </c>
      <c r="B3" s="262" t="s">
        <v>372</v>
      </c>
      <c r="C3" s="41"/>
      <c r="D3" s="311" t="s">
        <v>6</v>
      </c>
      <c r="E3" s="41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2</v>
      </c>
      <c r="O3" s="170"/>
    </row>
    <row r="4" spans="1:15" x14ac:dyDescent="0.25">
      <c r="A4" s="245" t="s">
        <v>5</v>
      </c>
      <c r="B4" s="310" t="s">
        <v>452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170"/>
    </row>
    <row r="5" spans="1:15" x14ac:dyDescent="0.25">
      <c r="A5" s="245" t="s">
        <v>15</v>
      </c>
      <c r="B5" s="309" t="s">
        <v>450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144.5504011915485</v>
      </c>
      <c r="O5" s="170"/>
    </row>
    <row r="6" spans="1:15" x14ac:dyDescent="0.25">
      <c r="A6" s="245" t="s">
        <v>7</v>
      </c>
      <c r="B6" s="264" t="s">
        <v>467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170"/>
    </row>
    <row r="7" spans="1:15" x14ac:dyDescent="0.25">
      <c r="A7" s="263" t="s">
        <v>10</v>
      </c>
      <c r="B7" s="262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70"/>
    </row>
    <row r="8" spans="1:15" x14ac:dyDescent="0.25">
      <c r="A8" s="261" t="s">
        <v>13</v>
      </c>
      <c r="B8" s="180" t="s">
        <v>312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70"/>
    </row>
    <row r="9" spans="1:15" x14ac:dyDescent="0.25">
      <c r="A9" s="260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70"/>
    </row>
    <row r="10" spans="1:15" x14ac:dyDescent="0.25">
      <c r="A10" s="259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216" t="s">
        <v>23</v>
      </c>
      <c r="G10" s="216" t="s">
        <v>24</v>
      </c>
      <c r="H10" s="216" t="s">
        <v>25</v>
      </c>
      <c r="I10" s="216" t="s">
        <v>26</v>
      </c>
      <c r="J10" s="216" t="s">
        <v>27</v>
      </c>
      <c r="K10" s="216" t="s">
        <v>28</v>
      </c>
      <c r="L10" s="216" t="s">
        <v>29</v>
      </c>
      <c r="M10" s="216" t="s">
        <v>17</v>
      </c>
      <c r="N10" s="216" t="s">
        <v>18</v>
      </c>
      <c r="O10" s="170"/>
    </row>
    <row r="11" spans="1:15" x14ac:dyDescent="0.25">
      <c r="A11" s="258">
        <v>10</v>
      </c>
      <c r="B11" s="198" t="s">
        <v>462</v>
      </c>
      <c r="C11" s="219" t="s">
        <v>461</v>
      </c>
      <c r="D11" s="220">
        <v>2.25</v>
      </c>
      <c r="E11" s="229">
        <f>J11*K11*L11</f>
        <v>4.2790580425663371</v>
      </c>
      <c r="F11" s="219" t="s">
        <v>144</v>
      </c>
      <c r="G11" s="219"/>
      <c r="H11" s="227"/>
      <c r="I11" s="228" t="s">
        <v>460</v>
      </c>
      <c r="J11" s="228">
        <f>PI()*65.5*65.5/4/1000000</f>
        <v>3.3695544705159026E-3</v>
      </c>
      <c r="K11" s="224">
        <v>0.161773</v>
      </c>
      <c r="L11" s="223">
        <v>7850</v>
      </c>
      <c r="M11" s="223">
        <v>1</v>
      </c>
      <c r="N11" s="220">
        <f>D11*J11*K11*L11*M11</f>
        <v>9.6278805957742595</v>
      </c>
      <c r="O11" s="199"/>
    </row>
    <row r="12" spans="1:15" x14ac:dyDescent="0.25">
      <c r="A12" s="173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22" t="s">
        <v>18</v>
      </c>
      <c r="N12" s="106">
        <f>SUM(N11:N11)</f>
        <v>9.6278805957742595</v>
      </c>
      <c r="O12" s="170"/>
    </row>
    <row r="13" spans="1:15" x14ac:dyDescent="0.25">
      <c r="A13" s="177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70"/>
    </row>
    <row r="14" spans="1:15" x14ac:dyDescent="0.25">
      <c r="A14" s="245" t="s">
        <v>14</v>
      </c>
      <c r="B14" s="216" t="s">
        <v>31</v>
      </c>
      <c r="C14" s="216" t="s">
        <v>20</v>
      </c>
      <c r="D14" s="216" t="s">
        <v>21</v>
      </c>
      <c r="E14" s="216" t="s">
        <v>32</v>
      </c>
      <c r="F14" s="216" t="s">
        <v>17</v>
      </c>
      <c r="G14" s="216" t="s">
        <v>33</v>
      </c>
      <c r="H14" s="216" t="s">
        <v>34</v>
      </c>
      <c r="I14" s="216" t="s">
        <v>18</v>
      </c>
      <c r="J14" s="15"/>
      <c r="K14" s="15"/>
      <c r="L14" s="15"/>
      <c r="M14" s="15"/>
      <c r="N14" s="15"/>
      <c r="O14" s="170"/>
    </row>
    <row r="15" spans="1:15" x14ac:dyDescent="0.25">
      <c r="A15" s="306">
        <v>10</v>
      </c>
      <c r="B15" s="244" t="s">
        <v>45</v>
      </c>
      <c r="C15" s="268" t="s">
        <v>459</v>
      </c>
      <c r="D15" s="298">
        <v>1.3</v>
      </c>
      <c r="E15" s="244" t="s">
        <v>32</v>
      </c>
      <c r="F15" s="299">
        <v>1</v>
      </c>
      <c r="G15" s="299"/>
      <c r="H15" s="299"/>
      <c r="I15" s="267">
        <f t="shared" ref="I15:I22" si="0">IF(H15="",D15*F15,D15*F15*H15)</f>
        <v>1.3</v>
      </c>
      <c r="J15" s="15"/>
      <c r="K15" s="15"/>
      <c r="L15" s="15"/>
      <c r="M15" s="15"/>
      <c r="N15" s="15"/>
      <c r="O15" s="170"/>
    </row>
    <row r="16" spans="1:15" x14ac:dyDescent="0.25">
      <c r="A16" s="276">
        <v>20</v>
      </c>
      <c r="B16" s="268" t="s">
        <v>145</v>
      </c>
      <c r="C16" s="268" t="s">
        <v>458</v>
      </c>
      <c r="D16" s="298">
        <v>0.04</v>
      </c>
      <c r="E16" s="308" t="s">
        <v>147</v>
      </c>
      <c r="F16" s="236">
        <v>313.90100000000001</v>
      </c>
      <c r="G16" s="301" t="s">
        <v>148</v>
      </c>
      <c r="H16" s="307">
        <v>3</v>
      </c>
      <c r="I16" s="267">
        <f t="shared" si="0"/>
        <v>37.668120000000002</v>
      </c>
      <c r="J16" s="41"/>
      <c r="K16" s="41"/>
      <c r="L16" s="41"/>
      <c r="M16" s="41"/>
      <c r="N16" s="41"/>
      <c r="O16" s="170"/>
    </row>
    <row r="17" spans="1:15" x14ac:dyDescent="0.25">
      <c r="A17" s="306">
        <v>30</v>
      </c>
      <c r="B17" s="244" t="s">
        <v>146</v>
      </c>
      <c r="C17" s="268" t="s">
        <v>457</v>
      </c>
      <c r="D17" s="298">
        <v>0.65</v>
      </c>
      <c r="E17" s="244" t="s">
        <v>32</v>
      </c>
      <c r="F17" s="299">
        <v>1</v>
      </c>
      <c r="G17" s="299"/>
      <c r="H17" s="299"/>
      <c r="I17" s="267">
        <f t="shared" si="0"/>
        <v>0.65</v>
      </c>
      <c r="J17" s="41"/>
      <c r="K17" s="41"/>
      <c r="L17" s="41"/>
      <c r="M17" s="41"/>
      <c r="N17" s="41"/>
      <c r="O17" s="170"/>
    </row>
    <row r="18" spans="1:15" x14ac:dyDescent="0.25">
      <c r="A18" s="305">
        <v>40</v>
      </c>
      <c r="B18" s="304" t="s">
        <v>145</v>
      </c>
      <c r="C18" s="304" t="s">
        <v>456</v>
      </c>
      <c r="D18" s="298">
        <v>0.04</v>
      </c>
      <c r="E18" s="303" t="s">
        <v>147</v>
      </c>
      <c r="F18" s="302">
        <v>161.94</v>
      </c>
      <c r="G18" s="301" t="s">
        <v>148</v>
      </c>
      <c r="H18" s="300">
        <v>3</v>
      </c>
      <c r="I18" s="296">
        <f t="shared" si="0"/>
        <v>19.4328</v>
      </c>
      <c r="J18" s="41"/>
      <c r="K18" s="41"/>
      <c r="L18" s="41"/>
      <c r="M18" s="41"/>
      <c r="N18" s="41"/>
      <c r="O18" s="170"/>
    </row>
    <row r="19" spans="1:15" x14ac:dyDescent="0.25">
      <c r="A19" s="240">
        <v>50</v>
      </c>
      <c r="B19" s="244" t="s">
        <v>146</v>
      </c>
      <c r="C19" s="268" t="s">
        <v>455</v>
      </c>
      <c r="D19" s="298">
        <v>0.65</v>
      </c>
      <c r="E19" s="244" t="s">
        <v>32</v>
      </c>
      <c r="F19" s="299">
        <v>1</v>
      </c>
      <c r="G19" s="190"/>
      <c r="H19" s="297"/>
      <c r="I19" s="296">
        <f t="shared" si="0"/>
        <v>0.65</v>
      </c>
      <c r="J19" s="41"/>
      <c r="K19" s="41"/>
      <c r="L19" s="41"/>
      <c r="M19" s="41"/>
      <c r="N19" s="41"/>
      <c r="O19" s="170"/>
    </row>
    <row r="20" spans="1:15" x14ac:dyDescent="0.25">
      <c r="A20" s="240">
        <v>60</v>
      </c>
      <c r="B20" s="268" t="s">
        <v>386</v>
      </c>
      <c r="C20" s="268" t="s">
        <v>454</v>
      </c>
      <c r="D20" s="298">
        <v>0.5</v>
      </c>
      <c r="E20" s="190" t="s">
        <v>46</v>
      </c>
      <c r="F20" s="236">
        <v>5.8928000000000003</v>
      </c>
      <c r="G20" s="190"/>
      <c r="H20" s="297"/>
      <c r="I20" s="296">
        <f t="shared" si="0"/>
        <v>2.9464000000000001</v>
      </c>
      <c r="J20" s="41"/>
      <c r="K20" s="41"/>
      <c r="L20" s="41"/>
      <c r="M20" s="41"/>
      <c r="N20" s="41"/>
      <c r="O20" s="170"/>
    </row>
    <row r="21" spans="1:15" x14ac:dyDescent="0.25">
      <c r="A21" s="314">
        <v>70</v>
      </c>
      <c r="B21" s="268" t="s">
        <v>146</v>
      </c>
      <c r="C21" s="268" t="s">
        <v>466</v>
      </c>
      <c r="D21" s="316">
        <v>0.65</v>
      </c>
      <c r="E21" s="237" t="s">
        <v>32</v>
      </c>
      <c r="F21" s="315">
        <v>1</v>
      </c>
      <c r="G21" s="241"/>
      <c r="H21" s="241"/>
      <c r="I21" s="267">
        <f t="shared" si="0"/>
        <v>0.65</v>
      </c>
      <c r="J21" s="41"/>
      <c r="K21" s="41"/>
      <c r="L21" s="41"/>
      <c r="M21" s="41"/>
      <c r="N21" s="41"/>
      <c r="O21" s="170"/>
    </row>
    <row r="22" spans="1:15" x14ac:dyDescent="0.25">
      <c r="A22" s="240">
        <v>80</v>
      </c>
      <c r="B22" s="268" t="s">
        <v>465</v>
      </c>
      <c r="C22" s="268" t="s">
        <v>464</v>
      </c>
      <c r="D22" s="316">
        <v>0.1</v>
      </c>
      <c r="E22" s="237" t="s">
        <v>46</v>
      </c>
      <c r="F22" s="315">
        <v>1.8452999999999999</v>
      </c>
      <c r="G22" s="241"/>
      <c r="H22" s="241"/>
      <c r="I22" s="267">
        <f t="shared" si="0"/>
        <v>0.18453</v>
      </c>
      <c r="J22" s="41"/>
      <c r="K22" s="41"/>
      <c r="L22" s="232"/>
      <c r="M22" s="278"/>
      <c r="N22" s="41"/>
      <c r="O22" s="170"/>
    </row>
    <row r="23" spans="1:15" x14ac:dyDescent="0.25">
      <c r="A23" s="314"/>
      <c r="B23" s="15"/>
      <c r="C23" s="15"/>
      <c r="D23" s="15"/>
      <c r="E23" s="15"/>
      <c r="F23" s="15"/>
      <c r="G23" s="15"/>
      <c r="H23" s="109" t="s">
        <v>18</v>
      </c>
      <c r="I23" s="295">
        <f>SUM(I15:I20)</f>
        <v>62.647319999999993</v>
      </c>
      <c r="J23" s="41"/>
      <c r="K23" s="41"/>
      <c r="L23" s="41"/>
      <c r="M23" s="41"/>
      <c r="N23" s="41"/>
      <c r="O23" s="170"/>
    </row>
    <row r="24" spans="1:15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70"/>
    </row>
    <row r="25" spans="1:15" x14ac:dyDescent="0.25">
      <c r="B25" s="41"/>
      <c r="C25" s="313"/>
      <c r="D25" s="41"/>
      <c r="E25" s="232"/>
      <c r="F25" s="232"/>
      <c r="G25" s="41"/>
      <c r="H25" s="41"/>
      <c r="I25" s="41"/>
      <c r="J25" s="41"/>
      <c r="K25" s="41"/>
      <c r="L25" s="41"/>
      <c r="M25" s="41"/>
      <c r="N25" s="41"/>
      <c r="O25" s="170"/>
    </row>
    <row r="26" spans="1:15" x14ac:dyDescent="0.25">
      <c r="B26" s="41"/>
      <c r="C26" s="232"/>
      <c r="D26" s="41"/>
      <c r="E26" s="232"/>
      <c r="F26" s="41"/>
      <c r="G26" s="41"/>
      <c r="H26" s="41"/>
      <c r="I26" s="41"/>
      <c r="J26" s="41"/>
      <c r="K26" s="41"/>
      <c r="L26" s="41"/>
      <c r="M26" s="41"/>
      <c r="N26" s="41"/>
      <c r="O26" s="170"/>
    </row>
    <row r="27" spans="1:15" x14ac:dyDescent="0.25">
      <c r="B27" s="41"/>
      <c r="C27" s="41"/>
      <c r="D27" s="41"/>
      <c r="E27" s="312"/>
      <c r="F27" s="41"/>
      <c r="G27" s="41"/>
      <c r="H27" s="41"/>
      <c r="I27" s="41"/>
      <c r="J27" s="41"/>
      <c r="K27" s="41"/>
      <c r="L27" s="41"/>
      <c r="M27" s="41"/>
      <c r="N27" s="41"/>
      <c r="O27" s="170"/>
    </row>
    <row r="28" spans="1:15" x14ac:dyDescent="0.25"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170"/>
    </row>
    <row r="29" spans="1:15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170"/>
    </row>
    <row r="30" spans="1:15" ht="15.75" thickBot="1" x14ac:dyDescent="0.3"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7"/>
    </row>
  </sheetData>
  <hyperlinks>
    <hyperlink ref="B4" location="EN_A1000!A1" display="Driveshaft" xr:uid="{FF9C9BF0-8081-401C-8903-0E5F32CF10C8}"/>
  </hyperlinks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54BD5-132E-41AB-8258-D9F1572AC917}">
  <sheetPr>
    <tabColor theme="6" tint="0.39997558519241921"/>
  </sheetPr>
  <dimension ref="A1:O30"/>
  <sheetViews>
    <sheetView zoomScaleNormal="100" workbookViewId="0">
      <selection activeCell="I21" sqref="I21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210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8"/>
    </row>
    <row r="2" spans="1:15" x14ac:dyDescent="0.25">
      <c r="A2" s="261" t="s">
        <v>0</v>
      </c>
      <c r="B2" s="262" t="s">
        <v>44</v>
      </c>
      <c r="C2" s="41"/>
      <c r="D2" s="41"/>
      <c r="E2" s="41"/>
      <c r="F2" s="41"/>
      <c r="G2" s="41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EN_1000_003_m+EN_1000_003_p</f>
        <v>16.43313830045987</v>
      </c>
      <c r="O2" s="170"/>
    </row>
    <row r="3" spans="1:15" x14ac:dyDescent="0.25">
      <c r="A3" s="266" t="s">
        <v>3</v>
      </c>
      <c r="B3" s="262" t="s">
        <v>372</v>
      </c>
      <c r="C3" s="41"/>
      <c r="D3" s="310" t="s">
        <v>6</v>
      </c>
      <c r="E3" s="41" t="s">
        <v>478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170"/>
    </row>
    <row r="4" spans="1:15" x14ac:dyDescent="0.25">
      <c r="A4" s="245" t="s">
        <v>5</v>
      </c>
      <c r="B4" s="310" t="s">
        <v>452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170"/>
    </row>
    <row r="5" spans="1:15" x14ac:dyDescent="0.25">
      <c r="A5" s="245" t="s">
        <v>15</v>
      </c>
      <c r="B5" s="311" t="s">
        <v>477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16.43313830045987</v>
      </c>
      <c r="O5" s="170"/>
    </row>
    <row r="6" spans="1:15" x14ac:dyDescent="0.25">
      <c r="A6" s="245" t="s">
        <v>7</v>
      </c>
      <c r="B6" s="264" t="s">
        <v>476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170"/>
    </row>
    <row r="7" spans="1:15" x14ac:dyDescent="0.25">
      <c r="A7" s="263" t="s">
        <v>10</v>
      </c>
      <c r="B7" s="262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70"/>
    </row>
    <row r="8" spans="1:15" x14ac:dyDescent="0.25">
      <c r="A8" s="261" t="s">
        <v>13</v>
      </c>
      <c r="B8" s="180" t="s">
        <v>312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70"/>
    </row>
    <row r="9" spans="1:15" x14ac:dyDescent="0.25">
      <c r="A9" s="260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70"/>
    </row>
    <row r="10" spans="1:15" x14ac:dyDescent="0.25">
      <c r="A10" s="259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216" t="s">
        <v>23</v>
      </c>
      <c r="G10" s="216" t="s">
        <v>24</v>
      </c>
      <c r="H10" s="216" t="s">
        <v>25</v>
      </c>
      <c r="I10" s="216" t="s">
        <v>26</v>
      </c>
      <c r="J10" s="216" t="s">
        <v>27</v>
      </c>
      <c r="K10" s="216" t="s">
        <v>28</v>
      </c>
      <c r="L10" s="216" t="s">
        <v>29</v>
      </c>
      <c r="M10" s="216" t="s">
        <v>17</v>
      </c>
      <c r="N10" s="216" t="s">
        <v>18</v>
      </c>
      <c r="O10" s="170"/>
    </row>
    <row r="11" spans="1:15" x14ac:dyDescent="0.25">
      <c r="A11" s="258">
        <v>10</v>
      </c>
      <c r="B11" s="198" t="s">
        <v>462</v>
      </c>
      <c r="C11" s="219" t="s">
        <v>475</v>
      </c>
      <c r="D11" s="220">
        <v>2.25</v>
      </c>
      <c r="E11" s="229">
        <f>J11*K11*L11</f>
        <v>1.1472790446544314</v>
      </c>
      <c r="F11" s="219" t="s">
        <v>144</v>
      </c>
      <c r="G11" s="219"/>
      <c r="H11" s="227"/>
      <c r="I11" s="228" t="s">
        <v>474</v>
      </c>
      <c r="J11" s="228">
        <f>PI()*22.1*22.1/4/1000000</f>
        <v>3.8359631698494783E-4</v>
      </c>
      <c r="K11" s="224">
        <v>0.38100000000000001</v>
      </c>
      <c r="L11" s="223">
        <v>7850</v>
      </c>
      <c r="M11" s="223">
        <v>1</v>
      </c>
      <c r="N11" s="220">
        <f>D11*J11*K11*L11*M11</f>
        <v>2.58137785047247</v>
      </c>
      <c r="O11" s="199"/>
    </row>
    <row r="12" spans="1:15" x14ac:dyDescent="0.25">
      <c r="A12" s="173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22" t="s">
        <v>18</v>
      </c>
      <c r="N12" s="106">
        <f>SUM(N11:N11)</f>
        <v>2.58137785047247</v>
      </c>
      <c r="O12" s="170"/>
    </row>
    <row r="13" spans="1:15" x14ac:dyDescent="0.25">
      <c r="A13" s="177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70"/>
    </row>
    <row r="14" spans="1:15" x14ac:dyDescent="0.25">
      <c r="A14" s="245" t="s">
        <v>14</v>
      </c>
      <c r="B14" s="216" t="s">
        <v>31</v>
      </c>
      <c r="C14" s="216" t="s">
        <v>20</v>
      </c>
      <c r="D14" s="216" t="s">
        <v>21</v>
      </c>
      <c r="E14" s="216" t="s">
        <v>32</v>
      </c>
      <c r="F14" s="216" t="s">
        <v>17</v>
      </c>
      <c r="G14" s="216" t="s">
        <v>33</v>
      </c>
      <c r="H14" s="216" t="s">
        <v>34</v>
      </c>
      <c r="I14" s="216" t="s">
        <v>18</v>
      </c>
      <c r="J14" s="15"/>
      <c r="K14" s="15"/>
      <c r="L14" s="15"/>
      <c r="M14" s="15"/>
      <c r="N14" s="15"/>
      <c r="O14" s="170"/>
    </row>
    <row r="15" spans="1:15" x14ac:dyDescent="0.25">
      <c r="A15" s="317">
        <v>10</v>
      </c>
      <c r="B15" s="268" t="s">
        <v>45</v>
      </c>
      <c r="C15" s="268" t="s">
        <v>473</v>
      </c>
      <c r="D15" s="316">
        <v>1.3</v>
      </c>
      <c r="E15" s="237" t="s">
        <v>32</v>
      </c>
      <c r="F15" s="315">
        <v>1</v>
      </c>
      <c r="G15" s="241"/>
      <c r="H15" s="241"/>
      <c r="I15" s="267">
        <f t="shared" ref="I15:I20" si="0">IF(H15="",D15*F15,D15*F15*H15)</f>
        <v>1.3</v>
      </c>
      <c r="J15" s="41"/>
      <c r="K15" s="41"/>
      <c r="L15" s="41"/>
      <c r="M15" s="41"/>
      <c r="N15" s="41"/>
      <c r="O15" s="170"/>
    </row>
    <row r="16" spans="1:15" x14ac:dyDescent="0.25">
      <c r="A16" s="317">
        <v>20</v>
      </c>
      <c r="B16" s="268" t="s">
        <v>145</v>
      </c>
      <c r="C16" s="268" t="s">
        <v>472</v>
      </c>
      <c r="D16" s="316">
        <v>0.04</v>
      </c>
      <c r="E16" s="237" t="s">
        <v>147</v>
      </c>
      <c r="F16" s="319">
        <f>J11*0.009896*2*1000000</f>
        <v>7.5921383057660883</v>
      </c>
      <c r="G16" s="318" t="s">
        <v>470</v>
      </c>
      <c r="H16" s="314">
        <v>3</v>
      </c>
      <c r="I16" s="267">
        <f t="shared" si="0"/>
        <v>0.91105659669193062</v>
      </c>
      <c r="J16" s="41"/>
      <c r="K16" s="41"/>
      <c r="L16" s="41"/>
      <c r="M16" s="41"/>
      <c r="N16" s="41"/>
      <c r="O16" s="170"/>
    </row>
    <row r="17" spans="1:15" x14ac:dyDescent="0.25">
      <c r="A17" s="317">
        <v>30</v>
      </c>
      <c r="B17" s="268" t="s">
        <v>146</v>
      </c>
      <c r="C17" s="268" t="s">
        <v>469</v>
      </c>
      <c r="D17" s="316">
        <v>0.65</v>
      </c>
      <c r="E17" s="237" t="s">
        <v>32</v>
      </c>
      <c r="F17" s="315">
        <v>1</v>
      </c>
      <c r="G17" s="241"/>
      <c r="H17" s="241"/>
      <c r="I17" s="267">
        <f t="shared" si="0"/>
        <v>0.65</v>
      </c>
      <c r="J17" s="41"/>
      <c r="K17" s="41"/>
      <c r="L17" s="41"/>
      <c r="M17" s="41"/>
      <c r="N17" s="41"/>
      <c r="O17" s="170"/>
    </row>
    <row r="18" spans="1:15" x14ac:dyDescent="0.25">
      <c r="A18" s="317">
        <v>40</v>
      </c>
      <c r="B18" s="268" t="s">
        <v>145</v>
      </c>
      <c r="C18" s="268" t="s">
        <v>471</v>
      </c>
      <c r="D18" s="316">
        <v>0.04</v>
      </c>
      <c r="E18" s="237" t="s">
        <v>147</v>
      </c>
      <c r="F18" s="319">
        <f>(K11-2*0.009896)*PI()*0.00635*0.00635*1000000</f>
        <v>45.756698777462248</v>
      </c>
      <c r="G18" s="318" t="s">
        <v>470</v>
      </c>
      <c r="H18" s="314">
        <v>3</v>
      </c>
      <c r="I18" s="267">
        <f t="shared" si="0"/>
        <v>5.4908038532954695</v>
      </c>
      <c r="J18" s="41"/>
      <c r="K18" s="41"/>
      <c r="L18" s="41"/>
      <c r="M18" s="41"/>
      <c r="N18" s="41"/>
      <c r="O18" s="170"/>
    </row>
    <row r="19" spans="1:15" x14ac:dyDescent="0.25">
      <c r="A19" s="317">
        <v>50</v>
      </c>
      <c r="B19" s="268" t="s">
        <v>146</v>
      </c>
      <c r="C19" s="268" t="s">
        <v>469</v>
      </c>
      <c r="D19" s="316">
        <v>0.65</v>
      </c>
      <c r="E19" s="237" t="s">
        <v>32</v>
      </c>
      <c r="F19" s="315">
        <v>1</v>
      </c>
      <c r="G19" s="241"/>
      <c r="H19" s="241"/>
      <c r="I19" s="267">
        <f t="shared" si="0"/>
        <v>0.65</v>
      </c>
      <c r="J19" s="41"/>
      <c r="K19" s="41"/>
      <c r="L19" s="41"/>
      <c r="M19" s="41"/>
      <c r="N19" s="41"/>
      <c r="O19" s="170"/>
    </row>
    <row r="20" spans="1:15" x14ac:dyDescent="0.25">
      <c r="A20" s="317">
        <v>60</v>
      </c>
      <c r="B20" s="268" t="s">
        <v>386</v>
      </c>
      <c r="C20" s="268" t="s">
        <v>468</v>
      </c>
      <c r="D20" s="316">
        <v>0.5</v>
      </c>
      <c r="E20" s="237" t="s">
        <v>46</v>
      </c>
      <c r="F20" s="315">
        <f>(58.395-9.896)*2/10</f>
        <v>9.6997999999999998</v>
      </c>
      <c r="G20" s="241"/>
      <c r="H20" s="241"/>
      <c r="I20" s="267">
        <f t="shared" si="0"/>
        <v>4.8498999999999999</v>
      </c>
      <c r="J20" s="41"/>
      <c r="K20" s="41"/>
      <c r="L20" s="41"/>
      <c r="M20" s="41"/>
      <c r="N20" s="41"/>
      <c r="O20" s="170"/>
    </row>
    <row r="21" spans="1:15" x14ac:dyDescent="0.25">
      <c r="A21" s="177"/>
      <c r="B21" s="15"/>
      <c r="C21" s="15"/>
      <c r="D21" s="15"/>
      <c r="E21" s="15"/>
      <c r="F21" s="15"/>
      <c r="G21" s="15"/>
      <c r="H21" s="109" t="s">
        <v>18</v>
      </c>
      <c r="I21" s="295">
        <f>SUM(I15:I20)</f>
        <v>13.851760449987401</v>
      </c>
      <c r="J21" s="41"/>
      <c r="K21" s="41"/>
      <c r="L21" s="41"/>
      <c r="M21" s="41"/>
      <c r="N21" s="41"/>
      <c r="O21" s="170"/>
    </row>
    <row r="22" spans="1:15" x14ac:dyDescent="0.25">
      <c r="A22" s="177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70"/>
    </row>
    <row r="23" spans="1:15" x14ac:dyDescent="0.25">
      <c r="A23" s="177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70"/>
    </row>
    <row r="24" spans="1:15" ht="15.75" thickBot="1" x14ac:dyDescent="0.3">
      <c r="A24" s="169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7"/>
    </row>
    <row r="25" spans="1:15" x14ac:dyDescent="0.25">
      <c r="B25" s="41"/>
      <c r="C25" s="41"/>
      <c r="D25" s="41"/>
      <c r="E25" s="41"/>
      <c r="F25" s="41"/>
      <c r="G25" s="41"/>
      <c r="H25" s="41"/>
      <c r="I25" s="41"/>
    </row>
    <row r="26" spans="1:15" x14ac:dyDescent="0.25">
      <c r="B26" s="41"/>
      <c r="C26" s="41"/>
      <c r="D26" s="41"/>
      <c r="E26" s="41"/>
      <c r="F26" s="41"/>
      <c r="G26" s="41"/>
      <c r="H26" s="41"/>
      <c r="I26" s="41"/>
    </row>
    <row r="27" spans="1:15" x14ac:dyDescent="0.25">
      <c r="B27" s="41"/>
      <c r="C27" s="41"/>
      <c r="D27" s="41"/>
      <c r="E27" s="41"/>
      <c r="F27" s="41"/>
      <c r="G27" s="41"/>
      <c r="H27" s="41"/>
      <c r="I27" s="41"/>
    </row>
    <row r="28" spans="1:15" x14ac:dyDescent="0.25">
      <c r="B28" s="41"/>
      <c r="C28" s="41"/>
      <c r="D28" s="41"/>
      <c r="E28" s="41"/>
      <c r="F28" s="41"/>
      <c r="G28" s="41"/>
      <c r="H28" s="41"/>
      <c r="I28" s="41"/>
    </row>
    <row r="29" spans="1:15" x14ac:dyDescent="0.25">
      <c r="B29" s="41"/>
      <c r="C29" s="41"/>
      <c r="D29" s="41"/>
      <c r="E29" s="41"/>
      <c r="F29" s="41"/>
      <c r="G29" s="41"/>
      <c r="H29" s="41"/>
      <c r="I29" s="41"/>
    </row>
    <row r="30" spans="1:15" x14ac:dyDescent="0.25">
      <c r="B30" s="41"/>
      <c r="C30" s="41"/>
      <c r="D30" s="41"/>
      <c r="E30" s="41"/>
      <c r="F30" s="41"/>
      <c r="G30" s="41"/>
      <c r="H30" s="41"/>
      <c r="I30" s="41"/>
    </row>
  </sheetData>
  <hyperlinks>
    <hyperlink ref="B4" location="EN_A1000!A1" display="Driveshaft" xr:uid="{264BDC21-2F70-442B-B94A-24FE91BAB0E8}"/>
    <hyperlink ref="D3" location="'EN_1000_003 Drawing'!A1" display="FileLink1" xr:uid="{E2643090-5EC8-4828-BDC3-2A60C67FB06D}"/>
  </hyperlinks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2499-548F-45E8-802D-14E53AFBB317}">
  <sheetPr>
    <tabColor theme="6" tint="0.39997558519241921"/>
  </sheetPr>
  <dimension ref="A1"/>
  <sheetViews>
    <sheetView workbookViewId="0">
      <selection activeCell="I21" sqref="I21"/>
    </sheetView>
  </sheetViews>
  <sheetFormatPr baseColWidth="10" defaultRowHeight="15" x14ac:dyDescent="0.25"/>
  <cols>
    <col min="1" max="1" width="13.5703125" customWidth="1"/>
  </cols>
  <sheetData>
    <row r="1" spans="1:1" x14ac:dyDescent="0.25">
      <c r="A1" s="289" t="s">
        <v>476</v>
      </c>
    </row>
  </sheetData>
  <hyperlinks>
    <hyperlink ref="A1" location="EN_1000_003" display="EN_1000_003" xr:uid="{0059A778-37A3-42B6-B92C-98F89F6D26F7}"/>
  </hyperlinks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7258-07DC-4C81-B9BE-D61065B589E1}">
  <sheetPr>
    <tabColor theme="6" tint="0.39997558519241921"/>
  </sheetPr>
  <dimension ref="A1:O32"/>
  <sheetViews>
    <sheetView zoomScale="85" zoomScaleNormal="85" workbookViewId="0">
      <selection activeCell="I21" sqref="I21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210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8"/>
    </row>
    <row r="2" spans="1:15" x14ac:dyDescent="0.25">
      <c r="A2" s="261" t="s">
        <v>0</v>
      </c>
      <c r="B2" s="262" t="s">
        <v>44</v>
      </c>
      <c r="C2" s="41"/>
      <c r="D2" s="41"/>
      <c r="E2" s="41"/>
      <c r="F2" s="41"/>
      <c r="G2" s="41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EN_1000_004_m+EN_1000_004_p</f>
        <v>17.337133082722115</v>
      </c>
      <c r="O2" s="170"/>
    </row>
    <row r="3" spans="1:15" x14ac:dyDescent="0.25">
      <c r="A3" s="266" t="s">
        <v>3</v>
      </c>
      <c r="B3" s="262" t="s">
        <v>372</v>
      </c>
      <c r="C3" s="41"/>
      <c r="D3" s="310" t="s">
        <v>6</v>
      </c>
      <c r="E3" s="41" t="s">
        <v>478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170"/>
    </row>
    <row r="4" spans="1:15" x14ac:dyDescent="0.25">
      <c r="A4" s="245" t="s">
        <v>5</v>
      </c>
      <c r="B4" s="310" t="s">
        <v>452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170"/>
    </row>
    <row r="5" spans="1:15" x14ac:dyDescent="0.25">
      <c r="A5" s="245" t="s">
        <v>15</v>
      </c>
      <c r="B5" s="311" t="s">
        <v>480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17.337133082722115</v>
      </c>
      <c r="O5" s="170"/>
    </row>
    <row r="6" spans="1:15" x14ac:dyDescent="0.25">
      <c r="A6" s="245" t="s">
        <v>7</v>
      </c>
      <c r="B6" s="264" t="s">
        <v>479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170"/>
    </row>
    <row r="7" spans="1:15" x14ac:dyDescent="0.25">
      <c r="A7" s="263" t="s">
        <v>10</v>
      </c>
      <c r="B7" s="262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70"/>
    </row>
    <row r="8" spans="1:15" x14ac:dyDescent="0.25">
      <c r="A8" s="261" t="s">
        <v>13</v>
      </c>
      <c r="B8" s="180" t="s">
        <v>312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70"/>
    </row>
    <row r="9" spans="1:15" x14ac:dyDescent="0.25">
      <c r="A9" s="260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70"/>
    </row>
    <row r="10" spans="1:15" x14ac:dyDescent="0.25">
      <c r="A10" s="259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216" t="s">
        <v>23</v>
      </c>
      <c r="G10" s="216" t="s">
        <v>24</v>
      </c>
      <c r="H10" s="216" t="s">
        <v>25</v>
      </c>
      <c r="I10" s="216" t="s">
        <v>26</v>
      </c>
      <c r="J10" s="216" t="s">
        <v>27</v>
      </c>
      <c r="K10" s="216" t="s">
        <v>28</v>
      </c>
      <c r="L10" s="216" t="s">
        <v>29</v>
      </c>
      <c r="M10" s="216" t="s">
        <v>17</v>
      </c>
      <c r="N10" s="216" t="s">
        <v>18</v>
      </c>
      <c r="O10" s="170"/>
    </row>
    <row r="11" spans="1:15" x14ac:dyDescent="0.25">
      <c r="A11" s="258">
        <v>10</v>
      </c>
      <c r="B11" s="198" t="s">
        <v>462</v>
      </c>
      <c r="C11" s="219" t="s">
        <v>475</v>
      </c>
      <c r="D11" s="220">
        <v>2.25</v>
      </c>
      <c r="E11" s="229">
        <f>J11*K11*L11</f>
        <v>1.3002495839416888</v>
      </c>
      <c r="F11" s="219" t="s">
        <v>144</v>
      </c>
      <c r="G11" s="219"/>
      <c r="H11" s="227"/>
      <c r="I11" s="228" t="s">
        <v>474</v>
      </c>
      <c r="J11" s="228">
        <f>PI()*22.1*22.1/4/1000000</f>
        <v>3.8359631698494783E-4</v>
      </c>
      <c r="K11" s="224">
        <v>0.43180000000000002</v>
      </c>
      <c r="L11" s="223">
        <v>7850</v>
      </c>
      <c r="M11" s="223">
        <v>1</v>
      </c>
      <c r="N11" s="220">
        <f>D11*J11*K11*L11*M11</f>
        <v>2.9255615638687997</v>
      </c>
      <c r="O11" s="199"/>
    </row>
    <row r="12" spans="1:15" x14ac:dyDescent="0.25">
      <c r="A12" s="173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22" t="s">
        <v>18</v>
      </c>
      <c r="N12" s="106">
        <f>SUM(N11:N11)</f>
        <v>2.9255615638687997</v>
      </c>
      <c r="O12" s="170"/>
    </row>
    <row r="13" spans="1:15" x14ac:dyDescent="0.25">
      <c r="A13" s="177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70"/>
    </row>
    <row r="14" spans="1:15" x14ac:dyDescent="0.25">
      <c r="A14" s="245" t="s">
        <v>14</v>
      </c>
      <c r="B14" s="216" t="s">
        <v>31</v>
      </c>
      <c r="C14" s="216" t="s">
        <v>20</v>
      </c>
      <c r="D14" s="216" t="s">
        <v>21</v>
      </c>
      <c r="E14" s="216" t="s">
        <v>32</v>
      </c>
      <c r="F14" s="216" t="s">
        <v>17</v>
      </c>
      <c r="G14" s="216" t="s">
        <v>33</v>
      </c>
      <c r="H14" s="216" t="s">
        <v>34</v>
      </c>
      <c r="I14" s="216" t="s">
        <v>18</v>
      </c>
      <c r="J14" s="15"/>
      <c r="K14" s="15"/>
      <c r="L14" s="15"/>
      <c r="M14" s="15"/>
      <c r="N14" s="15"/>
      <c r="O14" s="170"/>
    </row>
    <row r="15" spans="1:15" ht="30" x14ac:dyDescent="0.25">
      <c r="A15" s="317">
        <v>10</v>
      </c>
      <c r="B15" s="268" t="s">
        <v>45</v>
      </c>
      <c r="C15" s="268" t="s">
        <v>473</v>
      </c>
      <c r="D15" s="316">
        <v>1.3</v>
      </c>
      <c r="E15" s="237" t="s">
        <v>32</v>
      </c>
      <c r="F15" s="315">
        <v>1</v>
      </c>
      <c r="G15" s="241"/>
      <c r="H15" s="241"/>
      <c r="I15" s="267">
        <f t="shared" ref="I15:I20" si="0">IF(H15="",D15*F15,D15*F15*H15)</f>
        <v>1.3</v>
      </c>
      <c r="J15" s="41"/>
      <c r="K15" s="41"/>
      <c r="L15" s="41"/>
      <c r="M15" s="41"/>
      <c r="N15" s="41"/>
      <c r="O15" s="170"/>
    </row>
    <row r="16" spans="1:15" x14ac:dyDescent="0.25">
      <c r="A16" s="317">
        <v>20</v>
      </c>
      <c r="B16" s="268" t="s">
        <v>145</v>
      </c>
      <c r="C16" s="268" t="s">
        <v>472</v>
      </c>
      <c r="D16" s="316">
        <v>0.04</v>
      </c>
      <c r="E16" s="237" t="s">
        <v>147</v>
      </c>
      <c r="F16" s="319">
        <f>J11*0.0155015*2*1000000</f>
        <v>11.892636615484337</v>
      </c>
      <c r="G16" s="318" t="s">
        <v>470</v>
      </c>
      <c r="H16" s="314">
        <v>3</v>
      </c>
      <c r="I16" s="267">
        <f t="shared" si="0"/>
        <v>1.4271163938581204</v>
      </c>
      <c r="J16" s="41"/>
      <c r="K16" s="41"/>
      <c r="L16" s="41"/>
      <c r="M16" s="41"/>
      <c r="N16" s="41"/>
      <c r="O16" s="170"/>
    </row>
    <row r="17" spans="1:15" x14ac:dyDescent="0.25">
      <c r="A17" s="317">
        <v>30</v>
      </c>
      <c r="B17" s="268" t="s">
        <v>146</v>
      </c>
      <c r="C17" s="268" t="s">
        <v>469</v>
      </c>
      <c r="D17" s="316">
        <v>0.65</v>
      </c>
      <c r="E17" s="237" t="s">
        <v>32</v>
      </c>
      <c r="F17" s="315">
        <v>1</v>
      </c>
      <c r="G17" s="241"/>
      <c r="H17" s="241"/>
      <c r="I17" s="267">
        <f t="shared" si="0"/>
        <v>0.65</v>
      </c>
      <c r="J17" s="41"/>
      <c r="K17" s="41"/>
      <c r="L17" s="41"/>
      <c r="M17" s="41"/>
      <c r="N17" s="41"/>
      <c r="O17" s="170"/>
    </row>
    <row r="18" spans="1:15" x14ac:dyDescent="0.25">
      <c r="A18" s="317">
        <v>40</v>
      </c>
      <c r="B18" s="268" t="s">
        <v>145</v>
      </c>
      <c r="C18" s="268" t="s">
        <v>471</v>
      </c>
      <c r="D18" s="316">
        <v>0.04</v>
      </c>
      <c r="E18" s="237" t="s">
        <v>147</v>
      </c>
      <c r="F18" s="319">
        <f>(K11-2*0.0155015)*PI()*0.00635*0.00635*1000000</f>
        <v>50.771709374959947</v>
      </c>
      <c r="G18" s="318" t="s">
        <v>470</v>
      </c>
      <c r="H18" s="314">
        <v>3</v>
      </c>
      <c r="I18" s="267">
        <f t="shared" si="0"/>
        <v>6.0926051249951936</v>
      </c>
      <c r="J18" s="41"/>
      <c r="K18" s="41"/>
      <c r="L18" s="41"/>
      <c r="M18" s="41"/>
      <c r="N18" s="41"/>
      <c r="O18" s="170"/>
    </row>
    <row r="19" spans="1:15" x14ac:dyDescent="0.25">
      <c r="A19" s="317">
        <v>50</v>
      </c>
      <c r="B19" s="268" t="s">
        <v>146</v>
      </c>
      <c r="C19" s="268" t="s">
        <v>469</v>
      </c>
      <c r="D19" s="316">
        <v>0.65</v>
      </c>
      <c r="E19" s="237" t="s">
        <v>32</v>
      </c>
      <c r="F19" s="315">
        <v>1</v>
      </c>
      <c r="G19" s="241"/>
      <c r="H19" s="241"/>
      <c r="I19" s="267">
        <f t="shared" si="0"/>
        <v>0.65</v>
      </c>
      <c r="J19" s="41"/>
      <c r="K19" s="41"/>
      <c r="L19" s="41"/>
      <c r="M19" s="41"/>
      <c r="N19" s="41"/>
      <c r="O19" s="170"/>
    </row>
    <row r="20" spans="1:15" x14ac:dyDescent="0.25">
      <c r="A20" s="317">
        <v>60</v>
      </c>
      <c r="B20" s="268" t="s">
        <v>386</v>
      </c>
      <c r="C20" s="268" t="s">
        <v>468</v>
      </c>
      <c r="D20" s="316">
        <v>0.5</v>
      </c>
      <c r="E20" s="237" t="s">
        <v>46</v>
      </c>
      <c r="F20" s="315">
        <f>(58.42-15.5015)*2/10</f>
        <v>8.5837000000000003</v>
      </c>
      <c r="G20" s="241"/>
      <c r="H20" s="241"/>
      <c r="I20" s="267">
        <f t="shared" si="0"/>
        <v>4.2918500000000002</v>
      </c>
      <c r="J20" s="41"/>
      <c r="K20" s="41"/>
      <c r="L20" s="41"/>
      <c r="M20" s="41"/>
      <c r="N20" s="41"/>
      <c r="O20" s="170"/>
    </row>
    <row r="21" spans="1:15" x14ac:dyDescent="0.25">
      <c r="A21" s="177"/>
      <c r="B21" s="15"/>
      <c r="C21" s="15"/>
      <c r="D21" s="15"/>
      <c r="E21" s="15"/>
      <c r="F21" s="15"/>
      <c r="G21" s="15"/>
      <c r="H21" s="109" t="s">
        <v>18</v>
      </c>
      <c r="I21" s="295">
        <f>SUM(I15:I20)</f>
        <v>14.411571518853314</v>
      </c>
      <c r="J21" s="41"/>
      <c r="K21" s="41"/>
      <c r="L21" s="41"/>
      <c r="M21" s="41"/>
      <c r="N21" s="41"/>
      <c r="O21" s="170"/>
    </row>
    <row r="22" spans="1:15" x14ac:dyDescent="0.25">
      <c r="A22" s="177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70"/>
    </row>
    <row r="23" spans="1:15" x14ac:dyDescent="0.25">
      <c r="A23" s="177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70"/>
    </row>
    <row r="24" spans="1:15" x14ac:dyDescent="0.25">
      <c r="A24" s="177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70"/>
    </row>
    <row r="25" spans="1:15" x14ac:dyDescent="0.25">
      <c r="A25" s="177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70"/>
    </row>
    <row r="26" spans="1:15" ht="15.75" thickBot="1" x14ac:dyDescent="0.3">
      <c r="A26" s="169"/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7"/>
    </row>
    <row r="27" spans="1:15" x14ac:dyDescent="0.25">
      <c r="B27" s="41"/>
      <c r="C27" s="41"/>
      <c r="D27" s="41"/>
      <c r="E27" s="41"/>
      <c r="F27" s="41"/>
      <c r="G27" s="41"/>
      <c r="H27" s="41"/>
      <c r="I27" s="41"/>
    </row>
    <row r="28" spans="1:15" x14ac:dyDescent="0.25">
      <c r="B28" s="41"/>
      <c r="C28" s="41"/>
      <c r="D28" s="41"/>
      <c r="E28" s="41"/>
      <c r="F28" s="41"/>
      <c r="G28" s="41"/>
      <c r="H28" s="41"/>
      <c r="I28" s="41"/>
    </row>
    <row r="29" spans="1:15" x14ac:dyDescent="0.25">
      <c r="B29" s="41"/>
      <c r="C29" s="41"/>
      <c r="D29" s="41"/>
      <c r="E29" s="41"/>
      <c r="F29" s="41"/>
      <c r="G29" s="41"/>
      <c r="H29" s="41"/>
      <c r="I29" s="41"/>
    </row>
    <row r="30" spans="1:15" x14ac:dyDescent="0.25">
      <c r="A30" s="41"/>
      <c r="B30" s="41"/>
      <c r="C30" s="41"/>
      <c r="D30" s="41"/>
      <c r="E30" s="41"/>
      <c r="F30" s="41"/>
      <c r="G30" s="41"/>
      <c r="H30" s="41"/>
      <c r="I30" s="41"/>
    </row>
    <row r="31" spans="1:15" x14ac:dyDescent="0.25">
      <c r="A31" s="41"/>
      <c r="B31" s="41"/>
      <c r="C31" s="41"/>
      <c r="D31" s="41"/>
      <c r="E31" s="41"/>
      <c r="F31" s="41"/>
      <c r="G31" s="41"/>
      <c r="H31" s="41"/>
      <c r="I31" s="41"/>
    </row>
    <row r="32" spans="1:15" x14ac:dyDescent="0.25">
      <c r="A32" s="41"/>
      <c r="B32" s="41"/>
      <c r="C32" s="41"/>
      <c r="D32" s="41"/>
      <c r="E32" s="41"/>
      <c r="F32" s="41"/>
      <c r="G32" s="41"/>
      <c r="H32" s="41"/>
      <c r="I32" s="41"/>
    </row>
  </sheetData>
  <hyperlinks>
    <hyperlink ref="B4" location="EN_A1000!A1" display="Driveshaft" xr:uid="{58957493-CEF2-4EEA-B403-B9FA8EE073B4}"/>
    <hyperlink ref="D3" location="'EN_1000_004 Drawing'!A1" display="FileLink1" xr:uid="{D079C1BA-582D-4B7A-BF47-41C78B6C2493}"/>
  </hyperlinks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2FF9-3681-473D-B1F3-C62F7D11AB2D}">
  <sheetPr>
    <tabColor theme="6" tint="0.39997558519241921"/>
  </sheetPr>
  <dimension ref="A1"/>
  <sheetViews>
    <sheetView workbookViewId="0">
      <selection activeCell="I21" sqref="I21"/>
    </sheetView>
  </sheetViews>
  <sheetFormatPr baseColWidth="10" defaultRowHeight="15" x14ac:dyDescent="0.25"/>
  <sheetData>
    <row r="1" spans="1:1" x14ac:dyDescent="0.25">
      <c r="A1" s="70" t="s">
        <v>479</v>
      </c>
    </row>
  </sheetData>
  <hyperlinks>
    <hyperlink ref="A1" location="EN_1000_004" display="EN_1000_004" xr:uid="{C9FAD0C7-A44C-434E-9009-46372571A36E}"/>
  </hyperlinks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CED9-84C3-4042-ABE8-9D74C7407C6E}">
  <sheetPr>
    <tabColor theme="6" tint="-0.249977111117893"/>
  </sheetPr>
  <dimension ref="A1:O61"/>
  <sheetViews>
    <sheetView workbookViewId="0">
      <selection activeCell="I21" sqref="I21"/>
    </sheetView>
  </sheetViews>
  <sheetFormatPr baseColWidth="10" defaultRowHeight="15" x14ac:dyDescent="0.25"/>
  <cols>
    <col min="2" max="2" width="28.42578125" bestFit="1" customWidth="1"/>
    <col min="3" max="3" width="43.5703125" bestFit="1" customWidth="1"/>
  </cols>
  <sheetData>
    <row r="1" spans="1:15" x14ac:dyDescent="0.25">
      <c r="A1" s="210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8"/>
    </row>
    <row r="2" spans="1:15" x14ac:dyDescent="0.25">
      <c r="A2" s="176" t="s">
        <v>0</v>
      </c>
      <c r="B2" s="180" t="s">
        <v>44</v>
      </c>
      <c r="C2" s="41"/>
      <c r="D2" s="41"/>
      <c r="E2" s="41" t="s">
        <v>121</v>
      </c>
      <c r="F2" s="41"/>
      <c r="G2" s="41"/>
      <c r="H2" s="41"/>
      <c r="I2" s="41"/>
      <c r="J2" s="175" t="s">
        <v>1</v>
      </c>
      <c r="K2" s="65">
        <v>81</v>
      </c>
      <c r="L2" s="41"/>
      <c r="M2" s="175" t="s">
        <v>2</v>
      </c>
      <c r="N2" s="76">
        <f>EN_A1100_pa+EN_A1100_m+EN_A1100_p+EN_A1100_f+EN_A1100_t</f>
        <v>133.38135203617514</v>
      </c>
      <c r="O2" s="170"/>
    </row>
    <row r="3" spans="1:15" x14ac:dyDescent="0.25">
      <c r="A3" s="176" t="s">
        <v>3</v>
      </c>
      <c r="B3" s="180" t="s">
        <v>372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175" t="s">
        <v>4</v>
      </c>
      <c r="N3" s="64">
        <v>1</v>
      </c>
      <c r="O3" s="170"/>
    </row>
    <row r="4" spans="1:15" x14ac:dyDescent="0.25">
      <c r="A4" s="176" t="s">
        <v>5</v>
      </c>
      <c r="B4" s="180" t="s">
        <v>510</v>
      </c>
      <c r="C4" s="41"/>
      <c r="D4" s="41"/>
      <c r="E4" s="41"/>
      <c r="F4" s="41"/>
      <c r="G4" s="41"/>
      <c r="H4" s="41"/>
      <c r="I4" s="41"/>
      <c r="J4" s="206" t="s">
        <v>6</v>
      </c>
      <c r="K4" s="41"/>
      <c r="L4" s="41"/>
      <c r="M4" s="41"/>
      <c r="N4" s="41"/>
      <c r="O4" s="170"/>
    </row>
    <row r="5" spans="1:15" x14ac:dyDescent="0.25">
      <c r="A5" s="176" t="s">
        <v>7</v>
      </c>
      <c r="B5" s="207" t="s">
        <v>509</v>
      </c>
      <c r="C5" s="41"/>
      <c r="D5" s="41"/>
      <c r="E5" s="41"/>
      <c r="F5" s="41"/>
      <c r="G5" s="41"/>
      <c r="H5" s="41"/>
      <c r="I5" s="41"/>
      <c r="J5" s="206" t="s">
        <v>8</v>
      </c>
      <c r="K5" s="41"/>
      <c r="L5" s="41"/>
      <c r="M5" s="175" t="s">
        <v>9</v>
      </c>
      <c r="N5" s="58">
        <f>N2*N3</f>
        <v>133.38135203617514</v>
      </c>
      <c r="O5" s="170"/>
    </row>
    <row r="6" spans="1:15" x14ac:dyDescent="0.25">
      <c r="A6" s="176" t="s">
        <v>10</v>
      </c>
      <c r="B6" s="180" t="s">
        <v>11</v>
      </c>
      <c r="C6" s="41"/>
      <c r="D6" s="41"/>
      <c r="E6" s="41"/>
      <c r="F6" s="41"/>
      <c r="G6" s="41"/>
      <c r="H6" s="41"/>
      <c r="I6" s="41"/>
      <c r="J6" s="206" t="s">
        <v>12</v>
      </c>
      <c r="K6" s="41"/>
      <c r="L6" s="41"/>
      <c r="M6" s="41"/>
      <c r="N6" s="41"/>
      <c r="O6" s="170"/>
    </row>
    <row r="7" spans="1:15" x14ac:dyDescent="0.25">
      <c r="A7" s="176" t="s">
        <v>13</v>
      </c>
      <c r="B7" s="18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70"/>
    </row>
    <row r="8" spans="1:15" x14ac:dyDescent="0.25">
      <c r="A8" s="177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70"/>
    </row>
    <row r="9" spans="1:15" x14ac:dyDescent="0.25">
      <c r="A9" s="292" t="s">
        <v>14</v>
      </c>
      <c r="B9" s="291" t="s">
        <v>15</v>
      </c>
      <c r="C9" s="290" t="s">
        <v>16</v>
      </c>
      <c r="D9" s="175" t="s">
        <v>17</v>
      </c>
      <c r="E9" s="175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170"/>
    </row>
    <row r="10" spans="1:15" x14ac:dyDescent="0.25">
      <c r="A10" s="288">
        <v>10</v>
      </c>
      <c r="B10" s="287" t="s">
        <v>508</v>
      </c>
      <c r="C10" s="286">
        <f>EN_1100_001!N$2</f>
        <v>24.754258243942196</v>
      </c>
      <c r="D10" s="184">
        <f>EN_1100_001_q</f>
        <v>1</v>
      </c>
      <c r="E10" s="285">
        <f t="shared" ref="E10:E15" si="0">C10*D10</f>
        <v>24.754258243942196</v>
      </c>
      <c r="F10" s="180"/>
      <c r="G10" s="180"/>
      <c r="H10" s="180"/>
      <c r="I10" s="180"/>
      <c r="J10" s="180"/>
      <c r="K10" s="180"/>
      <c r="L10" s="180"/>
      <c r="M10" s="180"/>
      <c r="N10" s="180"/>
      <c r="O10" s="170"/>
    </row>
    <row r="11" spans="1:15" x14ac:dyDescent="0.25">
      <c r="A11" s="288">
        <v>20</v>
      </c>
      <c r="B11" s="289" t="s">
        <v>507</v>
      </c>
      <c r="C11" s="286">
        <f>EN_1100_002!N$2</f>
        <v>41.802269960952131</v>
      </c>
      <c r="D11" s="184">
        <f>EN_1100_002_q</f>
        <v>1</v>
      </c>
      <c r="E11" s="285">
        <f t="shared" si="0"/>
        <v>41.802269960952131</v>
      </c>
      <c r="F11" s="180"/>
      <c r="G11" s="180"/>
      <c r="H11" s="180"/>
      <c r="I11" s="180"/>
      <c r="J11" s="180"/>
      <c r="K11" s="180"/>
      <c r="L11" s="180"/>
      <c r="M11" s="180"/>
      <c r="N11" s="180"/>
      <c r="O11" s="170"/>
    </row>
    <row r="12" spans="1:15" x14ac:dyDescent="0.25">
      <c r="A12" s="288">
        <v>30</v>
      </c>
      <c r="B12" s="287" t="s">
        <v>506</v>
      </c>
      <c r="C12" s="286">
        <f>EN_1100_003!N$2</f>
        <v>29.160865459581132</v>
      </c>
      <c r="D12" s="184">
        <f>EN_1100_003_q</f>
        <v>1</v>
      </c>
      <c r="E12" s="285">
        <f t="shared" si="0"/>
        <v>29.160865459581132</v>
      </c>
      <c r="F12" s="180"/>
      <c r="G12" s="180"/>
      <c r="H12" s="180"/>
      <c r="I12" s="180"/>
      <c r="J12" s="180"/>
      <c r="K12" s="180"/>
      <c r="L12" s="180"/>
      <c r="M12" s="180"/>
      <c r="N12" s="180"/>
      <c r="O12" s="199"/>
    </row>
    <row r="13" spans="1:15" x14ac:dyDescent="0.25">
      <c r="A13" s="288">
        <v>40</v>
      </c>
      <c r="B13" s="287" t="s">
        <v>505</v>
      </c>
      <c r="C13" s="286">
        <f>EN_1100_004!N$2</f>
        <v>9.0978820921659498</v>
      </c>
      <c r="D13" s="184">
        <f>EN_1100_004_q</f>
        <v>1</v>
      </c>
      <c r="E13" s="285">
        <f t="shared" si="0"/>
        <v>9.0978820921659498</v>
      </c>
      <c r="F13" s="180"/>
      <c r="G13" s="180"/>
      <c r="H13" s="180"/>
      <c r="I13" s="180"/>
      <c r="J13" s="180"/>
      <c r="K13" s="180"/>
      <c r="L13" s="180"/>
      <c r="M13" s="180"/>
      <c r="N13" s="180"/>
      <c r="O13" s="170"/>
    </row>
    <row r="14" spans="1:15" x14ac:dyDescent="0.25">
      <c r="A14" s="188">
        <v>50</v>
      </c>
      <c r="B14" s="287" t="s">
        <v>504</v>
      </c>
      <c r="C14" s="286">
        <f>EN_1100_005!N$2</f>
        <v>1.7144014375000001</v>
      </c>
      <c r="D14" s="184">
        <f>EN_1100_005_q</f>
        <v>1</v>
      </c>
      <c r="E14" s="285">
        <f t="shared" si="0"/>
        <v>1.7144014375000001</v>
      </c>
      <c r="F14" s="180"/>
      <c r="G14" s="180"/>
      <c r="H14" s="180"/>
      <c r="I14" s="180"/>
      <c r="J14" s="180"/>
      <c r="K14" s="180"/>
      <c r="L14" s="180"/>
      <c r="M14" s="180"/>
      <c r="N14" s="180"/>
      <c r="O14" s="170"/>
    </row>
    <row r="15" spans="1:15" x14ac:dyDescent="0.25">
      <c r="A15" s="188">
        <v>60</v>
      </c>
      <c r="B15" s="287" t="s">
        <v>503</v>
      </c>
      <c r="C15" s="286">
        <f>EN_1100_006!N$2</f>
        <v>1.7139456024999999</v>
      </c>
      <c r="D15" s="184">
        <f>EN_1100_006_q</f>
        <v>1</v>
      </c>
      <c r="E15" s="285">
        <f t="shared" si="0"/>
        <v>1.7139456024999999</v>
      </c>
      <c r="F15" s="180"/>
      <c r="G15" s="180"/>
      <c r="H15" s="180"/>
      <c r="I15" s="180"/>
      <c r="J15" s="180"/>
      <c r="K15" s="180"/>
      <c r="L15" s="180"/>
      <c r="M15" s="180"/>
      <c r="N15" s="180"/>
      <c r="O15" s="170"/>
    </row>
    <row r="16" spans="1:15" x14ac:dyDescent="0.25">
      <c r="A16" s="177"/>
      <c r="B16" s="41"/>
      <c r="C16" s="41"/>
      <c r="D16" s="172" t="s">
        <v>18</v>
      </c>
      <c r="E16" s="171">
        <f>SUM(E10:E15)</f>
        <v>108.24362279664142</v>
      </c>
      <c r="F16" s="42"/>
      <c r="G16" s="42"/>
      <c r="H16" s="42"/>
      <c r="I16" s="42"/>
      <c r="J16" s="42"/>
      <c r="K16" s="42"/>
      <c r="L16" s="42"/>
      <c r="M16" s="42"/>
      <c r="N16" s="42"/>
      <c r="O16" s="170"/>
    </row>
    <row r="17" spans="1:15" x14ac:dyDescent="0.25">
      <c r="A17" s="177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199"/>
    </row>
    <row r="18" spans="1:15" x14ac:dyDescent="0.25">
      <c r="A18" s="176" t="s">
        <v>14</v>
      </c>
      <c r="B18" s="175" t="s">
        <v>19</v>
      </c>
      <c r="C18" s="175" t="s">
        <v>20</v>
      </c>
      <c r="D18" s="175" t="s">
        <v>21</v>
      </c>
      <c r="E18" s="175" t="s">
        <v>22</v>
      </c>
      <c r="F18" s="175" t="s">
        <v>23</v>
      </c>
      <c r="G18" s="175" t="s">
        <v>24</v>
      </c>
      <c r="H18" s="175" t="s">
        <v>25</v>
      </c>
      <c r="I18" s="175" t="s">
        <v>26</v>
      </c>
      <c r="J18" s="175" t="s">
        <v>27</v>
      </c>
      <c r="K18" s="175" t="s">
        <v>28</v>
      </c>
      <c r="L18" s="175" t="s">
        <v>29</v>
      </c>
      <c r="M18" s="175" t="s">
        <v>17</v>
      </c>
      <c r="N18" s="175" t="s">
        <v>18</v>
      </c>
      <c r="O18" s="199"/>
    </row>
    <row r="19" spans="1:15" x14ac:dyDescent="0.25">
      <c r="A19" s="188">
        <v>10</v>
      </c>
      <c r="B19" s="185" t="s">
        <v>502</v>
      </c>
      <c r="C19" s="185"/>
      <c r="D19" s="279">
        <v>0.05</v>
      </c>
      <c r="E19" s="185">
        <v>20</v>
      </c>
      <c r="F19" s="185" t="s">
        <v>30</v>
      </c>
      <c r="G19" s="185"/>
      <c r="H19" s="195"/>
      <c r="I19" s="200"/>
      <c r="J19" s="196"/>
      <c r="K19" s="195"/>
      <c r="L19" s="195"/>
      <c r="M19" s="196">
        <v>1</v>
      </c>
      <c r="N19" s="284">
        <f>IF(J19="",D19*M19*E19,D19*J19*K19*L19*M19)</f>
        <v>1</v>
      </c>
      <c r="O19" s="189"/>
    </row>
    <row r="20" spans="1:15" x14ac:dyDescent="0.25">
      <c r="A20" s="188">
        <v>20</v>
      </c>
      <c r="B20" s="185" t="s">
        <v>356</v>
      </c>
      <c r="C20" s="185" t="s">
        <v>501</v>
      </c>
      <c r="D20" s="279">
        <v>10</v>
      </c>
      <c r="E20" s="185">
        <f>0.001*2+0.116</f>
        <v>0.11800000000000001</v>
      </c>
      <c r="F20" s="185" t="s">
        <v>155</v>
      </c>
      <c r="G20" s="185"/>
      <c r="H20" s="195"/>
      <c r="I20" s="200"/>
      <c r="J20" s="196"/>
      <c r="K20" s="195"/>
      <c r="L20" s="195"/>
      <c r="M20" s="196">
        <v>1</v>
      </c>
      <c r="N20" s="284">
        <f>IF(J20="",D20*M20*E20,D20*J20*K20*L20*M20)</f>
        <v>1.1800000000000002</v>
      </c>
      <c r="O20" s="170"/>
    </row>
    <row r="21" spans="1:15" x14ac:dyDescent="0.25">
      <c r="A21" s="173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75" t="s">
        <v>18</v>
      </c>
      <c r="N21" s="178">
        <f>SUM(N19:N20)</f>
        <v>2.1800000000000002</v>
      </c>
      <c r="O21" s="170"/>
    </row>
    <row r="22" spans="1:15" x14ac:dyDescent="0.25">
      <c r="A22" s="177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70"/>
    </row>
    <row r="23" spans="1:15" x14ac:dyDescent="0.25">
      <c r="A23" s="176" t="s">
        <v>14</v>
      </c>
      <c r="B23" s="175" t="s">
        <v>31</v>
      </c>
      <c r="C23" s="175" t="s">
        <v>20</v>
      </c>
      <c r="D23" s="175" t="s">
        <v>21</v>
      </c>
      <c r="E23" s="175" t="s">
        <v>32</v>
      </c>
      <c r="F23" s="175" t="s">
        <v>17</v>
      </c>
      <c r="G23" s="175" t="s">
        <v>33</v>
      </c>
      <c r="H23" s="175" t="s">
        <v>34</v>
      </c>
      <c r="I23" s="175" t="s">
        <v>18</v>
      </c>
      <c r="J23" s="15"/>
      <c r="K23" s="15"/>
      <c r="L23" s="15"/>
      <c r="M23" s="15"/>
      <c r="N23" s="15"/>
      <c r="O23" s="170"/>
    </row>
    <row r="24" spans="1:15" x14ac:dyDescent="0.25">
      <c r="A24" s="317">
        <v>10</v>
      </c>
      <c r="B24" s="268" t="s">
        <v>138</v>
      </c>
      <c r="C24" s="268" t="s">
        <v>500</v>
      </c>
      <c r="D24" s="316">
        <v>0.15</v>
      </c>
      <c r="E24" s="237" t="s">
        <v>46</v>
      </c>
      <c r="F24" s="329">
        <v>2</v>
      </c>
      <c r="G24" s="235"/>
      <c r="H24" s="235"/>
      <c r="I24" s="322">
        <f t="shared" ref="I24:I41" si="1">IF(H24="",D24*F24,D24*F24*H24)</f>
        <v>0.3</v>
      </c>
      <c r="J24" s="180"/>
      <c r="K24" s="180"/>
      <c r="L24" s="180"/>
      <c r="M24" s="41"/>
      <c r="N24" s="41"/>
      <c r="O24" s="170"/>
    </row>
    <row r="25" spans="1:15" x14ac:dyDescent="0.25">
      <c r="A25" s="317">
        <v>20</v>
      </c>
      <c r="B25" s="268" t="s">
        <v>350</v>
      </c>
      <c r="C25" s="185" t="s">
        <v>499</v>
      </c>
      <c r="D25" s="316">
        <v>5.25</v>
      </c>
      <c r="E25" s="237" t="s">
        <v>155</v>
      </c>
      <c r="F25" s="185">
        <f>0.001*2+0.116</f>
        <v>0.11800000000000001</v>
      </c>
      <c r="G25" s="235"/>
      <c r="H25" s="235"/>
      <c r="I25" s="322">
        <f t="shared" si="1"/>
        <v>0.61950000000000005</v>
      </c>
      <c r="J25" s="180"/>
      <c r="K25" s="180"/>
      <c r="L25" s="180"/>
      <c r="M25" s="41"/>
      <c r="N25" s="41"/>
      <c r="O25" s="170"/>
    </row>
    <row r="26" spans="1:15" ht="30" x14ac:dyDescent="0.25">
      <c r="A26" s="317">
        <v>30</v>
      </c>
      <c r="B26" s="268" t="s">
        <v>344</v>
      </c>
      <c r="C26" s="268" t="s">
        <v>498</v>
      </c>
      <c r="D26" s="316">
        <v>0.19</v>
      </c>
      <c r="E26" s="237" t="s">
        <v>32</v>
      </c>
      <c r="F26" s="329">
        <v>1</v>
      </c>
      <c r="G26" s="240"/>
      <c r="H26" s="240"/>
      <c r="I26" s="322">
        <f t="shared" si="1"/>
        <v>0.19</v>
      </c>
      <c r="J26" s="180"/>
      <c r="K26" s="180"/>
      <c r="L26" s="180"/>
      <c r="M26" s="41"/>
      <c r="N26" s="41"/>
      <c r="O26" s="170"/>
    </row>
    <row r="27" spans="1:15" ht="30" x14ac:dyDescent="0.25">
      <c r="A27" s="317">
        <v>40</v>
      </c>
      <c r="B27" s="268" t="s">
        <v>344</v>
      </c>
      <c r="C27" s="268" t="s">
        <v>497</v>
      </c>
      <c r="D27" s="316">
        <v>0.19</v>
      </c>
      <c r="E27" s="237" t="s">
        <v>32</v>
      </c>
      <c r="F27" s="329">
        <v>6</v>
      </c>
      <c r="G27" s="240"/>
      <c r="H27" s="240"/>
      <c r="I27" s="322">
        <f t="shared" si="1"/>
        <v>1.1400000000000001</v>
      </c>
      <c r="J27" s="180"/>
      <c r="K27" s="180"/>
      <c r="L27" s="180"/>
      <c r="M27" s="41"/>
      <c r="N27" s="41"/>
      <c r="O27" s="170"/>
    </row>
    <row r="28" spans="1:15" x14ac:dyDescent="0.25">
      <c r="A28" s="317">
        <v>50</v>
      </c>
      <c r="B28" s="268" t="s">
        <v>154</v>
      </c>
      <c r="C28" s="268" t="s">
        <v>496</v>
      </c>
      <c r="D28" s="316">
        <v>0.13</v>
      </c>
      <c r="E28" s="237" t="s">
        <v>32</v>
      </c>
      <c r="F28" s="329">
        <v>1</v>
      </c>
      <c r="G28" s="240"/>
      <c r="H28" s="240"/>
      <c r="I28" s="322">
        <f t="shared" si="1"/>
        <v>0.13</v>
      </c>
      <c r="J28" s="180"/>
      <c r="K28" s="180"/>
      <c r="L28" s="180"/>
      <c r="M28" s="41"/>
      <c r="N28" s="41"/>
      <c r="O28" s="170"/>
    </row>
    <row r="29" spans="1:15" x14ac:dyDescent="0.25">
      <c r="A29" s="317">
        <v>60</v>
      </c>
      <c r="B29" s="268" t="s">
        <v>139</v>
      </c>
      <c r="C29" s="268" t="s">
        <v>488</v>
      </c>
      <c r="D29" s="316">
        <v>0.06</v>
      </c>
      <c r="E29" s="237" t="s">
        <v>32</v>
      </c>
      <c r="F29" s="329">
        <v>15</v>
      </c>
      <c r="G29" s="240"/>
      <c r="H29" s="240"/>
      <c r="I29" s="322">
        <f t="shared" si="1"/>
        <v>0.89999999999999991</v>
      </c>
      <c r="J29" s="180"/>
      <c r="K29" s="180"/>
      <c r="L29" s="180"/>
      <c r="M29" s="41"/>
      <c r="N29" s="41"/>
      <c r="O29" s="170"/>
    </row>
    <row r="30" spans="1:15" x14ac:dyDescent="0.25">
      <c r="A30" s="317">
        <v>70</v>
      </c>
      <c r="B30" s="268" t="s">
        <v>379</v>
      </c>
      <c r="C30" s="268" t="s">
        <v>495</v>
      </c>
      <c r="D30" s="316">
        <v>0.75</v>
      </c>
      <c r="E30" s="237" t="s">
        <v>32</v>
      </c>
      <c r="F30" s="329">
        <v>6</v>
      </c>
      <c r="G30" s="240"/>
      <c r="H30" s="240"/>
      <c r="I30" s="322">
        <f t="shared" si="1"/>
        <v>4.5</v>
      </c>
      <c r="J30" s="180"/>
      <c r="K30" s="180"/>
      <c r="L30" s="180"/>
      <c r="M30" s="41"/>
      <c r="N30" s="41"/>
      <c r="O30" s="170"/>
    </row>
    <row r="31" spans="1:15" x14ac:dyDescent="0.25">
      <c r="A31" s="317">
        <v>80</v>
      </c>
      <c r="B31" s="268" t="s">
        <v>487</v>
      </c>
      <c r="C31" s="268" t="s">
        <v>495</v>
      </c>
      <c r="D31" s="316">
        <v>0.25</v>
      </c>
      <c r="E31" s="237" t="s">
        <v>32</v>
      </c>
      <c r="F31" s="329">
        <v>6</v>
      </c>
      <c r="G31" s="240"/>
      <c r="H31" s="240"/>
      <c r="I31" s="322">
        <f t="shared" si="1"/>
        <v>1.5</v>
      </c>
      <c r="J31" s="180"/>
      <c r="K31" s="180"/>
      <c r="L31" s="180"/>
      <c r="M31" s="41"/>
      <c r="N31" s="41"/>
      <c r="O31" s="170"/>
    </row>
    <row r="32" spans="1:15" x14ac:dyDescent="0.25">
      <c r="A32" s="317">
        <v>90</v>
      </c>
      <c r="B32" s="268" t="s">
        <v>344</v>
      </c>
      <c r="C32" s="268" t="s">
        <v>494</v>
      </c>
      <c r="D32" s="316">
        <v>0.19</v>
      </c>
      <c r="E32" s="237" t="s">
        <v>32</v>
      </c>
      <c r="F32" s="329">
        <v>1</v>
      </c>
      <c r="G32" s="240"/>
      <c r="H32" s="240"/>
      <c r="I32" s="322">
        <f t="shared" si="1"/>
        <v>0.19</v>
      </c>
      <c r="J32" s="180"/>
      <c r="K32" s="180"/>
      <c r="L32" s="180"/>
      <c r="M32" s="41"/>
      <c r="N32" s="41"/>
      <c r="O32" s="170"/>
    </row>
    <row r="33" spans="1:15" x14ac:dyDescent="0.25">
      <c r="A33" s="317">
        <v>100</v>
      </c>
      <c r="B33" s="268" t="s">
        <v>379</v>
      </c>
      <c r="C33" s="268" t="s">
        <v>493</v>
      </c>
      <c r="D33" s="316">
        <v>0.75</v>
      </c>
      <c r="E33" s="237" t="s">
        <v>32</v>
      </c>
      <c r="F33" s="329">
        <v>1</v>
      </c>
      <c r="G33" s="240"/>
      <c r="H33" s="240"/>
      <c r="I33" s="322">
        <f t="shared" si="1"/>
        <v>0.75</v>
      </c>
      <c r="J33" s="181"/>
      <c r="K33" s="181"/>
      <c r="L33" s="181"/>
      <c r="M33" s="41"/>
      <c r="N33" s="41"/>
      <c r="O33" s="170"/>
    </row>
    <row r="34" spans="1:15" x14ac:dyDescent="0.25">
      <c r="A34" s="317">
        <v>110</v>
      </c>
      <c r="B34" s="268" t="s">
        <v>154</v>
      </c>
      <c r="C34" s="268" t="s">
        <v>492</v>
      </c>
      <c r="D34" s="316">
        <v>0.13</v>
      </c>
      <c r="E34" s="237" t="s">
        <v>32</v>
      </c>
      <c r="F34" s="329">
        <v>1</v>
      </c>
      <c r="G34" s="240"/>
      <c r="H34" s="240"/>
      <c r="I34" s="322">
        <f t="shared" si="1"/>
        <v>0.13</v>
      </c>
      <c r="J34" s="180"/>
      <c r="K34" s="180"/>
      <c r="L34" s="180"/>
      <c r="M34" s="41"/>
      <c r="N34" s="41"/>
      <c r="O34" s="170"/>
    </row>
    <row r="35" spans="1:15" x14ac:dyDescent="0.25">
      <c r="A35" s="317">
        <v>120</v>
      </c>
      <c r="B35" s="268" t="s">
        <v>491</v>
      </c>
      <c r="C35" s="268" t="s">
        <v>490</v>
      </c>
      <c r="D35" s="316">
        <v>5</v>
      </c>
      <c r="E35" s="237" t="s">
        <v>32</v>
      </c>
      <c r="F35" s="329">
        <v>1</v>
      </c>
      <c r="G35" s="240"/>
      <c r="H35" s="240"/>
      <c r="I35" s="322">
        <f t="shared" si="1"/>
        <v>5</v>
      </c>
      <c r="J35" s="181"/>
      <c r="K35" s="181"/>
      <c r="L35" s="181"/>
      <c r="M35" s="41"/>
      <c r="N35" s="41"/>
      <c r="O35" s="170"/>
    </row>
    <row r="36" spans="1:15" x14ac:dyDescent="0.25">
      <c r="A36" s="317">
        <v>130</v>
      </c>
      <c r="B36" s="268" t="s">
        <v>139</v>
      </c>
      <c r="C36" s="268" t="s">
        <v>488</v>
      </c>
      <c r="D36" s="316">
        <v>0.06</v>
      </c>
      <c r="E36" s="237" t="s">
        <v>32</v>
      </c>
      <c r="F36" s="329">
        <v>3</v>
      </c>
      <c r="G36" s="240"/>
      <c r="H36" s="240"/>
      <c r="I36" s="322">
        <f t="shared" si="1"/>
        <v>0.18</v>
      </c>
      <c r="J36" s="180"/>
      <c r="K36" s="180"/>
      <c r="L36" s="180"/>
      <c r="M36" s="41"/>
      <c r="N36" s="41"/>
      <c r="O36" s="170"/>
    </row>
    <row r="37" spans="1:15" x14ac:dyDescent="0.25">
      <c r="A37" s="317">
        <v>140</v>
      </c>
      <c r="B37" s="268" t="s">
        <v>379</v>
      </c>
      <c r="C37" s="268" t="s">
        <v>489</v>
      </c>
      <c r="D37" s="316">
        <v>0.75</v>
      </c>
      <c r="E37" s="237" t="s">
        <v>32</v>
      </c>
      <c r="F37" s="329">
        <v>1</v>
      </c>
      <c r="G37" s="240"/>
      <c r="H37" s="240"/>
      <c r="I37" s="322">
        <f t="shared" si="1"/>
        <v>0.75</v>
      </c>
      <c r="J37" s="180"/>
      <c r="K37" s="180"/>
      <c r="L37" s="180"/>
      <c r="M37" s="41"/>
      <c r="N37" s="41"/>
      <c r="O37" s="170"/>
    </row>
    <row r="38" spans="1:15" x14ac:dyDescent="0.25">
      <c r="A38" s="317">
        <v>150</v>
      </c>
      <c r="B38" s="268" t="s">
        <v>487</v>
      </c>
      <c r="C38" s="268" t="s">
        <v>489</v>
      </c>
      <c r="D38" s="316">
        <v>0.25</v>
      </c>
      <c r="E38" s="237" t="s">
        <v>32</v>
      </c>
      <c r="F38" s="329">
        <v>1</v>
      </c>
      <c r="G38" s="240"/>
      <c r="H38" s="240"/>
      <c r="I38" s="322">
        <f t="shared" si="1"/>
        <v>0.25</v>
      </c>
      <c r="J38" s="180"/>
      <c r="K38" s="180"/>
      <c r="L38" s="180"/>
      <c r="M38" s="41"/>
      <c r="N38" s="41"/>
      <c r="O38" s="170"/>
    </row>
    <row r="39" spans="1:15" x14ac:dyDescent="0.25">
      <c r="A39" s="317">
        <v>160</v>
      </c>
      <c r="B39" s="268" t="s">
        <v>139</v>
      </c>
      <c r="C39" s="268" t="s">
        <v>488</v>
      </c>
      <c r="D39" s="316">
        <v>0.06</v>
      </c>
      <c r="E39" s="237" t="s">
        <v>32</v>
      </c>
      <c r="F39" s="329">
        <v>3</v>
      </c>
      <c r="G39" s="240"/>
      <c r="H39" s="240"/>
      <c r="I39" s="322">
        <f t="shared" si="1"/>
        <v>0.18</v>
      </c>
      <c r="J39" s="180"/>
      <c r="K39" s="180"/>
      <c r="L39" s="180"/>
      <c r="M39" s="41"/>
      <c r="N39" s="41"/>
      <c r="O39" s="170"/>
    </row>
    <row r="40" spans="1:15" x14ac:dyDescent="0.25">
      <c r="A40" s="317">
        <v>170</v>
      </c>
      <c r="B40" s="268" t="s">
        <v>379</v>
      </c>
      <c r="C40" s="268" t="s">
        <v>486</v>
      </c>
      <c r="D40" s="316">
        <v>0.75</v>
      </c>
      <c r="E40" s="237" t="s">
        <v>32</v>
      </c>
      <c r="F40" s="329">
        <v>1</v>
      </c>
      <c r="G40" s="240"/>
      <c r="H40" s="240"/>
      <c r="I40" s="322">
        <f t="shared" si="1"/>
        <v>0.75</v>
      </c>
      <c r="J40" s="180"/>
      <c r="K40" s="180"/>
      <c r="L40" s="180"/>
      <c r="M40" s="41"/>
      <c r="N40" s="41"/>
      <c r="O40" s="170"/>
    </row>
    <row r="41" spans="1:15" x14ac:dyDescent="0.25">
      <c r="A41" s="317">
        <v>180</v>
      </c>
      <c r="B41" s="268" t="s">
        <v>487</v>
      </c>
      <c r="C41" s="268" t="s">
        <v>486</v>
      </c>
      <c r="D41" s="316">
        <v>0.25</v>
      </c>
      <c r="E41" s="237" t="s">
        <v>32</v>
      </c>
      <c r="F41" s="329">
        <v>1</v>
      </c>
      <c r="G41" s="240"/>
      <c r="H41" s="240"/>
      <c r="I41" s="322">
        <f t="shared" si="1"/>
        <v>0.25</v>
      </c>
      <c r="J41" s="180"/>
      <c r="K41" s="180"/>
      <c r="L41" s="180"/>
      <c r="M41" s="41"/>
      <c r="N41" s="41"/>
      <c r="O41" s="170"/>
    </row>
    <row r="42" spans="1:15" x14ac:dyDescent="0.25">
      <c r="A42" s="173"/>
      <c r="B42" s="15"/>
      <c r="C42" s="15"/>
      <c r="D42" s="15"/>
      <c r="E42" s="15"/>
      <c r="F42" s="15"/>
      <c r="G42" s="15"/>
      <c r="H42" s="179" t="s">
        <v>18</v>
      </c>
      <c r="I42" s="178">
        <f>SUM(I24:I41)</f>
        <v>17.709499999999998</v>
      </c>
      <c r="J42" s="41"/>
      <c r="K42" s="41"/>
      <c r="L42" s="41"/>
      <c r="M42" s="41"/>
      <c r="N42" s="41"/>
      <c r="O42" s="170"/>
    </row>
    <row r="43" spans="1:15" x14ac:dyDescent="0.25">
      <c r="A43" s="177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170"/>
    </row>
    <row r="44" spans="1:15" x14ac:dyDescent="0.25">
      <c r="A44" s="176" t="s">
        <v>14</v>
      </c>
      <c r="B44" s="175" t="s">
        <v>36</v>
      </c>
      <c r="C44" s="175" t="s">
        <v>20</v>
      </c>
      <c r="D44" s="175" t="s">
        <v>21</v>
      </c>
      <c r="E44" s="175" t="s">
        <v>22</v>
      </c>
      <c r="F44" s="175" t="s">
        <v>23</v>
      </c>
      <c r="G44" s="175" t="s">
        <v>24</v>
      </c>
      <c r="H44" s="175" t="s">
        <v>25</v>
      </c>
      <c r="I44" s="175" t="s">
        <v>17</v>
      </c>
      <c r="J44" s="175" t="s">
        <v>18</v>
      </c>
      <c r="K44" s="41"/>
      <c r="L44" s="41"/>
      <c r="M44" s="41"/>
      <c r="N44" s="41"/>
      <c r="O44" s="170"/>
    </row>
    <row r="45" spans="1:15" x14ac:dyDescent="0.25">
      <c r="A45" s="188">
        <v>10</v>
      </c>
      <c r="B45" s="185" t="s">
        <v>331</v>
      </c>
      <c r="C45" s="185" t="s">
        <v>485</v>
      </c>
      <c r="D45" s="326">
        <f>0.8/105154*E45*E45*G45*SQRT(G45)+(0.003*EXP(0.319*E45))</f>
        <v>0.19787566120335398</v>
      </c>
      <c r="E45" s="315">
        <v>10</v>
      </c>
      <c r="F45" s="325" t="s">
        <v>30</v>
      </c>
      <c r="G45" s="315">
        <v>30</v>
      </c>
      <c r="H45" s="324" t="s">
        <v>30</v>
      </c>
      <c r="I45" s="323">
        <v>6</v>
      </c>
      <c r="J45" s="322">
        <f t="shared" ref="J45:J55" si="2">I45*D45</f>
        <v>1.1872539672201239</v>
      </c>
      <c r="K45" s="41"/>
      <c r="L45" s="41"/>
      <c r="M45" s="41"/>
      <c r="N45" s="41"/>
      <c r="O45" s="170"/>
    </row>
    <row r="46" spans="1:15" x14ac:dyDescent="0.25">
      <c r="A46" s="188">
        <v>20</v>
      </c>
      <c r="B46" s="185" t="s">
        <v>330</v>
      </c>
      <c r="C46" s="185" t="s">
        <v>485</v>
      </c>
      <c r="D46" s="326">
        <f>0.009*EXP(0.2*E46)</f>
        <v>6.6501504890375845E-2</v>
      </c>
      <c r="E46" s="315">
        <v>10</v>
      </c>
      <c r="F46" s="325" t="s">
        <v>30</v>
      </c>
      <c r="G46" s="315"/>
      <c r="H46" s="324"/>
      <c r="I46" s="323">
        <v>6</v>
      </c>
      <c r="J46" s="322">
        <f t="shared" si="2"/>
        <v>0.39900902934225507</v>
      </c>
      <c r="K46" s="41"/>
      <c r="L46" s="41"/>
      <c r="M46" s="41"/>
      <c r="N46" s="41"/>
      <c r="O46" s="170"/>
    </row>
    <row r="47" spans="1:15" x14ac:dyDescent="0.25">
      <c r="A47" s="188">
        <v>30</v>
      </c>
      <c r="B47" s="185" t="s">
        <v>169</v>
      </c>
      <c r="C47" s="185" t="s">
        <v>485</v>
      </c>
      <c r="D47" s="326">
        <v>0.01</v>
      </c>
      <c r="E47" s="315"/>
      <c r="F47" s="325" t="s">
        <v>32</v>
      </c>
      <c r="G47" s="315"/>
      <c r="H47" s="324"/>
      <c r="I47" s="323">
        <v>12</v>
      </c>
      <c r="J47" s="328">
        <f t="shared" si="2"/>
        <v>0.12</v>
      </c>
      <c r="K47" s="41"/>
      <c r="L47" s="41"/>
      <c r="M47" s="41"/>
      <c r="N47" s="41"/>
      <c r="O47" s="170"/>
    </row>
    <row r="48" spans="1:15" x14ac:dyDescent="0.25">
      <c r="A48" s="188">
        <v>40</v>
      </c>
      <c r="B48" s="185" t="s">
        <v>331</v>
      </c>
      <c r="C48" s="185" t="s">
        <v>484</v>
      </c>
      <c r="D48" s="326">
        <f>0.8/105154*E48*E48*G48*SQRT(G48)+(0.003*EXP(0.319*E48))</f>
        <v>8.2048330888522564E-2</v>
      </c>
      <c r="E48" s="315">
        <v>8</v>
      </c>
      <c r="F48" s="325" t="s">
        <v>30</v>
      </c>
      <c r="G48" s="315">
        <v>20</v>
      </c>
      <c r="H48" s="324" t="s">
        <v>30</v>
      </c>
      <c r="I48" s="323">
        <v>1</v>
      </c>
      <c r="J48" s="267">
        <f t="shared" si="2"/>
        <v>8.2048330888522564E-2</v>
      </c>
      <c r="K48" s="41"/>
      <c r="L48" s="41"/>
      <c r="M48" s="41"/>
      <c r="N48" s="41"/>
      <c r="O48" s="170"/>
    </row>
    <row r="49" spans="1:15" x14ac:dyDescent="0.25">
      <c r="A49" s="188">
        <v>50</v>
      </c>
      <c r="B49" s="185" t="s">
        <v>330</v>
      </c>
      <c r="C49" s="185" t="s">
        <v>484</v>
      </c>
      <c r="D49" s="326">
        <f>0.009*EXP(0.2*E49)</f>
        <v>4.4577291819556032E-2</v>
      </c>
      <c r="E49" s="315">
        <v>8</v>
      </c>
      <c r="F49" s="325" t="s">
        <v>30</v>
      </c>
      <c r="G49" s="315"/>
      <c r="H49" s="324"/>
      <c r="I49" s="323">
        <v>1</v>
      </c>
      <c r="J49" s="327">
        <f t="shared" si="2"/>
        <v>4.4577291819556032E-2</v>
      </c>
      <c r="K49" s="41"/>
      <c r="L49" s="41"/>
      <c r="M49" s="41"/>
      <c r="N49" s="41"/>
      <c r="O49" s="170"/>
    </row>
    <row r="50" spans="1:15" x14ac:dyDescent="0.25">
      <c r="A50" s="188">
        <v>60</v>
      </c>
      <c r="B50" s="185" t="s">
        <v>169</v>
      </c>
      <c r="C50" s="185" t="s">
        <v>484</v>
      </c>
      <c r="D50" s="326">
        <v>0.01</v>
      </c>
      <c r="E50" s="315"/>
      <c r="F50" s="325" t="s">
        <v>32</v>
      </c>
      <c r="G50" s="315"/>
      <c r="H50" s="324"/>
      <c r="I50" s="323">
        <v>2</v>
      </c>
      <c r="J50" s="322">
        <f t="shared" si="2"/>
        <v>0.02</v>
      </c>
      <c r="K50" s="41"/>
      <c r="L50" s="41"/>
      <c r="M50" s="41"/>
      <c r="N50" s="41"/>
      <c r="O50" s="170"/>
    </row>
    <row r="51" spans="1:15" x14ac:dyDescent="0.25">
      <c r="A51" s="188">
        <v>70</v>
      </c>
      <c r="B51" s="185" t="s">
        <v>331</v>
      </c>
      <c r="C51" s="185" t="s">
        <v>484</v>
      </c>
      <c r="D51" s="326">
        <f>0.8/105154*E51*E51*G51*SQRT(G51)+(0.003*EXP(0.319*E51))</f>
        <v>8.2048330888522564E-2</v>
      </c>
      <c r="E51" s="315">
        <v>8</v>
      </c>
      <c r="F51" s="325" t="s">
        <v>30</v>
      </c>
      <c r="G51" s="315">
        <v>20</v>
      </c>
      <c r="H51" s="324" t="s">
        <v>30</v>
      </c>
      <c r="I51" s="323">
        <v>1</v>
      </c>
      <c r="J51" s="322">
        <f t="shared" si="2"/>
        <v>8.2048330888522564E-2</v>
      </c>
      <c r="K51" s="41"/>
      <c r="L51" s="41"/>
      <c r="M51" s="41"/>
      <c r="N51" s="41"/>
      <c r="O51" s="170"/>
    </row>
    <row r="52" spans="1:15" x14ac:dyDescent="0.25">
      <c r="A52" s="188">
        <v>80</v>
      </c>
      <c r="B52" s="185" t="s">
        <v>330</v>
      </c>
      <c r="C52" s="185" t="s">
        <v>484</v>
      </c>
      <c r="D52" s="326">
        <f>0.009*EXP(0.2*E52)</f>
        <v>4.4577291819556032E-2</v>
      </c>
      <c r="E52" s="315">
        <v>8</v>
      </c>
      <c r="F52" s="325" t="s">
        <v>30</v>
      </c>
      <c r="G52" s="315"/>
      <c r="H52" s="324"/>
      <c r="I52" s="323">
        <v>1</v>
      </c>
      <c r="J52" s="322">
        <f t="shared" si="2"/>
        <v>4.4577291819556032E-2</v>
      </c>
      <c r="K52" s="41"/>
      <c r="L52" s="41"/>
      <c r="M52" s="41"/>
      <c r="N52" s="41"/>
      <c r="O52" s="170"/>
    </row>
    <row r="53" spans="1:15" x14ac:dyDescent="0.25">
      <c r="A53" s="188">
        <v>90</v>
      </c>
      <c r="B53" s="185" t="s">
        <v>169</v>
      </c>
      <c r="C53" s="185" t="s">
        <v>484</v>
      </c>
      <c r="D53" s="326">
        <v>0.01</v>
      </c>
      <c r="E53" s="315"/>
      <c r="F53" s="325" t="s">
        <v>32</v>
      </c>
      <c r="G53" s="315"/>
      <c r="H53" s="324"/>
      <c r="I53" s="323">
        <v>2</v>
      </c>
      <c r="J53" s="322">
        <f t="shared" si="2"/>
        <v>0.02</v>
      </c>
      <c r="K53" s="41"/>
      <c r="L53" s="41"/>
      <c r="M53" s="41"/>
      <c r="N53" s="41"/>
      <c r="O53" s="170"/>
    </row>
    <row r="54" spans="1:15" x14ac:dyDescent="0.25">
      <c r="A54" s="188">
        <v>100</v>
      </c>
      <c r="B54" s="185" t="s">
        <v>331</v>
      </c>
      <c r="C54" s="185" t="s">
        <v>483</v>
      </c>
      <c r="D54" s="326">
        <f>0.8/105154*E54*E54*G54*SQRT(G54)+(0.003*EXP(0.319*E54))</f>
        <v>8.2048330888522564E-2</v>
      </c>
      <c r="E54" s="315">
        <v>8</v>
      </c>
      <c r="F54" s="325" t="s">
        <v>30</v>
      </c>
      <c r="G54" s="315">
        <v>20</v>
      </c>
      <c r="H54" s="324" t="s">
        <v>30</v>
      </c>
      <c r="I54" s="323">
        <v>1</v>
      </c>
      <c r="J54" s="322">
        <f t="shared" si="2"/>
        <v>8.2048330888522564E-2</v>
      </c>
      <c r="K54" s="41"/>
      <c r="L54" s="41"/>
      <c r="M54" s="41"/>
      <c r="N54" s="41"/>
      <c r="O54" s="170"/>
    </row>
    <row r="55" spans="1:15" x14ac:dyDescent="0.25">
      <c r="A55" s="188">
        <v>110</v>
      </c>
      <c r="B55" s="185" t="s">
        <v>482</v>
      </c>
      <c r="C55" s="185" t="s">
        <v>481</v>
      </c>
      <c r="D55" s="326">
        <v>0.5</v>
      </c>
      <c r="E55" s="315">
        <v>52</v>
      </c>
      <c r="F55" s="325" t="s">
        <v>30</v>
      </c>
      <c r="G55" s="315"/>
      <c r="H55" s="324"/>
      <c r="I55" s="323">
        <v>1</v>
      </c>
      <c r="J55" s="322">
        <f t="shared" si="2"/>
        <v>0.5</v>
      </c>
      <c r="K55" s="41"/>
      <c r="L55" s="41"/>
      <c r="M55" s="41"/>
      <c r="N55" s="41"/>
      <c r="O55" s="170"/>
    </row>
    <row r="56" spans="1:15" x14ac:dyDescent="0.25">
      <c r="A56" s="173"/>
      <c r="B56" s="15"/>
      <c r="C56" s="15"/>
      <c r="D56" s="15"/>
      <c r="E56" s="15"/>
      <c r="F56" s="15"/>
      <c r="G56" s="15"/>
      <c r="H56" s="15"/>
      <c r="I56" s="179" t="s">
        <v>18</v>
      </c>
      <c r="J56" s="178">
        <f>SUM(J45:J55)</f>
        <v>2.5815625728670586</v>
      </c>
      <c r="K56" s="41"/>
      <c r="L56" s="41"/>
      <c r="M56" s="41"/>
      <c r="N56" s="41"/>
      <c r="O56" s="170"/>
    </row>
    <row r="57" spans="1:15" x14ac:dyDescent="0.25">
      <c r="A57" s="177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170"/>
    </row>
    <row r="58" spans="1:15" x14ac:dyDescent="0.25">
      <c r="A58" s="176" t="s">
        <v>14</v>
      </c>
      <c r="B58" s="175" t="s">
        <v>39</v>
      </c>
      <c r="C58" s="175" t="s">
        <v>20</v>
      </c>
      <c r="D58" s="175" t="s">
        <v>21</v>
      </c>
      <c r="E58" s="175" t="s">
        <v>32</v>
      </c>
      <c r="F58" s="175" t="s">
        <v>17</v>
      </c>
      <c r="G58" s="175" t="s">
        <v>40</v>
      </c>
      <c r="H58" s="321" t="s">
        <v>41</v>
      </c>
      <c r="I58" s="291" t="s">
        <v>18</v>
      </c>
      <c r="J58" s="41"/>
      <c r="K58" s="41"/>
      <c r="L58" s="41"/>
      <c r="M58" s="41"/>
      <c r="N58" s="41"/>
      <c r="O58" s="170"/>
    </row>
    <row r="59" spans="1:15" x14ac:dyDescent="0.25">
      <c r="A59" s="174">
        <v>10</v>
      </c>
      <c r="B59" s="57" t="s">
        <v>42</v>
      </c>
      <c r="C59" s="57" t="s">
        <v>328</v>
      </c>
      <c r="D59" s="58">
        <v>500</v>
      </c>
      <c r="E59" s="57" t="s">
        <v>43</v>
      </c>
      <c r="F59" s="57">
        <v>16</v>
      </c>
      <c r="G59" s="57">
        <v>3000</v>
      </c>
      <c r="H59" s="112">
        <v>1</v>
      </c>
      <c r="I59" s="320">
        <f>D59*F59/G59*H59</f>
        <v>2.6666666666666665</v>
      </c>
      <c r="J59" s="41"/>
      <c r="K59" s="41"/>
      <c r="L59" s="41"/>
      <c r="M59" s="41"/>
      <c r="N59" s="41"/>
      <c r="O59" s="170"/>
    </row>
    <row r="60" spans="1:15" x14ac:dyDescent="0.25">
      <c r="A60" s="173"/>
      <c r="B60" s="15"/>
      <c r="C60" s="15"/>
      <c r="D60" s="15"/>
      <c r="E60" s="15"/>
      <c r="F60" s="15"/>
      <c r="G60" s="15"/>
      <c r="H60" s="172" t="s">
        <v>18</v>
      </c>
      <c r="I60" s="171">
        <f>SUM(I59:I59)</f>
        <v>2.6666666666666665</v>
      </c>
      <c r="J60" s="41"/>
      <c r="K60" s="41"/>
      <c r="L60" s="41"/>
      <c r="M60" s="41"/>
      <c r="N60" s="41"/>
      <c r="O60" s="170"/>
    </row>
    <row r="61" spans="1:15" ht="15.75" thickBot="1" x14ac:dyDescent="0.3">
      <c r="A61" s="169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7"/>
    </row>
  </sheetData>
  <hyperlinks>
    <hyperlink ref="B10" location="EN_1100_001" display="Front sprocket" xr:uid="{AF7F342E-4855-4789-AE27-F8B3AFD5FBAD}"/>
    <hyperlink ref="B11" location="EN_1100_002!A1" display="rear sprocket" xr:uid="{25FE80D6-1AC7-4466-93BA-31970C4A8461}"/>
    <hyperlink ref="B12" location="EN_1100_003!A1" display="Rear sprocket adaptor" xr:uid="{A9790CD9-4172-4535-8977-A9E1DF8C6F8E}"/>
    <hyperlink ref="B13" location="EN_1100_004!A1" display="Chain shield" xr:uid="{A8B9867F-E569-4B27-8530-827D704C9342}"/>
    <hyperlink ref="B14" location="EN_1100_005!A1" display="Upper chainshield bracket" xr:uid="{1018497E-B0E6-4B67-BBD0-C15FD336CD3E}"/>
    <hyperlink ref="B15" location="EN_1100_006!A1" display="Lower chainshield bracket" xr:uid="{582A9970-6C56-4D5A-8B4D-FBF593D1AB19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267F9-B245-4BD7-901A-8872D504F815}">
  <sheetPr>
    <tabColor theme="6" tint="0.39997558519241921"/>
  </sheetPr>
  <dimension ref="A1:O26"/>
  <sheetViews>
    <sheetView zoomScale="85" zoomScaleNormal="85" workbookViewId="0">
      <selection activeCell="C6" sqref="C6"/>
    </sheetView>
  </sheetViews>
  <sheetFormatPr baseColWidth="10" defaultRowHeight="15" x14ac:dyDescent="0.25"/>
  <cols>
    <col min="2" max="2" width="33.7109375" bestFit="1" customWidth="1"/>
    <col min="3" max="3" width="47.5703125" bestFit="1" customWidth="1"/>
    <col min="7" max="7" width="13.5703125" bestFit="1" customWidth="1"/>
    <col min="9" max="9" width="18.140625" bestFit="1" customWidth="1"/>
  </cols>
  <sheetData>
    <row r="1" spans="1:15" x14ac:dyDescent="0.25">
      <c r="A1" s="210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8"/>
    </row>
    <row r="2" spans="1:15" x14ac:dyDescent="0.25">
      <c r="A2" s="261" t="s">
        <v>0</v>
      </c>
      <c r="B2" s="262" t="s">
        <v>44</v>
      </c>
      <c r="C2" s="41"/>
      <c r="D2" s="41"/>
      <c r="E2" s="41"/>
      <c r="F2" s="41"/>
      <c r="G2" s="41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EN_1100_001_m+EN_1100_001_p</f>
        <v>24.754258243942196</v>
      </c>
      <c r="O2" s="170"/>
    </row>
    <row r="3" spans="1:15" x14ac:dyDescent="0.25">
      <c r="A3" s="266" t="s">
        <v>3</v>
      </c>
      <c r="B3" s="262" t="s">
        <v>372</v>
      </c>
      <c r="C3" s="41"/>
      <c r="D3" s="309" t="s">
        <v>6</v>
      </c>
      <c r="E3" s="41"/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170"/>
    </row>
    <row r="4" spans="1:15" x14ac:dyDescent="0.25">
      <c r="A4" s="349" t="s">
        <v>5</v>
      </c>
      <c r="B4" s="289" t="s">
        <v>510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170"/>
    </row>
    <row r="5" spans="1:15" x14ac:dyDescent="0.25">
      <c r="A5" s="349" t="s">
        <v>15</v>
      </c>
      <c r="B5" s="311" t="s">
        <v>508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24.754258243942196</v>
      </c>
      <c r="O5" s="170"/>
    </row>
    <row r="6" spans="1:15" x14ac:dyDescent="0.25">
      <c r="A6" s="349" t="s">
        <v>7</v>
      </c>
      <c r="B6" s="264" t="s">
        <v>544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170"/>
    </row>
    <row r="7" spans="1:15" x14ac:dyDescent="0.25">
      <c r="A7" s="263" t="s">
        <v>10</v>
      </c>
      <c r="B7" s="262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70"/>
    </row>
    <row r="8" spans="1:15" x14ac:dyDescent="0.25">
      <c r="A8" s="261" t="s">
        <v>13</v>
      </c>
      <c r="B8" s="180" t="s">
        <v>312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70"/>
    </row>
    <row r="9" spans="1:15" x14ac:dyDescent="0.25">
      <c r="A9" s="260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70"/>
    </row>
    <row r="10" spans="1:15" x14ac:dyDescent="0.25">
      <c r="A10" s="259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20" t="s">
        <v>23</v>
      </c>
      <c r="G10" s="120" t="s">
        <v>24</v>
      </c>
      <c r="H10" s="120" t="s">
        <v>25</v>
      </c>
      <c r="I10" s="120" t="s">
        <v>26</v>
      </c>
      <c r="J10" s="120" t="s">
        <v>27</v>
      </c>
      <c r="K10" s="120" t="s">
        <v>28</v>
      </c>
      <c r="L10" s="120" t="s">
        <v>29</v>
      </c>
      <c r="M10" s="120" t="s">
        <v>17</v>
      </c>
      <c r="N10" s="120" t="s">
        <v>18</v>
      </c>
      <c r="O10" s="170"/>
    </row>
    <row r="11" spans="1:15" x14ac:dyDescent="0.25">
      <c r="A11" s="364">
        <v>10</v>
      </c>
      <c r="B11" s="384" t="s">
        <v>245</v>
      </c>
      <c r="C11" s="383" t="s">
        <v>543</v>
      </c>
      <c r="D11" s="362">
        <v>2.25</v>
      </c>
      <c r="E11" s="382">
        <f>J11*K11*L11</f>
        <v>0.67553218760489098</v>
      </c>
      <c r="F11" s="381" t="s">
        <v>144</v>
      </c>
      <c r="G11" s="381"/>
      <c r="H11" s="380"/>
      <c r="I11" s="379" t="s">
        <v>542</v>
      </c>
      <c r="J11" s="378">
        <f>PI()*(0.081/2)^2</f>
        <v>5.152997350050658E-3</v>
      </c>
      <c r="K11" s="377">
        <v>1.67E-2</v>
      </c>
      <c r="L11" s="376">
        <v>7850</v>
      </c>
      <c r="M11" s="375">
        <v>1</v>
      </c>
      <c r="N11" s="357">
        <f>IF(J11="",D11*M11,D11*J11*K11*L11*M11)</f>
        <v>1.519947422111005</v>
      </c>
      <c r="O11" s="199"/>
    </row>
    <row r="12" spans="1:15" x14ac:dyDescent="0.25">
      <c r="A12" s="173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22" t="s">
        <v>18</v>
      </c>
      <c r="N12" s="106">
        <f>SUM(N11:N11)</f>
        <v>1.519947422111005</v>
      </c>
      <c r="O12" s="170"/>
    </row>
    <row r="13" spans="1:15" x14ac:dyDescent="0.25">
      <c r="A13" s="177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70"/>
    </row>
    <row r="14" spans="1:15" x14ac:dyDescent="0.25">
      <c r="A14" s="349" t="s">
        <v>14</v>
      </c>
      <c r="B14" s="374" t="s">
        <v>31</v>
      </c>
      <c r="C14" s="374" t="s">
        <v>20</v>
      </c>
      <c r="D14" s="374" t="s">
        <v>21</v>
      </c>
      <c r="E14" s="374" t="s">
        <v>32</v>
      </c>
      <c r="F14" s="374" t="s">
        <v>17</v>
      </c>
      <c r="G14" s="374" t="s">
        <v>33</v>
      </c>
      <c r="H14" s="374" t="s">
        <v>34</v>
      </c>
      <c r="I14" s="374" t="s">
        <v>18</v>
      </c>
      <c r="J14" s="15"/>
      <c r="K14" s="15"/>
      <c r="L14" s="15"/>
      <c r="M14" s="15"/>
      <c r="N14" s="15"/>
      <c r="O14" s="170"/>
    </row>
    <row r="15" spans="1:15" ht="30" x14ac:dyDescent="0.25">
      <c r="A15" s="365">
        <v>10</v>
      </c>
      <c r="B15" s="370" t="s">
        <v>45</v>
      </c>
      <c r="C15" s="370" t="s">
        <v>515</v>
      </c>
      <c r="D15" s="369">
        <v>1.3</v>
      </c>
      <c r="E15" s="368" t="s">
        <v>32</v>
      </c>
      <c r="F15" s="367">
        <v>1</v>
      </c>
      <c r="G15" s="367"/>
      <c r="H15" s="367"/>
      <c r="I15" s="366">
        <f t="shared" ref="I15:I20" si="0">IF(H15="",D15*F15,D15*F15*H15)</f>
        <v>1.3</v>
      </c>
      <c r="J15" s="41"/>
      <c r="K15" s="41"/>
      <c r="L15" s="41"/>
      <c r="M15" s="41"/>
      <c r="N15" s="41"/>
      <c r="O15" s="170"/>
    </row>
    <row r="16" spans="1:15" x14ac:dyDescent="0.25">
      <c r="A16" s="365">
        <v>20</v>
      </c>
      <c r="B16" s="370" t="s">
        <v>145</v>
      </c>
      <c r="C16" s="370" t="s">
        <v>541</v>
      </c>
      <c r="D16" s="369">
        <v>0.04</v>
      </c>
      <c r="E16" s="368" t="s">
        <v>147</v>
      </c>
      <c r="F16" s="373">
        <f>PI()*((0.081/2)^2-(0.034/2)^2)*0.0048*2*100^3+PI()*0.013^2*0.0167*100^3</f>
        <v>49.61925684859326</v>
      </c>
      <c r="G16" s="372" t="s">
        <v>513</v>
      </c>
      <c r="H16" s="371">
        <v>3</v>
      </c>
      <c r="I16" s="366">
        <f t="shared" si="0"/>
        <v>5.9543108218311911</v>
      </c>
      <c r="J16" s="41"/>
      <c r="K16" s="41"/>
      <c r="L16" s="41"/>
      <c r="M16" s="41"/>
      <c r="N16" s="41"/>
      <c r="O16" s="170"/>
    </row>
    <row r="17" spans="1:15" x14ac:dyDescent="0.25">
      <c r="A17" s="365">
        <v>30</v>
      </c>
      <c r="B17" s="370" t="s">
        <v>146</v>
      </c>
      <c r="C17" s="370" t="s">
        <v>540</v>
      </c>
      <c r="D17" s="369">
        <v>0.65</v>
      </c>
      <c r="E17" s="368" t="s">
        <v>32</v>
      </c>
      <c r="F17" s="367">
        <v>1</v>
      </c>
      <c r="G17" s="367"/>
      <c r="H17" s="367"/>
      <c r="I17" s="366">
        <f t="shared" si="0"/>
        <v>0.65</v>
      </c>
      <c r="J17" s="41"/>
      <c r="K17" s="41"/>
      <c r="L17" s="41"/>
      <c r="M17" s="41"/>
      <c r="N17" s="41"/>
      <c r="O17" s="170"/>
    </row>
    <row r="18" spans="1:15" x14ac:dyDescent="0.25">
      <c r="A18" s="365">
        <v>40</v>
      </c>
      <c r="B18" s="351" t="s">
        <v>514</v>
      </c>
      <c r="C18" s="363" t="s">
        <v>539</v>
      </c>
      <c r="D18" s="362">
        <v>0.5</v>
      </c>
      <c r="E18" s="361" t="s">
        <v>46</v>
      </c>
      <c r="F18" s="360">
        <f>0.71*13</f>
        <v>9.23</v>
      </c>
      <c r="G18" s="359" t="s">
        <v>513</v>
      </c>
      <c r="H18" s="358">
        <v>3</v>
      </c>
      <c r="I18" s="357">
        <f t="shared" si="0"/>
        <v>13.845000000000001</v>
      </c>
      <c r="J18" s="41"/>
      <c r="K18" s="41"/>
      <c r="L18" s="41"/>
      <c r="M18" s="41"/>
      <c r="N18" s="41"/>
      <c r="O18" s="170"/>
    </row>
    <row r="19" spans="1:15" x14ac:dyDescent="0.25">
      <c r="A19" s="364">
        <v>50</v>
      </c>
      <c r="B19" s="363" t="s">
        <v>146</v>
      </c>
      <c r="C19" s="363" t="s">
        <v>538</v>
      </c>
      <c r="D19" s="362">
        <v>0.65</v>
      </c>
      <c r="E19" s="361" t="s">
        <v>32</v>
      </c>
      <c r="F19" s="358">
        <v>1</v>
      </c>
      <c r="G19" s="358"/>
      <c r="H19" s="358"/>
      <c r="I19" s="357">
        <f t="shared" si="0"/>
        <v>0.65</v>
      </c>
      <c r="J19" s="41"/>
      <c r="K19" s="41"/>
      <c r="L19" s="41"/>
      <c r="M19" s="41"/>
      <c r="N19" s="41"/>
      <c r="O19" s="170"/>
    </row>
    <row r="20" spans="1:15" x14ac:dyDescent="0.25">
      <c r="A20" s="364">
        <v>60</v>
      </c>
      <c r="B20" s="363" t="s">
        <v>521</v>
      </c>
      <c r="C20" s="363" t="s">
        <v>537</v>
      </c>
      <c r="D20" s="362">
        <v>0.5</v>
      </c>
      <c r="E20" s="361" t="s">
        <v>46</v>
      </c>
      <c r="F20" s="360">
        <v>1.67</v>
      </c>
      <c r="G20" s="359"/>
      <c r="H20" s="358"/>
      <c r="I20" s="357">
        <f t="shared" si="0"/>
        <v>0.83499999999999996</v>
      </c>
      <c r="J20" s="41"/>
      <c r="K20" s="41"/>
      <c r="L20" s="41"/>
      <c r="M20" s="41"/>
      <c r="N20" s="41"/>
      <c r="O20" s="170"/>
    </row>
    <row r="21" spans="1:15" x14ac:dyDescent="0.25">
      <c r="A21" s="177"/>
      <c r="B21" s="15"/>
      <c r="C21" s="15"/>
      <c r="D21" s="15"/>
      <c r="E21" s="15"/>
      <c r="F21" s="15"/>
      <c r="G21" s="15"/>
      <c r="H21" s="109" t="s">
        <v>18</v>
      </c>
      <c r="I21" s="356">
        <f>SUM(I15:I20)</f>
        <v>23.23431082183119</v>
      </c>
      <c r="J21" s="41"/>
      <c r="K21" s="41"/>
      <c r="L21" s="41"/>
      <c r="M21" s="41"/>
      <c r="N21" s="41"/>
      <c r="O21" s="170"/>
    </row>
    <row r="22" spans="1:15" x14ac:dyDescent="0.25">
      <c r="A22" s="177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70"/>
    </row>
    <row r="23" spans="1:15" x14ac:dyDescent="0.25">
      <c r="A23" s="177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70"/>
    </row>
    <row r="24" spans="1:15" x14ac:dyDescent="0.25">
      <c r="A24" s="177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70"/>
    </row>
    <row r="25" spans="1:15" x14ac:dyDescent="0.25">
      <c r="A25" s="177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70"/>
    </row>
    <row r="26" spans="1:15" ht="15.75" thickBot="1" x14ac:dyDescent="0.3">
      <c r="A26" s="169"/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7"/>
    </row>
  </sheetData>
  <hyperlinks>
    <hyperlink ref="B4" location="EN_A1100" display="Driveshaft" xr:uid="{808CCE2D-630F-4834-BE1D-C217A3D2E49A}"/>
  </hyperlinks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B7BD-BF7A-41B8-B577-F9B71D9E263B}">
  <sheetPr>
    <tabColor theme="6" tint="0.39997558519241921"/>
  </sheetPr>
  <dimension ref="A1:P26"/>
  <sheetViews>
    <sheetView zoomScale="70" zoomScaleNormal="70" workbookViewId="0">
      <selection activeCell="I21" sqref="I21"/>
    </sheetView>
  </sheetViews>
  <sheetFormatPr baseColWidth="10" defaultRowHeight="15" x14ac:dyDescent="0.25"/>
  <cols>
    <col min="2" max="2" width="35.85546875" bestFit="1" customWidth="1"/>
    <col min="3" max="3" width="50.5703125" bestFit="1" customWidth="1"/>
    <col min="7" max="7" width="14.5703125" bestFit="1" customWidth="1"/>
    <col min="9" max="9" width="20.28515625" bestFit="1" customWidth="1"/>
  </cols>
  <sheetData>
    <row r="1" spans="1:15" x14ac:dyDescent="0.25">
      <c r="A1" s="210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8"/>
    </row>
    <row r="2" spans="1:15" x14ac:dyDescent="0.25">
      <c r="A2" s="261" t="s">
        <v>0</v>
      </c>
      <c r="B2" s="262" t="s">
        <v>44</v>
      </c>
      <c r="C2" s="41"/>
      <c r="D2" s="41"/>
      <c r="E2" s="41"/>
      <c r="F2" s="41"/>
      <c r="G2" s="41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EN_1100_002_m+EN_1100_002_p</f>
        <v>41.802269960952131</v>
      </c>
      <c r="O2" s="170"/>
    </row>
    <row r="3" spans="1:15" x14ac:dyDescent="0.25">
      <c r="A3" s="266" t="s">
        <v>3</v>
      </c>
      <c r="B3" s="262" t="s">
        <v>372</v>
      </c>
      <c r="C3" s="41"/>
      <c r="D3" s="311" t="s">
        <v>6</v>
      </c>
      <c r="E3" s="41"/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170"/>
    </row>
    <row r="4" spans="1:15" x14ac:dyDescent="0.25">
      <c r="A4" s="245" t="s">
        <v>5</v>
      </c>
      <c r="B4" s="310" t="s">
        <v>510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170"/>
    </row>
    <row r="5" spans="1:15" x14ac:dyDescent="0.25">
      <c r="A5" s="245" t="s">
        <v>15</v>
      </c>
      <c r="B5" s="311" t="s">
        <v>519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41.802269960952131</v>
      </c>
      <c r="O5" s="170"/>
    </row>
    <row r="6" spans="1:15" x14ac:dyDescent="0.25">
      <c r="A6" s="245" t="s">
        <v>7</v>
      </c>
      <c r="B6" s="264" t="s">
        <v>518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170"/>
    </row>
    <row r="7" spans="1:15" x14ac:dyDescent="0.25">
      <c r="A7" s="263" t="s">
        <v>10</v>
      </c>
      <c r="B7" s="262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70"/>
    </row>
    <row r="8" spans="1:15" x14ac:dyDescent="0.25">
      <c r="A8" s="261" t="s">
        <v>13</v>
      </c>
      <c r="B8" s="180" t="s">
        <v>312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70"/>
    </row>
    <row r="9" spans="1:15" x14ac:dyDescent="0.25">
      <c r="A9" s="260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70"/>
    </row>
    <row r="10" spans="1:15" x14ac:dyDescent="0.25">
      <c r="A10" s="259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216" t="s">
        <v>23</v>
      </c>
      <c r="G10" s="216" t="s">
        <v>24</v>
      </c>
      <c r="H10" s="216" t="s">
        <v>25</v>
      </c>
      <c r="I10" s="216" t="s">
        <v>26</v>
      </c>
      <c r="J10" s="216" t="s">
        <v>27</v>
      </c>
      <c r="K10" s="216" t="s">
        <v>28</v>
      </c>
      <c r="L10" s="216" t="s">
        <v>29</v>
      </c>
      <c r="M10" s="216" t="s">
        <v>17</v>
      </c>
      <c r="N10" s="216" t="s">
        <v>18</v>
      </c>
      <c r="O10" s="170"/>
    </row>
    <row r="11" spans="1:15" x14ac:dyDescent="0.25">
      <c r="A11" s="317">
        <v>10</v>
      </c>
      <c r="B11" s="340" t="s">
        <v>245</v>
      </c>
      <c r="C11" s="274" t="s">
        <v>517</v>
      </c>
      <c r="D11" s="316">
        <v>2.25</v>
      </c>
      <c r="E11" s="339">
        <f>J11*K11*L11</f>
        <v>1.3594653159787282</v>
      </c>
      <c r="F11" s="338" t="s">
        <v>144</v>
      </c>
      <c r="G11" s="338"/>
      <c r="H11" s="337"/>
      <c r="I11" s="272" t="s">
        <v>516</v>
      </c>
      <c r="J11" s="336">
        <f>0.105^2*PI()</f>
        <v>3.4636059005827467E-2</v>
      </c>
      <c r="K11" s="335">
        <v>5.0000000000000001E-3</v>
      </c>
      <c r="L11" s="334">
        <v>7850</v>
      </c>
      <c r="M11" s="333">
        <v>1</v>
      </c>
      <c r="N11" s="267">
        <f>IF(J11="",D11*M11,D11*J11*K11*L11*M11)</f>
        <v>3.0587969609521379</v>
      </c>
      <c r="O11" s="199"/>
    </row>
    <row r="12" spans="1:15" x14ac:dyDescent="0.25">
      <c r="A12" s="173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22" t="s">
        <v>18</v>
      </c>
      <c r="N12" s="106">
        <f>SUM(N11:N11)</f>
        <v>3.0587969609521379</v>
      </c>
      <c r="O12" s="170"/>
    </row>
    <row r="13" spans="1:15" x14ac:dyDescent="0.25">
      <c r="A13" s="177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70"/>
    </row>
    <row r="14" spans="1:15" x14ac:dyDescent="0.25">
      <c r="A14" s="245" t="s">
        <v>14</v>
      </c>
      <c r="B14" s="216" t="s">
        <v>31</v>
      </c>
      <c r="C14" s="216" t="s">
        <v>20</v>
      </c>
      <c r="D14" s="216" t="s">
        <v>21</v>
      </c>
      <c r="E14" s="216" t="s">
        <v>32</v>
      </c>
      <c r="F14" s="216" t="s">
        <v>17</v>
      </c>
      <c r="G14" s="216" t="s">
        <v>33</v>
      </c>
      <c r="H14" s="216" t="s">
        <v>34</v>
      </c>
      <c r="I14" s="216" t="s">
        <v>18</v>
      </c>
      <c r="J14" s="15"/>
      <c r="K14" s="15"/>
      <c r="L14" s="15"/>
      <c r="M14" s="15"/>
      <c r="N14" s="15"/>
      <c r="O14" s="170"/>
    </row>
    <row r="15" spans="1:15" x14ac:dyDescent="0.25">
      <c r="A15" s="317">
        <v>10</v>
      </c>
      <c r="B15" s="268" t="s">
        <v>45</v>
      </c>
      <c r="C15" s="268" t="s">
        <v>515</v>
      </c>
      <c r="D15" s="331">
        <v>1.3</v>
      </c>
      <c r="E15" s="237" t="s">
        <v>32</v>
      </c>
      <c r="F15" s="315">
        <v>1</v>
      </c>
      <c r="G15" s="241"/>
      <c r="H15" s="241"/>
      <c r="I15" s="267">
        <f>IF(H15="",D15*F15,D15*F15*H15)</f>
        <v>1.3</v>
      </c>
      <c r="J15" s="41"/>
      <c r="K15" s="41"/>
      <c r="L15" s="41"/>
      <c r="M15" s="41"/>
      <c r="N15" s="41"/>
      <c r="O15" s="170"/>
    </row>
    <row r="16" spans="1:15" x14ac:dyDescent="0.25">
      <c r="A16" s="317">
        <v>20</v>
      </c>
      <c r="B16" s="244" t="s">
        <v>514</v>
      </c>
      <c r="C16" s="268"/>
      <c r="D16" s="331">
        <v>0.5</v>
      </c>
      <c r="E16" s="237" t="s">
        <v>46</v>
      </c>
      <c r="F16" s="236">
        <f>44*0.5</f>
        <v>22</v>
      </c>
      <c r="G16" s="244" t="s">
        <v>513</v>
      </c>
      <c r="H16" s="269">
        <v>3</v>
      </c>
      <c r="I16" s="267">
        <f>IF(H16="",D16*F16,D16*F16*H16)</f>
        <v>33</v>
      </c>
      <c r="J16" s="41"/>
      <c r="K16" s="41"/>
      <c r="L16" s="41"/>
      <c r="M16" s="41"/>
      <c r="N16" s="41"/>
      <c r="O16" s="170"/>
    </row>
    <row r="17" spans="1:16" x14ac:dyDescent="0.25">
      <c r="A17" s="317">
        <v>30</v>
      </c>
      <c r="B17" s="268" t="s">
        <v>146</v>
      </c>
      <c r="C17" s="268" t="s">
        <v>512</v>
      </c>
      <c r="D17" s="331">
        <v>0.65</v>
      </c>
      <c r="E17" s="237" t="s">
        <v>32</v>
      </c>
      <c r="F17" s="315">
        <v>1</v>
      </c>
      <c r="G17" s="274"/>
      <c r="H17" s="330">
        <v>1</v>
      </c>
      <c r="I17" s="267">
        <f>IF(H17="",D17*F17,D17*F17*H17)</f>
        <v>0.65</v>
      </c>
      <c r="J17" s="41"/>
      <c r="K17" s="41"/>
      <c r="L17" s="41"/>
      <c r="M17" s="41"/>
      <c r="N17" s="41"/>
      <c r="O17" s="170"/>
    </row>
    <row r="18" spans="1:16" x14ac:dyDescent="0.25">
      <c r="A18" s="332">
        <v>40</v>
      </c>
      <c r="B18" s="268" t="s">
        <v>323</v>
      </c>
      <c r="C18" s="268" t="s">
        <v>511</v>
      </c>
      <c r="D18" s="331">
        <v>0.01</v>
      </c>
      <c r="E18" s="237" t="s">
        <v>46</v>
      </c>
      <c r="F18" s="319">
        <v>126.4491</v>
      </c>
      <c r="G18" s="274" t="s">
        <v>470</v>
      </c>
      <c r="H18" s="330">
        <v>3</v>
      </c>
      <c r="I18" s="267">
        <f>IF(H18="",D18*F18,D18*F18*H18)</f>
        <v>3.7934730000000001</v>
      </c>
      <c r="J18" s="41"/>
      <c r="K18" s="41"/>
      <c r="L18" s="41"/>
      <c r="M18" s="41"/>
      <c r="N18" s="41"/>
      <c r="O18" s="170"/>
    </row>
    <row r="19" spans="1:16" x14ac:dyDescent="0.25">
      <c r="A19" s="177"/>
      <c r="B19" s="15"/>
      <c r="C19" s="15"/>
      <c r="D19" s="15"/>
      <c r="E19" s="15"/>
      <c r="F19" s="15"/>
      <c r="G19" s="15"/>
      <c r="H19" s="109" t="s">
        <v>18</v>
      </c>
      <c r="I19" s="295">
        <f>SUM(I15:I18)</f>
        <v>38.743472999999994</v>
      </c>
      <c r="J19" s="41"/>
      <c r="K19" s="41"/>
      <c r="L19" s="41"/>
      <c r="M19" s="41"/>
      <c r="N19" s="41"/>
      <c r="O19" s="170"/>
    </row>
    <row r="20" spans="1:16" x14ac:dyDescent="0.25">
      <c r="A20" s="177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70"/>
      <c r="P20" s="41"/>
    </row>
    <row r="21" spans="1:16" x14ac:dyDescent="0.25">
      <c r="A21" s="177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70"/>
      <c r="P21" s="41"/>
    </row>
    <row r="22" spans="1:16" x14ac:dyDescent="0.25">
      <c r="A22" s="177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70"/>
      <c r="P22" s="41"/>
    </row>
    <row r="23" spans="1:16" x14ac:dyDescent="0.25">
      <c r="A23" s="177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70"/>
      <c r="P23" s="41"/>
    </row>
    <row r="24" spans="1:16" x14ac:dyDescent="0.25">
      <c r="A24" s="177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70"/>
      <c r="P24" s="41"/>
    </row>
    <row r="25" spans="1:16" ht="15.75" thickBot="1" x14ac:dyDescent="0.3">
      <c r="A25" s="169"/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7"/>
    </row>
    <row r="26" spans="1:16" x14ac:dyDescent="0.25">
      <c r="A26" s="41"/>
      <c r="B26" s="41"/>
      <c r="C26" s="41"/>
      <c r="D26" s="41"/>
      <c r="E26" s="41"/>
      <c r="F26" s="41"/>
      <c r="G26" s="41"/>
      <c r="H26" s="41"/>
      <c r="I26" s="41"/>
    </row>
  </sheetData>
  <hyperlinks>
    <hyperlink ref="B4" location="EN_A1100" display="Driveshaft" xr:uid="{72882053-F9F3-4562-A951-C8761541422D}"/>
  </hyperlinks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D904-2043-44D3-8F83-72DB2672760D}">
  <sheetPr>
    <tabColor theme="6" tint="0.39997558519241921"/>
  </sheetPr>
  <dimension ref="A1:O24"/>
  <sheetViews>
    <sheetView workbookViewId="0">
      <selection activeCell="I21" sqref="I21"/>
    </sheetView>
  </sheetViews>
  <sheetFormatPr baseColWidth="10" defaultRowHeight="15" x14ac:dyDescent="0.25"/>
  <sheetData>
    <row r="1" spans="1:15" x14ac:dyDescent="0.25">
      <c r="A1" s="210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8"/>
    </row>
    <row r="2" spans="1:15" x14ac:dyDescent="0.25">
      <c r="A2" s="261" t="s">
        <v>0</v>
      </c>
      <c r="B2" s="262" t="s">
        <v>44</v>
      </c>
      <c r="C2" s="41"/>
      <c r="D2" s="41"/>
      <c r="E2" s="41"/>
      <c r="F2" s="41"/>
      <c r="G2" s="41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EN_1100_003_m+EN_1100_003_p</f>
        <v>29.160865459581132</v>
      </c>
      <c r="O2" s="170"/>
    </row>
    <row r="3" spans="1:15" x14ac:dyDescent="0.25">
      <c r="A3" s="266" t="s">
        <v>3</v>
      </c>
      <c r="B3" s="262" t="s">
        <v>372</v>
      </c>
      <c r="C3" s="41"/>
      <c r="D3" s="310" t="s">
        <v>6</v>
      </c>
      <c r="E3" s="41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170"/>
    </row>
    <row r="4" spans="1:15" x14ac:dyDescent="0.25">
      <c r="A4" s="245" t="s">
        <v>5</v>
      </c>
      <c r="B4" s="310" t="s">
        <v>510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170"/>
    </row>
    <row r="5" spans="1:15" x14ac:dyDescent="0.25">
      <c r="A5" s="245" t="s">
        <v>15</v>
      </c>
      <c r="B5" s="311" t="s">
        <v>506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29.160865459581132</v>
      </c>
      <c r="O5" s="170"/>
    </row>
    <row r="6" spans="1:15" x14ac:dyDescent="0.25">
      <c r="A6" s="245" t="s">
        <v>7</v>
      </c>
      <c r="B6" s="264" t="s">
        <v>526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170"/>
    </row>
    <row r="7" spans="1:15" x14ac:dyDescent="0.25">
      <c r="A7" s="263" t="s">
        <v>10</v>
      </c>
      <c r="B7" s="262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70"/>
    </row>
    <row r="8" spans="1:15" x14ac:dyDescent="0.25">
      <c r="A8" s="261" t="s">
        <v>13</v>
      </c>
      <c r="B8" s="18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70"/>
    </row>
    <row r="9" spans="1:15" x14ac:dyDescent="0.25">
      <c r="A9" s="260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70"/>
    </row>
    <row r="10" spans="1:15" x14ac:dyDescent="0.25">
      <c r="A10" s="259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216" t="s">
        <v>23</v>
      </c>
      <c r="G10" s="216" t="s">
        <v>24</v>
      </c>
      <c r="H10" s="216" t="s">
        <v>25</v>
      </c>
      <c r="I10" s="216" t="s">
        <v>26</v>
      </c>
      <c r="J10" s="216" t="s">
        <v>27</v>
      </c>
      <c r="K10" s="216" t="s">
        <v>28</v>
      </c>
      <c r="L10" s="216" t="s">
        <v>29</v>
      </c>
      <c r="M10" s="216" t="s">
        <v>17</v>
      </c>
      <c r="N10" s="216" t="s">
        <v>18</v>
      </c>
      <c r="O10" s="170"/>
    </row>
    <row r="11" spans="1:15" ht="30" x14ac:dyDescent="0.25">
      <c r="A11" s="314">
        <v>10</v>
      </c>
      <c r="B11" s="340" t="s">
        <v>393</v>
      </c>
      <c r="C11" s="274" t="s">
        <v>525</v>
      </c>
      <c r="D11" s="316">
        <v>4.2</v>
      </c>
      <c r="E11" s="273">
        <f>J11*K11*L11</f>
        <v>2.0761108237097923</v>
      </c>
      <c r="F11" s="240" t="s">
        <v>144</v>
      </c>
      <c r="G11" s="240"/>
      <c r="H11" s="195"/>
      <c r="I11" s="345" t="s">
        <v>524</v>
      </c>
      <c r="J11" s="344">
        <f>PI()*0.19^2/4</f>
        <v>2.8352873698647883E-2</v>
      </c>
      <c r="K11" s="343">
        <v>2.7E-2</v>
      </c>
      <c r="L11" s="342">
        <v>2712</v>
      </c>
      <c r="M11" s="342">
        <v>1</v>
      </c>
      <c r="N11" s="267">
        <f>IF(J11="",D11*M11,D11*J11*K11*L11*M11)</f>
        <v>8.7196654595811296</v>
      </c>
      <c r="O11" s="199"/>
    </row>
    <row r="12" spans="1:15" x14ac:dyDescent="0.25">
      <c r="A12" s="173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22" t="s">
        <v>18</v>
      </c>
      <c r="N12" s="106">
        <f>SUM(N11:N11)</f>
        <v>8.7196654595811296</v>
      </c>
      <c r="O12" s="170"/>
    </row>
    <row r="13" spans="1:15" x14ac:dyDescent="0.25">
      <c r="A13" s="177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70"/>
    </row>
    <row r="14" spans="1:15" x14ac:dyDescent="0.25">
      <c r="A14" s="245" t="s">
        <v>14</v>
      </c>
      <c r="B14" s="216" t="s">
        <v>31</v>
      </c>
      <c r="C14" s="216" t="s">
        <v>20</v>
      </c>
      <c r="D14" s="216" t="s">
        <v>21</v>
      </c>
      <c r="E14" s="216" t="s">
        <v>32</v>
      </c>
      <c r="F14" s="216" t="s">
        <v>17</v>
      </c>
      <c r="G14" s="216" t="s">
        <v>33</v>
      </c>
      <c r="H14" s="216" t="s">
        <v>34</v>
      </c>
      <c r="I14" s="216" t="s">
        <v>18</v>
      </c>
      <c r="J14" s="15"/>
      <c r="K14" s="15"/>
      <c r="L14" s="15"/>
      <c r="M14" s="15"/>
      <c r="N14" s="15"/>
      <c r="O14" s="170"/>
    </row>
    <row r="15" spans="1:15" ht="90" x14ac:dyDescent="0.25">
      <c r="A15" s="235">
        <v>10</v>
      </c>
      <c r="B15" s="268" t="s">
        <v>45</v>
      </c>
      <c r="C15" s="268" t="s">
        <v>523</v>
      </c>
      <c r="D15" s="316">
        <v>1.3</v>
      </c>
      <c r="E15" s="274" t="s">
        <v>32</v>
      </c>
      <c r="F15" s="341">
        <v>1</v>
      </c>
      <c r="G15" s="235"/>
      <c r="H15" s="235"/>
      <c r="I15" s="267">
        <f>IF(H15="",D15*F15,D15*F15*H15)</f>
        <v>1.3</v>
      </c>
      <c r="J15" s="41"/>
      <c r="K15" s="41"/>
      <c r="L15" s="41"/>
      <c r="M15" s="41"/>
      <c r="N15" s="41"/>
      <c r="O15" s="170"/>
    </row>
    <row r="16" spans="1:15" ht="30" x14ac:dyDescent="0.25">
      <c r="A16" s="235">
        <v>20</v>
      </c>
      <c r="B16" s="268" t="s">
        <v>145</v>
      </c>
      <c r="C16" s="268" t="s">
        <v>522</v>
      </c>
      <c r="D16" s="316">
        <v>0.04</v>
      </c>
      <c r="E16" s="274" t="s">
        <v>147</v>
      </c>
      <c r="F16" s="341">
        <v>444.78</v>
      </c>
      <c r="G16" s="235"/>
      <c r="H16" s="235"/>
      <c r="I16" s="267">
        <f>IF(H16="",D16*F16,D16*F16*H16)</f>
        <v>17.7912</v>
      </c>
      <c r="J16" s="41"/>
      <c r="K16" s="41"/>
      <c r="L16" s="41"/>
      <c r="M16" s="41"/>
      <c r="N16" s="41"/>
      <c r="O16" s="170"/>
    </row>
    <row r="17" spans="1:15" ht="30" x14ac:dyDescent="0.25">
      <c r="A17" s="235">
        <v>30</v>
      </c>
      <c r="B17" s="268" t="s">
        <v>521</v>
      </c>
      <c r="C17" s="268" t="s">
        <v>520</v>
      </c>
      <c r="D17" s="316">
        <v>0.5</v>
      </c>
      <c r="E17" s="274" t="s">
        <v>46</v>
      </c>
      <c r="F17" s="341">
        <v>2.7</v>
      </c>
      <c r="G17" s="235"/>
      <c r="H17" s="235"/>
      <c r="I17" s="267">
        <f>IF(H17="",D17*F17,D17*F17*H17)</f>
        <v>1.35</v>
      </c>
      <c r="J17" s="41"/>
      <c r="K17" s="41"/>
      <c r="L17" s="41"/>
      <c r="M17" s="41"/>
      <c r="N17" s="41"/>
      <c r="O17" s="170"/>
    </row>
    <row r="18" spans="1:15" x14ac:dyDescent="0.25">
      <c r="A18" s="177"/>
      <c r="B18" s="15"/>
      <c r="C18" s="15"/>
      <c r="D18" s="15"/>
      <c r="E18" s="15"/>
      <c r="F18" s="15"/>
      <c r="G18" s="15"/>
      <c r="H18" s="109" t="s">
        <v>18</v>
      </c>
      <c r="I18" s="295">
        <f>SUM(I15:I17)</f>
        <v>20.441200000000002</v>
      </c>
      <c r="J18" s="41"/>
      <c r="K18" s="41"/>
      <c r="L18" s="41"/>
      <c r="M18" s="41"/>
      <c r="N18" s="41"/>
      <c r="O18" s="170"/>
    </row>
    <row r="19" spans="1:15" x14ac:dyDescent="0.25">
      <c r="A19" s="177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70"/>
    </row>
    <row r="20" spans="1:15" x14ac:dyDescent="0.25">
      <c r="A20" s="177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70"/>
    </row>
    <row r="21" spans="1:15" x14ac:dyDescent="0.25">
      <c r="A21" s="177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70"/>
    </row>
    <row r="22" spans="1:15" x14ac:dyDescent="0.25">
      <c r="A22" s="177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70"/>
    </row>
    <row r="23" spans="1:15" x14ac:dyDescent="0.25">
      <c r="A23" s="177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70"/>
    </row>
    <row r="24" spans="1:15" ht="15.75" thickBot="1" x14ac:dyDescent="0.3">
      <c r="A24" s="169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7"/>
    </row>
  </sheetData>
  <hyperlinks>
    <hyperlink ref="B4" location="EN_A1100" display="Driveshaft" xr:uid="{8E8FEA7D-438F-4230-A32B-9D1285104007}"/>
    <hyperlink ref="D3" location="'EN_1100_003 Drawing'!A1" display="FileLink1" xr:uid="{8A494E03-AE7D-454C-BC1B-F5C1BFBA9858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9A68-4670-438E-8B11-8E3FD8496ECF}">
  <sheetPr>
    <tabColor theme="6" tint="0.39997558519241921"/>
  </sheetPr>
  <dimension ref="A1:B1"/>
  <sheetViews>
    <sheetView workbookViewId="0"/>
  </sheetViews>
  <sheetFormatPr baseColWidth="10" defaultRowHeight="15" x14ac:dyDescent="0.25"/>
  <cols>
    <col min="1" max="1" width="13.5703125" customWidth="1"/>
  </cols>
  <sheetData>
    <row r="1" spans="1:2" x14ac:dyDescent="0.25">
      <c r="A1" s="70" t="s">
        <v>91</v>
      </c>
      <c r="B1" s="70" t="str">
        <f>EN_02002</f>
        <v>EN 02002</v>
      </c>
    </row>
  </sheetData>
  <hyperlinks>
    <hyperlink ref="A1:B1" location="EN_02002" display="Drawing part :" xr:uid="{B9D23241-DB3F-4F43-9C21-024D63C415C7}"/>
  </hyperlinks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8CF0-86B0-491D-A393-2E0759BC0995}">
  <sheetPr>
    <tabColor theme="6" tint="0.39997558519241921"/>
  </sheetPr>
  <dimension ref="A1"/>
  <sheetViews>
    <sheetView workbookViewId="0">
      <selection activeCell="I21" sqref="I21"/>
    </sheetView>
  </sheetViews>
  <sheetFormatPr baseColWidth="10" defaultRowHeight="15" x14ac:dyDescent="0.25"/>
  <sheetData>
    <row r="1" spans="1:1" x14ac:dyDescent="0.25">
      <c r="A1" s="289" t="s">
        <v>526</v>
      </c>
    </row>
  </sheetData>
  <hyperlinks>
    <hyperlink ref="A1" location="EN_1100_003" display="EN_1100_003" xr:uid="{BB8F04E1-D925-49FE-A39B-C1A80C6BFA68}"/>
  </hyperlinks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6EA3-88D2-4F23-928F-232901470A7A}">
  <sheetPr>
    <tabColor theme="6" tint="0.39997558519241921"/>
  </sheetPr>
  <dimension ref="A1:O24"/>
  <sheetViews>
    <sheetView workbookViewId="0">
      <selection activeCell="I21" sqref="I21"/>
    </sheetView>
  </sheetViews>
  <sheetFormatPr baseColWidth="10" defaultRowHeight="15" x14ac:dyDescent="0.25"/>
  <cols>
    <col min="2" max="2" width="33.7109375" bestFit="1" customWidth="1"/>
    <col min="3" max="3" width="45.28515625" bestFit="1" customWidth="1"/>
    <col min="7" max="7" width="13.7109375" bestFit="1" customWidth="1"/>
    <col min="9" max="9" width="28.28515625" bestFit="1" customWidth="1"/>
  </cols>
  <sheetData>
    <row r="1" spans="1:15" x14ac:dyDescent="0.25">
      <c r="A1" s="210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8"/>
    </row>
    <row r="2" spans="1:15" x14ac:dyDescent="0.25">
      <c r="A2" s="261" t="s">
        <v>0</v>
      </c>
      <c r="B2" s="262" t="s">
        <v>44</v>
      </c>
      <c r="C2" s="41"/>
      <c r="D2" s="41"/>
      <c r="E2" s="41"/>
      <c r="F2" s="41"/>
      <c r="G2" s="41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EN_1100_004_m+EN_1100_004_p</f>
        <v>9.0978820921659498</v>
      </c>
      <c r="O2" s="170"/>
    </row>
    <row r="3" spans="1:15" x14ac:dyDescent="0.25">
      <c r="A3" s="266" t="s">
        <v>3</v>
      </c>
      <c r="B3" s="262" t="s">
        <v>372</v>
      </c>
      <c r="C3" s="41"/>
      <c r="D3" s="311" t="s">
        <v>6</v>
      </c>
      <c r="E3" s="41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170"/>
    </row>
    <row r="4" spans="1:15" x14ac:dyDescent="0.25">
      <c r="A4" s="245" t="s">
        <v>5</v>
      </c>
      <c r="B4" s="310" t="s">
        <v>510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170"/>
    </row>
    <row r="5" spans="1:15" x14ac:dyDescent="0.25">
      <c r="A5" s="245" t="s">
        <v>15</v>
      </c>
      <c r="B5" s="311" t="s">
        <v>505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9.0978820921659498</v>
      </c>
      <c r="O5" s="170"/>
    </row>
    <row r="6" spans="1:15" x14ac:dyDescent="0.25">
      <c r="A6" s="245" t="s">
        <v>7</v>
      </c>
      <c r="B6" s="264" t="s">
        <v>532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170"/>
    </row>
    <row r="7" spans="1:15" x14ac:dyDescent="0.25">
      <c r="A7" s="263" t="s">
        <v>10</v>
      </c>
      <c r="B7" s="262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70"/>
    </row>
    <row r="8" spans="1:15" x14ac:dyDescent="0.25">
      <c r="A8" s="261" t="s">
        <v>13</v>
      </c>
      <c r="B8" s="18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70"/>
    </row>
    <row r="9" spans="1:15" x14ac:dyDescent="0.25">
      <c r="A9" s="260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70"/>
    </row>
    <row r="10" spans="1:15" x14ac:dyDescent="0.25">
      <c r="A10" s="259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216" t="s">
        <v>23</v>
      </c>
      <c r="G10" s="216" t="s">
        <v>24</v>
      </c>
      <c r="H10" s="216" t="s">
        <v>25</v>
      </c>
      <c r="I10" s="216" t="s">
        <v>26</v>
      </c>
      <c r="J10" s="216" t="s">
        <v>27</v>
      </c>
      <c r="K10" s="216" t="s">
        <v>28</v>
      </c>
      <c r="L10" s="216" t="s">
        <v>29</v>
      </c>
      <c r="M10" s="216" t="s">
        <v>17</v>
      </c>
      <c r="N10" s="216" t="s">
        <v>18</v>
      </c>
      <c r="O10" s="170"/>
    </row>
    <row r="11" spans="1:15" x14ac:dyDescent="0.25">
      <c r="A11" s="314">
        <v>10</v>
      </c>
      <c r="B11" s="340" t="s">
        <v>245</v>
      </c>
      <c r="C11" s="274" t="s">
        <v>531</v>
      </c>
      <c r="D11" s="316">
        <v>2.25</v>
      </c>
      <c r="E11" s="348">
        <f>J11*K11*L11</f>
        <v>1.4725155965181997</v>
      </c>
      <c r="F11" s="240" t="s">
        <v>144</v>
      </c>
      <c r="G11" s="240"/>
      <c r="H11" s="195"/>
      <c r="I11" s="347" t="s">
        <v>530</v>
      </c>
      <c r="J11" s="194">
        <f>100.841*930.086/1000000</f>
        <v>9.3790802325999983E-2</v>
      </c>
      <c r="K11" s="270">
        <f>2/1000</f>
        <v>2E-3</v>
      </c>
      <c r="L11" s="193">
        <v>7850</v>
      </c>
      <c r="M11" s="346">
        <v>1</v>
      </c>
      <c r="N11" s="267">
        <f>IF(J11="",D11*M11,D11*J11*K11*L11*M11)</f>
        <v>3.3131600921659494</v>
      </c>
      <c r="O11" s="199"/>
    </row>
    <row r="12" spans="1:15" x14ac:dyDescent="0.25">
      <c r="A12" s="173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22" t="s">
        <v>18</v>
      </c>
      <c r="N12" s="106">
        <f>SUM(N11:N11)</f>
        <v>3.3131600921659494</v>
      </c>
      <c r="O12" s="170"/>
    </row>
    <row r="13" spans="1:15" x14ac:dyDescent="0.25">
      <c r="A13" s="177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70"/>
    </row>
    <row r="14" spans="1:15" x14ac:dyDescent="0.25">
      <c r="A14" s="245" t="s">
        <v>14</v>
      </c>
      <c r="B14" s="216" t="s">
        <v>31</v>
      </c>
      <c r="C14" s="216" t="s">
        <v>20</v>
      </c>
      <c r="D14" s="216" t="s">
        <v>21</v>
      </c>
      <c r="E14" s="216" t="s">
        <v>32</v>
      </c>
      <c r="F14" s="216" t="s">
        <v>17</v>
      </c>
      <c r="G14" s="216" t="s">
        <v>33</v>
      </c>
      <c r="H14" s="216" t="s">
        <v>34</v>
      </c>
      <c r="I14" s="216" t="s">
        <v>18</v>
      </c>
      <c r="J14" s="15"/>
      <c r="K14" s="15"/>
      <c r="L14" s="15"/>
      <c r="M14" s="15"/>
      <c r="N14" s="15"/>
      <c r="O14" s="170"/>
    </row>
    <row r="15" spans="1:15" x14ac:dyDescent="0.25">
      <c r="A15" s="314">
        <v>10</v>
      </c>
      <c r="B15" s="268" t="s">
        <v>45</v>
      </c>
      <c r="C15" s="268" t="s">
        <v>529</v>
      </c>
      <c r="D15" s="316">
        <v>1.3</v>
      </c>
      <c r="E15" s="237" t="s">
        <v>32</v>
      </c>
      <c r="F15" s="315">
        <v>1</v>
      </c>
      <c r="G15" s="241"/>
      <c r="H15" s="241"/>
      <c r="I15" s="267">
        <f>IF(H15="",D15*F15,D15*F15*H15)</f>
        <v>1.3</v>
      </c>
      <c r="J15" s="41"/>
      <c r="K15" s="41"/>
      <c r="L15" s="41"/>
      <c r="M15" s="41"/>
      <c r="N15" s="41"/>
      <c r="O15" s="170"/>
    </row>
    <row r="16" spans="1:15" x14ac:dyDescent="0.25">
      <c r="A16" s="314">
        <v>20</v>
      </c>
      <c r="B16" s="268" t="s">
        <v>149</v>
      </c>
      <c r="C16" s="268" t="s">
        <v>528</v>
      </c>
      <c r="D16" s="316">
        <v>0.01</v>
      </c>
      <c r="E16" s="237" t="s">
        <v>46</v>
      </c>
      <c r="F16" s="315">
        <f>(11+7.541*2+13*2+31.416+19+533.083+63.5+7.541*2+27.3*2+31.416+138.488+110.764+14.251+18.85*2+60.192)/10</f>
        <v>116.15740000000001</v>
      </c>
      <c r="G16" s="274" t="s">
        <v>470</v>
      </c>
      <c r="H16" s="341">
        <v>3</v>
      </c>
      <c r="I16" s="267">
        <f>IF(H16="",D16*F16,D16*F16*H16)</f>
        <v>3.4847220000000005</v>
      </c>
      <c r="J16" s="41"/>
      <c r="K16" s="41"/>
      <c r="L16" s="41"/>
      <c r="M16" s="41"/>
      <c r="N16" s="41"/>
      <c r="O16" s="170"/>
    </row>
    <row r="17" spans="1:15" x14ac:dyDescent="0.25">
      <c r="A17" s="314">
        <v>30</v>
      </c>
      <c r="B17" s="268" t="s">
        <v>152</v>
      </c>
      <c r="C17" s="268" t="s">
        <v>527</v>
      </c>
      <c r="D17" s="316">
        <v>0.25</v>
      </c>
      <c r="E17" s="237" t="s">
        <v>150</v>
      </c>
      <c r="F17" s="315">
        <v>4</v>
      </c>
      <c r="G17" s="241"/>
      <c r="H17" s="241"/>
      <c r="I17" s="267">
        <f>IF(H17="",D17*F17,D17*F17*H17)</f>
        <v>1</v>
      </c>
      <c r="J17" s="41"/>
      <c r="K17" s="41"/>
      <c r="L17" s="41"/>
      <c r="M17" s="41"/>
      <c r="N17" s="41"/>
      <c r="O17" s="170"/>
    </row>
    <row r="18" spans="1:15" x14ac:dyDescent="0.25">
      <c r="A18" s="177"/>
      <c r="B18" s="15"/>
      <c r="C18" s="15"/>
      <c r="D18" s="15"/>
      <c r="E18" s="15"/>
      <c r="F18" s="15"/>
      <c r="G18" s="15"/>
      <c r="H18" s="109" t="s">
        <v>18</v>
      </c>
      <c r="I18" s="295">
        <f>SUM(I15:I17)</f>
        <v>5.7847220000000004</v>
      </c>
      <c r="J18" s="41"/>
      <c r="K18" s="41"/>
      <c r="L18" s="41"/>
      <c r="M18" s="41"/>
      <c r="N18" s="41"/>
      <c r="O18" s="170"/>
    </row>
    <row r="19" spans="1:15" x14ac:dyDescent="0.25">
      <c r="A19" s="177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70"/>
    </row>
    <row r="20" spans="1:15" x14ac:dyDescent="0.25">
      <c r="A20" s="177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70"/>
    </row>
    <row r="21" spans="1:15" x14ac:dyDescent="0.25">
      <c r="A21" s="177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70"/>
    </row>
    <row r="22" spans="1:15" x14ac:dyDescent="0.25">
      <c r="A22" s="177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70"/>
    </row>
    <row r="23" spans="1:15" x14ac:dyDescent="0.25">
      <c r="A23" s="177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70"/>
    </row>
    <row r="24" spans="1:15" ht="15.75" thickBot="1" x14ac:dyDescent="0.3">
      <c r="A24" s="169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7"/>
    </row>
  </sheetData>
  <hyperlinks>
    <hyperlink ref="B4" location="EN_A1100" display="Driveshaft" xr:uid="{2DE3E143-0FE8-49BE-91D6-67CEA81AD226}"/>
  </hyperlinks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0261-D5C3-4A0C-9DDD-ED79A420AFC2}">
  <sheetPr>
    <tabColor theme="6" tint="0.39997558519241921"/>
  </sheetPr>
  <dimension ref="A1"/>
  <sheetViews>
    <sheetView workbookViewId="0">
      <selection activeCell="I21" sqref="I21"/>
    </sheetView>
  </sheetViews>
  <sheetFormatPr baseColWidth="10" defaultRowHeight="15" x14ac:dyDescent="0.25"/>
  <sheetData>
    <row r="1" spans="1:1" x14ac:dyDescent="0.25">
      <c r="A1" s="70" t="s">
        <v>532</v>
      </c>
    </row>
  </sheetData>
  <hyperlinks>
    <hyperlink ref="A1" location="EN_1100_004" display="EN_1100_004" xr:uid="{557BA407-7ABB-4CFE-84CF-3B7E140F3DC9}"/>
  </hyperlinks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C9D87-78A3-4D2E-8E47-0E24981767E8}">
  <sheetPr>
    <tabColor theme="6" tint="0.39997558519241921"/>
  </sheetPr>
  <dimension ref="A1:Q23"/>
  <sheetViews>
    <sheetView zoomScale="85" zoomScaleNormal="85" workbookViewId="0">
      <selection activeCell="I21" sqref="I21"/>
    </sheetView>
  </sheetViews>
  <sheetFormatPr baseColWidth="10" defaultRowHeight="15" x14ac:dyDescent="0.25"/>
  <cols>
    <col min="2" max="2" width="35.42578125" bestFit="1" customWidth="1"/>
    <col min="3" max="3" width="33.140625" bestFit="1" customWidth="1"/>
    <col min="7" max="7" width="12" bestFit="1" customWidth="1"/>
    <col min="9" max="9" width="28" bestFit="1" customWidth="1"/>
  </cols>
  <sheetData>
    <row r="1" spans="1:17" x14ac:dyDescent="0.25">
      <c r="A1" s="210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8"/>
    </row>
    <row r="2" spans="1:17" x14ac:dyDescent="0.25">
      <c r="A2" s="261" t="s">
        <v>0</v>
      </c>
      <c r="B2" s="262" t="s">
        <v>44</v>
      </c>
      <c r="C2" s="41"/>
      <c r="D2" s="41"/>
      <c r="E2" s="41"/>
      <c r="F2" s="41"/>
      <c r="G2" s="41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EN_1100_005_m+EN_1100_005_p</f>
        <v>1.7144014375000001</v>
      </c>
      <c r="O2" s="170"/>
    </row>
    <row r="3" spans="1:17" x14ac:dyDescent="0.25">
      <c r="A3" s="266" t="s">
        <v>3</v>
      </c>
      <c r="B3" s="262" t="s">
        <v>372</v>
      </c>
      <c r="C3" s="41"/>
      <c r="D3" s="310" t="s">
        <v>6</v>
      </c>
      <c r="E3" s="41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170"/>
    </row>
    <row r="4" spans="1:17" x14ac:dyDescent="0.25">
      <c r="A4" s="349" t="s">
        <v>5</v>
      </c>
      <c r="B4" s="310" t="s">
        <v>510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170"/>
    </row>
    <row r="5" spans="1:17" x14ac:dyDescent="0.25">
      <c r="A5" s="349" t="s">
        <v>15</v>
      </c>
      <c r="B5" s="311" t="s">
        <v>504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1.7144014375000001</v>
      </c>
      <c r="O5" s="170"/>
    </row>
    <row r="6" spans="1:17" x14ac:dyDescent="0.25">
      <c r="A6" s="349" t="s">
        <v>7</v>
      </c>
      <c r="B6" s="264" t="s">
        <v>534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170"/>
    </row>
    <row r="7" spans="1:17" x14ac:dyDescent="0.25">
      <c r="A7" s="263" t="s">
        <v>10</v>
      </c>
      <c r="B7" s="262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70"/>
    </row>
    <row r="8" spans="1:17" x14ac:dyDescent="0.25">
      <c r="A8" s="261" t="s">
        <v>13</v>
      </c>
      <c r="B8" s="18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70"/>
    </row>
    <row r="9" spans="1:17" x14ac:dyDescent="0.25">
      <c r="A9" s="260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70"/>
    </row>
    <row r="10" spans="1:17" x14ac:dyDescent="0.25">
      <c r="A10" s="259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216" t="s">
        <v>23</v>
      </c>
      <c r="G10" s="216" t="s">
        <v>24</v>
      </c>
      <c r="H10" s="216" t="s">
        <v>25</v>
      </c>
      <c r="I10" s="216" t="s">
        <v>26</v>
      </c>
      <c r="J10" s="216" t="s">
        <v>27</v>
      </c>
      <c r="K10" s="216" t="s">
        <v>28</v>
      </c>
      <c r="L10" s="216" t="s">
        <v>29</v>
      </c>
      <c r="M10" s="216" t="s">
        <v>17</v>
      </c>
      <c r="N10" s="216" t="s">
        <v>18</v>
      </c>
      <c r="O10" s="170"/>
    </row>
    <row r="11" spans="1:17" x14ac:dyDescent="0.25">
      <c r="A11" s="239">
        <v>10</v>
      </c>
      <c r="B11" s="198" t="s">
        <v>245</v>
      </c>
      <c r="C11" s="213" t="s">
        <v>418</v>
      </c>
      <c r="D11" s="220">
        <v>2.25</v>
      </c>
      <c r="E11" s="229">
        <f>J11*K11*L11</f>
        <v>1.8015750000000001E-2</v>
      </c>
      <c r="F11" s="219" t="s">
        <v>144</v>
      </c>
      <c r="G11" s="219"/>
      <c r="H11" s="227"/>
      <c r="I11" s="228" t="s">
        <v>533</v>
      </c>
      <c r="J11" s="228">
        <f>30.6*25/1000000</f>
        <v>7.6499999999999995E-4</v>
      </c>
      <c r="K11" s="224">
        <f>3/1000</f>
        <v>3.0000000000000001E-3</v>
      </c>
      <c r="L11" s="223">
        <v>7850</v>
      </c>
      <c r="M11" s="223">
        <v>1</v>
      </c>
      <c r="N11" s="220">
        <f>M11*L11*J11*K11*D11</f>
        <v>4.0535437499999993E-2</v>
      </c>
      <c r="O11" s="199"/>
    </row>
    <row r="12" spans="1:17" x14ac:dyDescent="0.25">
      <c r="A12" s="173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22" t="s">
        <v>18</v>
      </c>
      <c r="N12" s="106">
        <f>SUM(N11:N11)</f>
        <v>4.0535437499999993E-2</v>
      </c>
      <c r="O12" s="170"/>
    </row>
    <row r="13" spans="1:17" x14ac:dyDescent="0.25">
      <c r="A13" s="177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70"/>
    </row>
    <row r="14" spans="1:17" x14ac:dyDescent="0.25">
      <c r="A14" s="245" t="s">
        <v>14</v>
      </c>
      <c r="B14" s="216" t="s">
        <v>31</v>
      </c>
      <c r="C14" s="216" t="s">
        <v>20</v>
      </c>
      <c r="D14" s="216" t="s">
        <v>21</v>
      </c>
      <c r="E14" s="216" t="s">
        <v>32</v>
      </c>
      <c r="F14" s="216" t="s">
        <v>17</v>
      </c>
      <c r="G14" s="216" t="s">
        <v>33</v>
      </c>
      <c r="H14" s="216" t="s">
        <v>34</v>
      </c>
      <c r="I14" s="216" t="s">
        <v>18</v>
      </c>
      <c r="J14" s="15"/>
      <c r="K14" s="15"/>
      <c r="L14" s="15"/>
      <c r="M14" s="15"/>
      <c r="N14" s="15"/>
      <c r="O14" s="170"/>
    </row>
    <row r="15" spans="1:17" x14ac:dyDescent="0.25">
      <c r="A15" s="258">
        <v>10</v>
      </c>
      <c r="B15" s="280" t="s">
        <v>45</v>
      </c>
      <c r="C15" s="243" t="s">
        <v>398</v>
      </c>
      <c r="D15" s="279">
        <v>1.3</v>
      </c>
      <c r="E15" s="240" t="s">
        <v>32</v>
      </c>
      <c r="F15" s="240">
        <v>1</v>
      </c>
      <c r="G15" s="274"/>
      <c r="H15" s="243"/>
      <c r="I15" s="220">
        <f>IF(H15="",D15*F15,D15*F15*H15)</f>
        <v>1.3</v>
      </c>
      <c r="J15" s="43"/>
      <c r="K15" s="43"/>
      <c r="L15" s="43"/>
      <c r="M15" s="43"/>
      <c r="N15" s="43"/>
      <c r="O15" s="170"/>
      <c r="Q15" s="111"/>
    </row>
    <row r="16" spans="1:17" x14ac:dyDescent="0.25">
      <c r="A16" s="276">
        <v>20</v>
      </c>
      <c r="B16" s="243" t="s">
        <v>149</v>
      </c>
      <c r="C16" s="268" t="s">
        <v>415</v>
      </c>
      <c r="D16" s="279">
        <v>0.01</v>
      </c>
      <c r="E16" s="240" t="s">
        <v>46</v>
      </c>
      <c r="F16" s="240">
        <f>124.622/10</f>
        <v>12.462199999999999</v>
      </c>
      <c r="G16" s="240" t="s">
        <v>414</v>
      </c>
      <c r="H16" s="240">
        <v>3</v>
      </c>
      <c r="I16" s="220">
        <f>IF(H16="",D16*F16,D16*F16*H16)</f>
        <v>0.37386599999999998</v>
      </c>
      <c r="J16" s="43"/>
      <c r="K16" s="43"/>
      <c r="L16" s="43"/>
      <c r="M16" s="43"/>
      <c r="N16" s="43"/>
      <c r="O16" s="170"/>
    </row>
    <row r="17" spans="1:15" x14ac:dyDescent="0.25">
      <c r="A17" s="173"/>
      <c r="B17" s="15"/>
      <c r="C17" s="15"/>
      <c r="D17" s="15"/>
      <c r="E17" s="15"/>
      <c r="F17" s="15"/>
      <c r="G17" s="15"/>
      <c r="H17" s="109" t="s">
        <v>18</v>
      </c>
      <c r="I17" s="106">
        <f>SUM(I15:I16)</f>
        <v>1.6738660000000001</v>
      </c>
      <c r="J17" s="15"/>
      <c r="K17" s="15"/>
      <c r="L17" s="15"/>
      <c r="M17" s="15"/>
      <c r="N17" s="15"/>
      <c r="O17" s="170"/>
    </row>
    <row r="18" spans="1:15" x14ac:dyDescent="0.25">
      <c r="A18" s="177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70"/>
    </row>
    <row r="19" spans="1:15" x14ac:dyDescent="0.25">
      <c r="A19" s="177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70"/>
    </row>
    <row r="20" spans="1:15" x14ac:dyDescent="0.25">
      <c r="A20" s="177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70"/>
    </row>
    <row r="21" spans="1:15" x14ac:dyDescent="0.25">
      <c r="A21" s="177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70"/>
    </row>
    <row r="22" spans="1:15" x14ac:dyDescent="0.25">
      <c r="A22" s="177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70"/>
    </row>
    <row r="23" spans="1:15" ht="15.75" thickBot="1" x14ac:dyDescent="0.3">
      <c r="A23" s="169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7"/>
    </row>
  </sheetData>
  <hyperlinks>
    <hyperlink ref="B4" location="EN_A1100" display="Driveshaft" xr:uid="{EF4C806F-12A5-4C08-A281-25FE1E3EFA25}"/>
    <hyperlink ref="D3" location="'EN_1100_005 Drawing'!A1" display="FileLink1" xr:uid="{62D14DB8-5112-40A5-92B2-BFF897B9F0A2}"/>
  </hyperlinks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9A7DE-F0FC-433B-BA34-728632E24064}">
  <sheetPr>
    <tabColor theme="6" tint="0.39997558519241921"/>
  </sheetPr>
  <dimension ref="A1"/>
  <sheetViews>
    <sheetView workbookViewId="0">
      <selection activeCell="I21" sqref="I21"/>
    </sheetView>
  </sheetViews>
  <sheetFormatPr baseColWidth="10" defaultRowHeight="15" x14ac:dyDescent="0.25"/>
  <sheetData>
    <row r="1" spans="1:1" x14ac:dyDescent="0.25">
      <c r="A1" s="70" t="s">
        <v>534</v>
      </c>
    </row>
  </sheetData>
  <hyperlinks>
    <hyperlink ref="A1" location="EN_1100_005" display="EN_1100_005" xr:uid="{74E82E69-440C-45D7-8F9E-9D7551F2EC58}"/>
  </hyperlinks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C40E-5745-488A-803F-60276D0D558E}">
  <sheetPr>
    <tabColor theme="6" tint="0.39997558519241921"/>
  </sheetPr>
  <dimension ref="A1:O23"/>
  <sheetViews>
    <sheetView workbookViewId="0">
      <selection activeCell="I21" sqref="I21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14" bestFit="1" customWidth="1"/>
    <col min="9" max="9" width="27" bestFit="1" customWidth="1"/>
  </cols>
  <sheetData>
    <row r="1" spans="1:15" x14ac:dyDescent="0.25">
      <c r="A1" s="210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8"/>
    </row>
    <row r="2" spans="1:15" x14ac:dyDescent="0.25">
      <c r="A2" s="261" t="s">
        <v>0</v>
      </c>
      <c r="B2" s="262" t="s">
        <v>44</v>
      </c>
      <c r="C2" s="41"/>
      <c r="D2" s="41"/>
      <c r="E2" s="41"/>
      <c r="F2" s="41"/>
      <c r="G2" s="41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EN_1100_006_m+EN_1100_006_p</f>
        <v>1.7139456024999999</v>
      </c>
      <c r="O2" s="170"/>
    </row>
    <row r="3" spans="1:15" x14ac:dyDescent="0.25">
      <c r="A3" s="266" t="s">
        <v>3</v>
      </c>
      <c r="B3" s="262" t="s">
        <v>372</v>
      </c>
      <c r="C3" s="41"/>
      <c r="D3" s="310" t="s">
        <v>6</v>
      </c>
      <c r="E3" s="41" t="s">
        <v>92</v>
      </c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170"/>
    </row>
    <row r="4" spans="1:15" x14ac:dyDescent="0.25">
      <c r="A4" s="349" t="s">
        <v>5</v>
      </c>
      <c r="B4" s="310" t="s">
        <v>510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170"/>
    </row>
    <row r="5" spans="1:15" x14ac:dyDescent="0.25">
      <c r="A5" s="349" t="s">
        <v>15</v>
      </c>
      <c r="B5" s="311" t="s">
        <v>503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1.7139456024999999</v>
      </c>
      <c r="O5" s="170"/>
    </row>
    <row r="6" spans="1:15" x14ac:dyDescent="0.25">
      <c r="A6" s="349" t="s">
        <v>7</v>
      </c>
      <c r="B6" s="264" t="s">
        <v>536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170"/>
    </row>
    <row r="7" spans="1:15" x14ac:dyDescent="0.25">
      <c r="A7" s="263" t="s">
        <v>10</v>
      </c>
      <c r="B7" s="262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70"/>
    </row>
    <row r="8" spans="1:15" x14ac:dyDescent="0.25">
      <c r="A8" s="261" t="s">
        <v>13</v>
      </c>
      <c r="B8" s="18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70"/>
    </row>
    <row r="9" spans="1:15" x14ac:dyDescent="0.25">
      <c r="A9" s="260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70"/>
    </row>
    <row r="10" spans="1:15" x14ac:dyDescent="0.25">
      <c r="A10" s="259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120" t="s">
        <v>23</v>
      </c>
      <c r="G10" s="120" t="s">
        <v>24</v>
      </c>
      <c r="H10" s="120" t="s">
        <v>25</v>
      </c>
      <c r="I10" s="120" t="s">
        <v>26</v>
      </c>
      <c r="J10" s="120" t="s">
        <v>27</v>
      </c>
      <c r="K10" s="120" t="s">
        <v>28</v>
      </c>
      <c r="L10" s="120" t="s">
        <v>29</v>
      </c>
      <c r="M10" s="120" t="s">
        <v>17</v>
      </c>
      <c r="N10" s="120" t="s">
        <v>18</v>
      </c>
      <c r="O10" s="170"/>
    </row>
    <row r="11" spans="1:15" x14ac:dyDescent="0.25">
      <c r="A11" s="355">
        <v>10</v>
      </c>
      <c r="B11" s="354" t="s">
        <v>245</v>
      </c>
      <c r="C11" s="353" t="s">
        <v>418</v>
      </c>
      <c r="D11" s="220">
        <v>2.25</v>
      </c>
      <c r="E11" s="229">
        <f>J11*K11*L11</f>
        <v>1.6574490000000001E-2</v>
      </c>
      <c r="F11" s="219" t="s">
        <v>144</v>
      </c>
      <c r="G11" s="219"/>
      <c r="H11" s="227"/>
      <c r="I11" s="228" t="s">
        <v>535</v>
      </c>
      <c r="J11" s="228">
        <f>30.6*23/1000000</f>
        <v>7.0380000000000009E-4</v>
      </c>
      <c r="K11" s="224">
        <f>3/1000</f>
        <v>3.0000000000000001E-3</v>
      </c>
      <c r="L11" s="223">
        <v>7850</v>
      </c>
      <c r="M11" s="223">
        <v>1</v>
      </c>
      <c r="N11" s="220">
        <f>M11*L11*J11*K11*D11</f>
        <v>3.7292602500000001E-2</v>
      </c>
      <c r="O11" s="199"/>
    </row>
    <row r="12" spans="1:15" x14ac:dyDescent="0.25">
      <c r="A12" s="173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22" t="s">
        <v>18</v>
      </c>
      <c r="N12" s="106">
        <f>SUM(N11:N11)</f>
        <v>3.7292602500000001E-2</v>
      </c>
      <c r="O12" s="170"/>
    </row>
    <row r="13" spans="1:15" x14ac:dyDescent="0.25">
      <c r="A13" s="177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70"/>
    </row>
    <row r="14" spans="1:15" x14ac:dyDescent="0.25">
      <c r="A14" s="352" t="s">
        <v>14</v>
      </c>
      <c r="B14" s="120" t="s">
        <v>31</v>
      </c>
      <c r="C14" s="120" t="s">
        <v>20</v>
      </c>
      <c r="D14" s="120" t="s">
        <v>21</v>
      </c>
      <c r="E14" s="120" t="s">
        <v>32</v>
      </c>
      <c r="F14" s="120" t="s">
        <v>17</v>
      </c>
      <c r="G14" s="120" t="s">
        <v>33</v>
      </c>
      <c r="H14" s="120" t="s">
        <v>34</v>
      </c>
      <c r="I14" s="120" t="s">
        <v>18</v>
      </c>
      <c r="J14" s="15"/>
      <c r="K14" s="15"/>
      <c r="L14" s="15"/>
      <c r="M14" s="15"/>
      <c r="N14" s="15"/>
      <c r="O14" s="170"/>
    </row>
    <row r="15" spans="1:15" x14ac:dyDescent="0.25">
      <c r="A15" s="258">
        <v>10</v>
      </c>
      <c r="B15" s="351" t="s">
        <v>45</v>
      </c>
      <c r="C15" s="243" t="s">
        <v>398</v>
      </c>
      <c r="D15" s="279">
        <v>1.3</v>
      </c>
      <c r="E15" s="240" t="s">
        <v>32</v>
      </c>
      <c r="F15" s="240">
        <v>1</v>
      </c>
      <c r="G15" s="274"/>
      <c r="H15" s="243"/>
      <c r="I15" s="220">
        <f>IF(H15="",D15*F15,D15*F15*H15)</f>
        <v>1.3</v>
      </c>
      <c r="J15" s="43"/>
      <c r="K15" s="43"/>
      <c r="L15" s="43"/>
      <c r="M15" s="43"/>
      <c r="N15" s="43"/>
      <c r="O15" s="170"/>
    </row>
    <row r="16" spans="1:15" x14ac:dyDescent="0.25">
      <c r="A16" s="350">
        <v>20</v>
      </c>
      <c r="B16" s="243" t="s">
        <v>149</v>
      </c>
      <c r="C16" s="268" t="s">
        <v>415</v>
      </c>
      <c r="D16" s="279">
        <v>0.01</v>
      </c>
      <c r="E16" s="240" t="s">
        <v>46</v>
      </c>
      <c r="F16" s="240">
        <f>125.551/10</f>
        <v>12.555099999999999</v>
      </c>
      <c r="G16" s="240" t="s">
        <v>414</v>
      </c>
      <c r="H16" s="240">
        <v>3</v>
      </c>
      <c r="I16" s="220">
        <f>IF(H16="",D16*F16,D16*F16*H16)</f>
        <v>0.37665300000000002</v>
      </c>
      <c r="J16" s="43"/>
      <c r="K16" s="43"/>
      <c r="L16" s="43"/>
      <c r="M16" s="43"/>
      <c r="N16" s="43"/>
      <c r="O16" s="170"/>
    </row>
    <row r="17" spans="1:15" x14ac:dyDescent="0.25">
      <c r="A17" s="173"/>
      <c r="B17" s="15"/>
      <c r="C17" s="15"/>
      <c r="D17" s="15"/>
      <c r="E17" s="15"/>
      <c r="F17" s="15"/>
      <c r="G17" s="15"/>
      <c r="H17" s="109" t="s">
        <v>18</v>
      </c>
      <c r="I17" s="106">
        <f>SUM(I15:I16)</f>
        <v>1.6766529999999999</v>
      </c>
      <c r="J17" s="15"/>
      <c r="K17" s="15"/>
      <c r="L17" s="15"/>
      <c r="M17" s="15"/>
      <c r="N17" s="15"/>
      <c r="O17" s="170"/>
    </row>
    <row r="18" spans="1:15" x14ac:dyDescent="0.25">
      <c r="A18" s="177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70"/>
    </row>
    <row r="19" spans="1:15" x14ac:dyDescent="0.25">
      <c r="A19" s="177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70"/>
    </row>
    <row r="20" spans="1:15" x14ac:dyDescent="0.25">
      <c r="A20" s="177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70"/>
    </row>
    <row r="21" spans="1:15" x14ac:dyDescent="0.25">
      <c r="A21" s="177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70"/>
    </row>
    <row r="22" spans="1:15" x14ac:dyDescent="0.25">
      <c r="A22" s="177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70"/>
    </row>
    <row r="23" spans="1:15" ht="15.75" thickBot="1" x14ac:dyDescent="0.3">
      <c r="A23" s="169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7"/>
    </row>
  </sheetData>
  <hyperlinks>
    <hyperlink ref="B4" location="EN_A1100" display="Driveshaft" xr:uid="{94110715-C8E4-45D6-9125-D95D51DA3FCE}"/>
    <hyperlink ref="D3" location="'EN_1100_006 Drawing'!A1" display="FileLink1" xr:uid="{A30933CD-1D49-4094-803B-AB349BAE1DFE}"/>
  </hyperlinks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BF9D4-E9B7-48E3-ADF9-CEFDAE8166EF}">
  <sheetPr>
    <tabColor theme="6" tint="0.39997558519241921"/>
  </sheetPr>
  <dimension ref="A1"/>
  <sheetViews>
    <sheetView topLeftCell="A13" workbookViewId="0">
      <selection activeCell="I21" sqref="I21"/>
    </sheetView>
  </sheetViews>
  <sheetFormatPr baseColWidth="10" defaultRowHeight="15" x14ac:dyDescent="0.25"/>
  <sheetData>
    <row r="1" spans="1:1" x14ac:dyDescent="0.25">
      <c r="A1" s="70" t="s">
        <v>536</v>
      </c>
    </row>
  </sheetData>
  <hyperlinks>
    <hyperlink ref="A1" location="EN_1100_006" display="EN_1100_006" xr:uid="{1588CF3A-87FF-43C8-91C3-441A75AE5761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5B96E-CDB4-44D6-926E-D3C32577CBE9}">
  <sheetPr>
    <tabColor theme="6" tint="0.39997558519241921"/>
    <pageSetUpPr fitToPage="1"/>
  </sheetPr>
  <dimension ref="A1:O25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7.85546875" customWidth="1"/>
    <col min="5" max="5" width="8.28515625" customWidth="1"/>
    <col min="6" max="6" width="10" customWidth="1"/>
    <col min="7" max="7" width="8.85546875" customWidth="1"/>
    <col min="8" max="8" width="9.85546875" customWidth="1"/>
    <col min="9" max="9" width="20.140625" customWidth="1"/>
    <col min="10" max="10" width="9.28515625" customWidth="1"/>
    <col min="12" max="12" width="8.5703125" customWidth="1"/>
    <col min="14" max="14" width="11.570312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EN_02003_m+EN_02003_p+EN_02003_t</f>
        <v>109.43393911329514</v>
      </c>
      <c r="O2" s="47"/>
    </row>
    <row r="3" spans="1:15" x14ac:dyDescent="0.25">
      <c r="A3" s="103" t="s">
        <v>3</v>
      </c>
      <c r="B3" s="11" t="str">
        <f>'[1]EN Assembly'!B3</f>
        <v>Engine and Drivetrain</v>
      </c>
      <c r="C3" s="41"/>
      <c r="D3" s="103" t="s">
        <v>6</v>
      </c>
      <c r="E3" s="70"/>
      <c r="F3" s="41"/>
      <c r="G3" s="41"/>
      <c r="H3" s="41"/>
      <c r="I3" s="41"/>
      <c r="J3" s="41"/>
      <c r="K3" s="41"/>
      <c r="L3" s="41"/>
      <c r="M3" s="103" t="s">
        <v>4</v>
      </c>
      <c r="N3" s="64">
        <v>1</v>
      </c>
      <c r="O3" s="47"/>
    </row>
    <row r="4" spans="1:15" x14ac:dyDescent="0.25">
      <c r="A4" s="103" t="s">
        <v>5</v>
      </c>
      <c r="B4" s="69" t="str">
        <f>'EN A0200'!B4</f>
        <v>Exhaust System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598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109.43393911329514</v>
      </c>
      <c r="O5" s="47"/>
    </row>
    <row r="6" spans="1:15" x14ac:dyDescent="0.25">
      <c r="A6" s="103" t="s">
        <v>7</v>
      </c>
      <c r="B6" s="17" t="s">
        <v>597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 t="s">
        <v>596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475" t="s">
        <v>23</v>
      </c>
      <c r="G10" s="475" t="s">
        <v>24</v>
      </c>
      <c r="H10" s="475" t="s">
        <v>25</v>
      </c>
      <c r="I10" s="475" t="s">
        <v>26</v>
      </c>
      <c r="J10" s="475" t="s">
        <v>27</v>
      </c>
      <c r="K10" s="475" t="s">
        <v>28</v>
      </c>
      <c r="L10" s="475" t="s">
        <v>29</v>
      </c>
      <c r="M10" s="475" t="s">
        <v>17</v>
      </c>
      <c r="N10" s="475" t="s">
        <v>18</v>
      </c>
      <c r="O10" s="47"/>
    </row>
    <row r="11" spans="1:15" s="14" customFormat="1" x14ac:dyDescent="0.25">
      <c r="A11" s="508">
        <v>10</v>
      </c>
      <c r="B11" s="512" t="s">
        <v>595</v>
      </c>
      <c r="C11" s="511" t="s">
        <v>594</v>
      </c>
      <c r="D11" s="510">
        <v>2.25</v>
      </c>
      <c r="E11" s="509"/>
      <c r="F11" s="508" t="s">
        <v>144</v>
      </c>
      <c r="G11" s="508"/>
      <c r="H11" s="507"/>
      <c r="I11" s="506" t="s">
        <v>593</v>
      </c>
      <c r="J11" s="505">
        <f>PI()*((0.034+0.0012)*(0.034+0.0012)-0.034*0.034)/4</f>
        <v>6.521946348852405E-5</v>
      </c>
      <c r="K11" s="504">
        <v>1.43</v>
      </c>
      <c r="L11" s="503">
        <v>7850</v>
      </c>
      <c r="M11" s="502">
        <v>1</v>
      </c>
      <c r="N11" s="438">
        <f>IF(J11="",D11*M11,D11*J11*K11*L11*M11)</f>
        <v>1.6472724466284603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7" t="s">
        <v>18</v>
      </c>
      <c r="N12" s="106">
        <f>SUM(N11:N11)</f>
        <v>1.6472724466284603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6" t="s">
        <v>14</v>
      </c>
      <c r="B14" s="475" t="s">
        <v>31</v>
      </c>
      <c r="C14" s="475" t="s">
        <v>20</v>
      </c>
      <c r="D14" s="475" t="s">
        <v>21</v>
      </c>
      <c r="E14" s="475" t="s">
        <v>32</v>
      </c>
      <c r="F14" s="475" t="s">
        <v>17</v>
      </c>
      <c r="G14" s="475" t="s">
        <v>33</v>
      </c>
      <c r="H14" s="475" t="s">
        <v>34</v>
      </c>
      <c r="I14" s="475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00">
        <v>10</v>
      </c>
      <c r="B15" s="415" t="s">
        <v>592</v>
      </c>
      <c r="C15" s="425"/>
      <c r="D15" s="429">
        <v>0.15</v>
      </c>
      <c r="E15" s="425" t="s">
        <v>46</v>
      </c>
      <c r="F15" s="501">
        <f>27*3.4</f>
        <v>91.8</v>
      </c>
      <c r="G15" s="457"/>
      <c r="H15" s="456"/>
      <c r="I15" s="438">
        <f>IF(H15="",D15*F15,D15*F15*H15)</f>
        <v>13.77</v>
      </c>
      <c r="J15" s="43"/>
      <c r="K15" s="43"/>
      <c r="L15" s="43"/>
      <c r="M15" s="43"/>
      <c r="N15" s="43"/>
      <c r="O15" s="53"/>
    </row>
    <row r="16" spans="1:15" x14ac:dyDescent="0.25">
      <c r="A16" s="499">
        <v>20</v>
      </c>
      <c r="B16" s="415" t="s">
        <v>591</v>
      </c>
      <c r="C16" s="426"/>
      <c r="D16" s="429">
        <v>0.75</v>
      </c>
      <c r="E16" s="415" t="s">
        <v>150</v>
      </c>
      <c r="F16" s="426">
        <v>17</v>
      </c>
      <c r="G16" s="465"/>
      <c r="H16" s="465"/>
      <c r="I16" s="405">
        <f>IF(H16="",D16*F16,D16*F16*H16)</f>
        <v>12.75</v>
      </c>
      <c r="J16" s="41"/>
      <c r="K16" s="41"/>
      <c r="L16" s="41"/>
      <c r="M16" s="41"/>
      <c r="N16" s="41"/>
      <c r="O16" s="47"/>
    </row>
    <row r="17" spans="1:15" s="12" customFormat="1" ht="30" x14ac:dyDescent="0.25">
      <c r="A17" s="500">
        <v>30</v>
      </c>
      <c r="B17" s="415" t="s">
        <v>565</v>
      </c>
      <c r="C17" s="426"/>
      <c r="D17" s="429">
        <v>0.75</v>
      </c>
      <c r="E17" s="415" t="s">
        <v>563</v>
      </c>
      <c r="F17" s="426">
        <v>46</v>
      </c>
      <c r="G17" s="456"/>
      <c r="H17" s="456"/>
      <c r="I17" s="438">
        <f>IF(H17="",D17*F17,D17*F17*H17)</f>
        <v>34.5</v>
      </c>
      <c r="J17" s="42"/>
      <c r="K17" s="42"/>
      <c r="L17" s="42"/>
      <c r="M17" s="42"/>
      <c r="N17" s="42"/>
      <c r="O17" s="50"/>
    </row>
    <row r="18" spans="1:15" x14ac:dyDescent="0.25">
      <c r="A18" s="499">
        <v>40</v>
      </c>
      <c r="B18" s="415" t="s">
        <v>562</v>
      </c>
      <c r="C18" s="426"/>
      <c r="D18" s="429">
        <v>0.5</v>
      </c>
      <c r="E18" s="415" t="s">
        <v>46</v>
      </c>
      <c r="F18" s="426">
        <f>23*3.4</f>
        <v>78.2</v>
      </c>
      <c r="G18" s="457"/>
      <c r="H18" s="456"/>
      <c r="I18" s="438">
        <f>IF(H18="",D18*F18,D18*F18*H18)</f>
        <v>39.1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9" t="s">
        <v>18</v>
      </c>
      <c r="I19" s="106">
        <f>SUM(I15:I18)</f>
        <v>100.12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98"/>
      <c r="B21" s="42"/>
      <c r="C21" s="42"/>
      <c r="D21" s="42"/>
      <c r="E21" s="42"/>
      <c r="F21" s="42"/>
      <c r="G21" s="42"/>
      <c r="H21" s="497"/>
      <c r="I21" s="496"/>
      <c r="J21" s="42"/>
      <c r="K21" s="41"/>
      <c r="L21" s="41"/>
      <c r="M21" s="41"/>
      <c r="N21" s="41"/>
      <c r="O21" s="47"/>
    </row>
    <row r="22" spans="1:15" x14ac:dyDescent="0.25">
      <c r="A22" s="476" t="s">
        <v>14</v>
      </c>
      <c r="B22" s="475" t="s">
        <v>39</v>
      </c>
      <c r="C22" s="475" t="s">
        <v>20</v>
      </c>
      <c r="D22" s="475" t="s">
        <v>21</v>
      </c>
      <c r="E22" s="475" t="s">
        <v>32</v>
      </c>
      <c r="F22" s="475" t="s">
        <v>17</v>
      </c>
      <c r="G22" s="475" t="s">
        <v>40</v>
      </c>
      <c r="H22" s="475" t="s">
        <v>590</v>
      </c>
      <c r="I22" s="475" t="s">
        <v>18</v>
      </c>
      <c r="J22" s="15"/>
      <c r="K22" s="41"/>
      <c r="L22" s="41"/>
      <c r="M22" s="41"/>
      <c r="N22" s="41"/>
      <c r="O22" s="47"/>
    </row>
    <row r="23" spans="1:15" s="12" customFormat="1" x14ac:dyDescent="0.25">
      <c r="A23" s="425">
        <v>10</v>
      </c>
      <c r="B23" s="495" t="s">
        <v>42</v>
      </c>
      <c r="C23" s="425"/>
      <c r="D23" s="494">
        <v>500</v>
      </c>
      <c r="E23" s="425" t="s">
        <v>43</v>
      </c>
      <c r="F23" s="425">
        <v>46</v>
      </c>
      <c r="G23" s="425">
        <v>3000</v>
      </c>
      <c r="H23" s="425">
        <v>1</v>
      </c>
      <c r="I23" s="438">
        <f>D23*F23/G23*H23</f>
        <v>7.666666666666667</v>
      </c>
      <c r="J23" s="42"/>
      <c r="K23" s="42"/>
      <c r="L23" s="42"/>
      <c r="M23" s="42"/>
      <c r="N23" s="42"/>
      <c r="O23" s="50"/>
    </row>
    <row r="24" spans="1:15" x14ac:dyDescent="0.25">
      <c r="A24" s="52"/>
      <c r="B24" s="15"/>
      <c r="C24" s="15"/>
      <c r="D24" s="15"/>
      <c r="E24" s="15"/>
      <c r="F24" s="15"/>
      <c r="G24" s="15"/>
      <c r="H24" s="109" t="s">
        <v>18</v>
      </c>
      <c r="I24" s="106">
        <f>SUM(I23:I23)</f>
        <v>7.666666666666667</v>
      </c>
      <c r="J24" s="15"/>
      <c r="K24" s="41"/>
      <c r="L24" s="41"/>
      <c r="M24" s="41"/>
      <c r="N24" s="41"/>
      <c r="O24" s="47"/>
    </row>
    <row r="25" spans="1:15" ht="15.75" thickBot="1" x14ac:dyDescent="0.3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6"/>
    </row>
  </sheetData>
  <hyperlinks>
    <hyperlink ref="B4" location="EN_A0200" display="EN_A0200" xr:uid="{16605A01-0B85-40A6-B883-AFE5486CE52A}"/>
    <hyperlink ref="G2" location="EN_A0200_BOM" display="Back to BOM" xr:uid="{FCB9FA0F-ACD5-43BA-9463-782683210CF3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5" max="16383" man="1"/>
    <brk id="59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C8F8-D3A8-4FDC-9D23-29640A6B511A}">
  <sheetPr>
    <tabColor theme="6" tint="0.39997558519241921"/>
    <pageSetUpPr fitToPage="1"/>
  </sheetPr>
  <dimension ref="A1:O24"/>
  <sheetViews>
    <sheetView zoomScale="85" zoomScaleNormal="8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7109375" customWidth="1"/>
    <col min="3" max="3" width="17.28515625" customWidth="1"/>
    <col min="5" max="5" width="7" customWidth="1"/>
    <col min="6" max="6" width="8.42578125" customWidth="1"/>
    <col min="7" max="7" width="5.140625" customWidth="1"/>
    <col min="8" max="8" width="9" customWidth="1"/>
    <col min="9" max="9" width="21.140625" customWidth="1"/>
    <col min="10" max="10" width="9.28515625" customWidth="1"/>
    <col min="12" max="12" width="7.8554687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3" t="s">
        <v>0</v>
      </c>
      <c r="B2" s="11" t="s">
        <v>44</v>
      </c>
      <c r="C2" s="41"/>
      <c r="D2" s="41"/>
      <c r="E2" s="41"/>
      <c r="F2" s="41"/>
      <c r="G2" s="69" t="s">
        <v>121</v>
      </c>
      <c r="H2" s="41"/>
      <c r="I2" s="41"/>
      <c r="J2" s="104" t="s">
        <v>1</v>
      </c>
      <c r="K2" s="65">
        <v>81</v>
      </c>
      <c r="L2" s="41"/>
      <c r="M2" s="103" t="s">
        <v>16</v>
      </c>
      <c r="N2" s="58">
        <f>EN_02004_m+EN_02004_p+EN_02004_t</f>
        <v>20.228377789788073</v>
      </c>
      <c r="O2" s="47"/>
    </row>
    <row r="3" spans="1:15" x14ac:dyDescent="0.25">
      <c r="A3" s="103" t="s">
        <v>3</v>
      </c>
      <c r="B3" s="11" t="str">
        <f>'[1]EN Assembly'!B3</f>
        <v>Engine and Drivetrain</v>
      </c>
      <c r="C3" s="41"/>
      <c r="D3" s="103" t="s">
        <v>6</v>
      </c>
      <c r="E3" s="70"/>
      <c r="F3" s="41"/>
      <c r="G3" s="41"/>
      <c r="H3" s="41"/>
      <c r="I3" s="41"/>
      <c r="J3" s="41"/>
      <c r="K3" s="41"/>
      <c r="L3" s="41"/>
      <c r="M3" s="103" t="s">
        <v>4</v>
      </c>
      <c r="N3" s="64">
        <v>2</v>
      </c>
      <c r="O3" s="47"/>
    </row>
    <row r="4" spans="1:15" x14ac:dyDescent="0.25">
      <c r="A4" s="103" t="s">
        <v>5</v>
      </c>
      <c r="B4" s="69" t="str">
        <f>'EN A0200'!B4</f>
        <v>Exhaust System</v>
      </c>
      <c r="C4" s="41"/>
      <c r="D4" s="103" t="s">
        <v>8</v>
      </c>
      <c r="E4" s="41"/>
      <c r="F4" s="41"/>
      <c r="G4" s="41"/>
      <c r="H4" s="41"/>
      <c r="I4" s="41"/>
      <c r="J4" s="105" t="s">
        <v>6</v>
      </c>
      <c r="K4" s="41"/>
      <c r="L4" s="41"/>
      <c r="M4" s="41"/>
      <c r="N4" s="41"/>
      <c r="O4" s="47"/>
    </row>
    <row r="5" spans="1:15" x14ac:dyDescent="0.25">
      <c r="A5" s="103" t="s">
        <v>15</v>
      </c>
      <c r="B5" s="13" t="s">
        <v>603</v>
      </c>
      <c r="C5" s="41"/>
      <c r="D5" s="103" t="s">
        <v>12</v>
      </c>
      <c r="E5" s="41"/>
      <c r="F5" s="41"/>
      <c r="G5" s="41"/>
      <c r="H5" s="41"/>
      <c r="I5" s="41"/>
      <c r="J5" s="105" t="s">
        <v>8</v>
      </c>
      <c r="K5" s="41"/>
      <c r="L5" s="41"/>
      <c r="M5" s="103" t="s">
        <v>9</v>
      </c>
      <c r="N5" s="58">
        <f>N3*N2</f>
        <v>40.456755579576146</v>
      </c>
      <c r="O5" s="47"/>
    </row>
    <row r="6" spans="1:15" x14ac:dyDescent="0.25">
      <c r="A6" s="103" t="s">
        <v>7</v>
      </c>
      <c r="B6" s="17" t="s">
        <v>602</v>
      </c>
      <c r="C6" s="41"/>
      <c r="D6" s="41"/>
      <c r="E6" s="41"/>
      <c r="F6" s="41"/>
      <c r="G6" s="41"/>
      <c r="H6" s="41"/>
      <c r="I6" s="41"/>
      <c r="J6" s="105" t="s">
        <v>12</v>
      </c>
      <c r="K6" s="41"/>
      <c r="L6" s="41"/>
      <c r="M6" s="41"/>
      <c r="N6" s="41"/>
      <c r="O6" s="47"/>
    </row>
    <row r="7" spans="1:15" x14ac:dyDescent="0.25">
      <c r="A7" s="103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3" t="s">
        <v>13</v>
      </c>
      <c r="B8" s="11" t="s">
        <v>601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7" t="s">
        <v>14</v>
      </c>
      <c r="B10" s="108" t="s">
        <v>19</v>
      </c>
      <c r="C10" s="108" t="s">
        <v>20</v>
      </c>
      <c r="D10" s="108" t="s">
        <v>21</v>
      </c>
      <c r="E10" s="108" t="s">
        <v>22</v>
      </c>
      <c r="F10" s="475" t="s">
        <v>23</v>
      </c>
      <c r="G10" s="475" t="s">
        <v>24</v>
      </c>
      <c r="H10" s="475" t="s">
        <v>25</v>
      </c>
      <c r="I10" s="475" t="s">
        <v>26</v>
      </c>
      <c r="J10" s="475" t="s">
        <v>27</v>
      </c>
      <c r="K10" s="475" t="s">
        <v>28</v>
      </c>
      <c r="L10" s="475" t="s">
        <v>29</v>
      </c>
      <c r="M10" s="475" t="s">
        <v>17</v>
      </c>
      <c r="N10" s="475" t="s">
        <v>18</v>
      </c>
      <c r="O10" s="47"/>
    </row>
    <row r="11" spans="1:15" s="16" customFormat="1" x14ac:dyDescent="0.25">
      <c r="A11" s="470">
        <v>10</v>
      </c>
      <c r="B11" s="487" t="s">
        <v>595</v>
      </c>
      <c r="C11" s="522" t="s">
        <v>600</v>
      </c>
      <c r="D11" s="521">
        <v>2.25</v>
      </c>
      <c r="E11" s="520"/>
      <c r="F11" s="520" t="s">
        <v>144</v>
      </c>
      <c r="G11" s="520"/>
      <c r="H11" s="519"/>
      <c r="I11" s="518" t="s">
        <v>593</v>
      </c>
      <c r="J11" s="505">
        <f>PI()*((0.034+0.0012)*(0.034+0.0012)-0.034*0.034)/4</f>
        <v>6.521946348852405E-5</v>
      </c>
      <c r="K11" s="523">
        <f>2*(0.0825+0.02)</f>
        <v>0.20500000000000002</v>
      </c>
      <c r="L11" s="516">
        <v>7850</v>
      </c>
      <c r="M11" s="515">
        <v>1</v>
      </c>
      <c r="N11" s="405">
        <f>IF(J11="",D11*M11,D11*J11*K11*L11*M11)</f>
        <v>0.23614744864254153</v>
      </c>
      <c r="O11" s="53"/>
    </row>
    <row r="12" spans="1:15" s="16" customFormat="1" ht="14.25" customHeight="1" x14ac:dyDescent="0.25">
      <c r="A12" s="468">
        <v>20</v>
      </c>
      <c r="B12" s="487" t="s">
        <v>595</v>
      </c>
      <c r="C12" s="522" t="s">
        <v>600</v>
      </c>
      <c r="D12" s="521">
        <v>2.25</v>
      </c>
      <c r="E12" s="520"/>
      <c r="F12" s="520" t="s">
        <v>144</v>
      </c>
      <c r="G12" s="520"/>
      <c r="H12" s="519"/>
      <c r="I12" s="518" t="s">
        <v>599</v>
      </c>
      <c r="J12" s="505">
        <f>PI()*((0.0421+0.0015)*(0.0421+0.0015)-0.0421*0.0421)/4</f>
        <v>1.0096293390474202E-4</v>
      </c>
      <c r="K12" s="517">
        <v>0.03</v>
      </c>
      <c r="L12" s="516">
        <v>7850</v>
      </c>
      <c r="M12" s="515">
        <v>1</v>
      </c>
      <c r="N12" s="405">
        <f>IF(J12="",D12*M12,D12*J12*K12*L12*M12)</f>
        <v>5.3497734602775175E-2</v>
      </c>
      <c r="O12" s="53"/>
    </row>
    <row r="13" spans="1:15" x14ac:dyDescent="0.25">
      <c r="A13" s="52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477" t="s">
        <v>18</v>
      </c>
      <c r="N13" s="106">
        <f>SUM(N11:N12)</f>
        <v>0.28964518324531668</v>
      </c>
      <c r="O13" s="47"/>
    </row>
    <row r="14" spans="1:15" x14ac:dyDescent="0.25">
      <c r="A14" s="48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7"/>
    </row>
    <row r="15" spans="1:15" x14ac:dyDescent="0.25">
      <c r="A15" s="476" t="s">
        <v>14</v>
      </c>
      <c r="B15" s="475" t="s">
        <v>31</v>
      </c>
      <c r="C15" s="475" t="s">
        <v>20</v>
      </c>
      <c r="D15" s="475" t="s">
        <v>21</v>
      </c>
      <c r="E15" s="475" t="s">
        <v>32</v>
      </c>
      <c r="F15" s="475" t="s">
        <v>17</v>
      </c>
      <c r="G15" s="475" t="s">
        <v>33</v>
      </c>
      <c r="H15" s="475" t="s">
        <v>34</v>
      </c>
      <c r="I15" s="475" t="s">
        <v>18</v>
      </c>
      <c r="J15" s="15"/>
      <c r="K15" s="15"/>
      <c r="L15" s="15"/>
      <c r="M15" s="15"/>
      <c r="N15" s="15"/>
      <c r="O15" s="47"/>
    </row>
    <row r="16" spans="1:15" s="16" customFormat="1" x14ac:dyDescent="0.25">
      <c r="A16" s="514">
        <v>10</v>
      </c>
      <c r="B16" s="415" t="s">
        <v>592</v>
      </c>
      <c r="C16" s="425"/>
      <c r="D16" s="429">
        <v>0.15</v>
      </c>
      <c r="E16" s="425" t="s">
        <v>46</v>
      </c>
      <c r="F16" s="501">
        <f>6*3.4+1*4.2</f>
        <v>24.599999999999998</v>
      </c>
      <c r="G16" s="465"/>
      <c r="H16" s="465"/>
      <c r="I16" s="405">
        <f>IF(H16="",D16*F16,D16*F16*H16)</f>
        <v>3.6899999999999995</v>
      </c>
      <c r="J16" s="43"/>
      <c r="K16" s="43"/>
      <c r="L16" s="43"/>
      <c r="M16" s="43"/>
      <c r="N16" s="43"/>
      <c r="O16" s="53"/>
    </row>
    <row r="17" spans="1:15" ht="30" x14ac:dyDescent="0.25">
      <c r="A17" s="462">
        <v>20</v>
      </c>
      <c r="B17" s="415" t="s">
        <v>565</v>
      </c>
      <c r="C17" s="426"/>
      <c r="D17" s="429">
        <v>0.75</v>
      </c>
      <c r="E17" s="415" t="s">
        <v>563</v>
      </c>
      <c r="F17" s="426">
        <v>9</v>
      </c>
      <c r="G17" s="457"/>
      <c r="H17" s="456"/>
      <c r="I17" s="438">
        <f>IF(H17="",D17*F17,D17*F17*H17)</f>
        <v>6.75</v>
      </c>
      <c r="J17" s="41"/>
      <c r="K17" s="41"/>
      <c r="L17" s="41"/>
      <c r="M17" s="41"/>
      <c r="N17" s="41"/>
      <c r="O17" s="47"/>
    </row>
    <row r="18" spans="1:15" s="12" customFormat="1" x14ac:dyDescent="0.25">
      <c r="A18" s="464">
        <v>30</v>
      </c>
      <c r="B18" s="415" t="s">
        <v>562</v>
      </c>
      <c r="C18" s="426"/>
      <c r="D18" s="429">
        <v>0.5</v>
      </c>
      <c r="E18" s="415" t="s">
        <v>46</v>
      </c>
      <c r="F18" s="513">
        <f>2*3.4+1*4.2+15.7/PI()</f>
        <v>15.997465213085514</v>
      </c>
      <c r="G18" s="456"/>
      <c r="H18" s="456"/>
      <c r="I18" s="438">
        <f>IF(H18="",D18*F18,D18*F18*H18)</f>
        <v>7.9987326065427569</v>
      </c>
      <c r="J18" s="42"/>
      <c r="K18" s="42"/>
      <c r="L18" s="42"/>
      <c r="M18" s="42"/>
      <c r="N18" s="42"/>
      <c r="O18" s="50"/>
    </row>
    <row r="19" spans="1:15" x14ac:dyDescent="0.25">
      <c r="A19" s="52"/>
      <c r="B19" s="15"/>
      <c r="C19" s="15"/>
      <c r="D19" s="15"/>
      <c r="E19" s="15"/>
      <c r="F19" s="15"/>
      <c r="G19" s="15"/>
      <c r="H19" s="109" t="s">
        <v>18</v>
      </c>
      <c r="I19" s="106">
        <f>SUM(I16:I18)</f>
        <v>18.438732606542757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76" t="s">
        <v>14</v>
      </c>
      <c r="B21" s="475" t="s">
        <v>39</v>
      </c>
      <c r="C21" s="475" t="s">
        <v>20</v>
      </c>
      <c r="D21" s="475" t="s">
        <v>21</v>
      </c>
      <c r="E21" s="475" t="s">
        <v>32</v>
      </c>
      <c r="F21" s="475" t="s">
        <v>17</v>
      </c>
      <c r="G21" s="475" t="s">
        <v>40</v>
      </c>
      <c r="H21" s="475" t="s">
        <v>590</v>
      </c>
      <c r="I21" s="475" t="s">
        <v>18</v>
      </c>
      <c r="J21" s="15"/>
      <c r="K21" s="41"/>
      <c r="L21" s="41"/>
      <c r="M21" s="41"/>
      <c r="N21" s="41"/>
      <c r="O21" s="47"/>
    </row>
    <row r="22" spans="1:15" s="12" customFormat="1" x14ac:dyDescent="0.25">
      <c r="A22" s="462">
        <v>10</v>
      </c>
      <c r="B22" s="417" t="s">
        <v>42</v>
      </c>
      <c r="C22" s="417"/>
      <c r="D22" s="438">
        <v>500</v>
      </c>
      <c r="E22" s="417" t="s">
        <v>43</v>
      </c>
      <c r="F22" s="417">
        <v>9</v>
      </c>
      <c r="G22" s="417">
        <v>3000</v>
      </c>
      <c r="H22" s="417">
        <v>1</v>
      </c>
      <c r="I22" s="438">
        <f>D22*F22/G22*H22</f>
        <v>1.5</v>
      </c>
      <c r="J22" s="42"/>
      <c r="K22" s="42"/>
      <c r="L22" s="42"/>
      <c r="M22" s="42"/>
      <c r="N22" s="42"/>
      <c r="O22" s="50"/>
    </row>
    <row r="23" spans="1:15" x14ac:dyDescent="0.25">
      <c r="A23" s="52"/>
      <c r="B23" s="15"/>
      <c r="C23" s="15"/>
      <c r="D23" s="15"/>
      <c r="E23" s="15"/>
      <c r="F23" s="15"/>
      <c r="G23" s="15"/>
      <c r="H23" s="109" t="s">
        <v>18</v>
      </c>
      <c r="I23" s="106">
        <f>SUM(I22:I22)</f>
        <v>1.5</v>
      </c>
      <c r="J23" s="15"/>
      <c r="K23" s="41"/>
      <c r="L23" s="41"/>
      <c r="M23" s="41"/>
      <c r="N23" s="41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200" display="EN_A0200" xr:uid="{AD3E9CC2-A923-4A26-9CD6-E1274A9EA86E}"/>
    <hyperlink ref="G2" location="EN_A0200_BOM" display="Back to BOM" xr:uid="{EB97E0FD-8E9D-4D7D-B73A-E68819EA1E9A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p Z 9 T J a Q d b K o A A A A + A A A A B I A H A B D b 2 5 m a W c v U G F j a 2 F n Z S 5 4 b W w g o h g A K K A U A A A A A A A A A A A A A A A A A A A A A A A A A A A A h Y / R C o I w G I V f R X b v N p d C y O + 8 C L p K i I L o d s y l I 5 2 x z f T d u u i R e o W E s r r r 8 h y + A 9 9 5 3 O 6 Q j 2 0 T X J V 1 u j M Z i j B F g T K y K 7 W p M t T 7 U 7 h E O Y e t k G d R q W C C j U t H p z N U e 3 9 J C R m G A Q 8 L 3 N m K M E o j c i w 2 e 1 m r V o T a O C + M V O i z K v + v E I f D S 4 Y z n C Q 4 o R H F c c y A z D U U 2 n w R N h l j C u S n h F X f + N 4 q f r L h e g d k j k D e L / g T U E s D B B Q A A g A I A F q W f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l n 1 M K I p H u A 4 A A A A R A A A A E w A c A E Z v c m 1 1 b G F z L 1 N l Y 3 R p b 2 4 x L m 0 g o h g A K K A U A A A A A A A A A A A A A A A A A A A A A A A A A A A A K 0 5 N L s n M z 1 M I h t C G 1 g B Q S w E C L Q A U A A I A C A B a l n 1 M l p B 1 s q g A A A D 4 A A A A E g A A A A A A A A A A A A A A A A A A A A A A Q 2 9 u Z m l n L 1 B h Y 2 t h Z 2 U u e G 1 s U E s B A i 0 A F A A C A A g A W p Z 9 T A / K 6 a u k A A A A 6 Q A A A B M A A A A A A A A A A A A A A A A A 9 A A A A F t D b 2 5 0 Z W 5 0 X 1 R 5 c G V z X S 5 4 b W x Q S w E C L Q A U A A I A C A B a l n 1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J M q D l H b m k y Z Z T G 4 u k t M f w A A A A A C A A A A A A A Q Z g A A A A E A A C A A A A A a j e 9 U M A H 0 Z V u W 9 i i j z o i g z l j t S K 9 W 1 t K R H 5 6 X C t l O M A A A A A A O g A A A A A I A A C A A A A C r j A z D 8 J h q 7 s P q u b T g n s e w R m m b j 9 t 0 h u S 7 d o K Z L Q m 9 2 V A A A A A v J O g i O Y R q a 2 K 5 a m Y s V 4 6 1 + 2 u D 1 o h j U D D o R F 3 G J L R f t Q l G A d q 1 D j / p 3 v i W 0 6 D s Q p F m z Q D b C m E e m f b I 3 L S / + P Q J A p V b u T b Q R w p E l f A c g c 3 W V U A A A A D l 8 K c B z 5 D F E c l k 8 k k S r U i A j M n S t X A r x O d 6 H q 3 L y + I P p d M I c M 4 R y + B G U h s J X j z W H b N o M g o w b H q l L N S Y a p 7 B 9 9 z J < / D a t a M a s h u p > 
</file>

<file path=customXml/itemProps1.xml><?xml version="1.0" encoding="utf-8"?>
<ds:datastoreItem xmlns:ds="http://schemas.openxmlformats.org/officeDocument/2006/customXml" ds:itemID="{1F8995B9-7B1B-4095-834B-1469D3CA48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76</vt:i4>
      </vt:variant>
      <vt:variant>
        <vt:lpstr>Plages nommées</vt:lpstr>
      </vt:variant>
      <vt:variant>
        <vt:i4>282</vt:i4>
      </vt:variant>
    </vt:vector>
  </HeadingPairs>
  <TitlesOfParts>
    <vt:vector size="358" baseType="lpstr">
      <vt:lpstr>Instructions</vt:lpstr>
      <vt:lpstr>BOM</vt:lpstr>
      <vt:lpstr>EN A0200</vt:lpstr>
      <vt:lpstr>EN_02001</vt:lpstr>
      <vt:lpstr>dEN_02001</vt:lpstr>
      <vt:lpstr>EN_02002</vt:lpstr>
      <vt:lpstr>dEN_02002</vt:lpstr>
      <vt:lpstr>EN_02003</vt:lpstr>
      <vt:lpstr>EN_02004</vt:lpstr>
      <vt:lpstr>EN_02005</vt:lpstr>
      <vt:lpstr>EN_02006</vt:lpstr>
      <vt:lpstr>EN_02007</vt:lpstr>
      <vt:lpstr>EN_02008</vt:lpstr>
      <vt:lpstr>EN_02009</vt:lpstr>
      <vt:lpstr>EN_02010</vt:lpstr>
      <vt:lpstr>EN_A0300</vt:lpstr>
      <vt:lpstr>EN_0300_001</vt:lpstr>
      <vt:lpstr>EN_0300_002</vt:lpstr>
      <vt:lpstr>dEN_0300_002</vt:lpstr>
      <vt:lpstr>EN_0300_003</vt:lpstr>
      <vt:lpstr>EN_0300_009</vt:lpstr>
      <vt:lpstr>dEN_0300_009</vt:lpstr>
      <vt:lpstr>EN_0300_010</vt:lpstr>
      <vt:lpstr>dEN_0300_010</vt:lpstr>
      <vt:lpstr>EN_0300_011</vt:lpstr>
      <vt:lpstr>dEN_0300_011</vt:lpstr>
      <vt:lpstr>EN_0300_012</vt:lpstr>
      <vt:lpstr>dEN_0300_012</vt:lpstr>
      <vt:lpstr>EN_0300_013</vt:lpstr>
      <vt:lpstr>dEN_0300_013</vt:lpstr>
      <vt:lpstr>EN_A0400</vt:lpstr>
      <vt:lpstr>EN_0400_001</vt:lpstr>
      <vt:lpstr>EN_0400_002</vt:lpstr>
      <vt:lpstr>EN_0400_003</vt:lpstr>
      <vt:lpstr>EN_0400_004</vt:lpstr>
      <vt:lpstr>EN_0400_005</vt:lpstr>
      <vt:lpstr>EN_0400_006</vt:lpstr>
      <vt:lpstr>EN_0400_007</vt:lpstr>
      <vt:lpstr>EN_0400_008</vt:lpstr>
      <vt:lpstr>EN_0400_009</vt:lpstr>
      <vt:lpstr>EN_A0900</vt:lpstr>
      <vt:lpstr>EN_0900_001</vt:lpstr>
      <vt:lpstr>EN_0900_002</vt:lpstr>
      <vt:lpstr>EN_0900_002 Drawing</vt:lpstr>
      <vt:lpstr>EN_0900_003</vt:lpstr>
      <vt:lpstr>EN_0900_003 Drawing</vt:lpstr>
      <vt:lpstr>EN_0900_004</vt:lpstr>
      <vt:lpstr>EN_0900_004 Drawing</vt:lpstr>
      <vt:lpstr>EN_0900_005</vt:lpstr>
      <vt:lpstr>EN_0900_005 Drawing</vt:lpstr>
      <vt:lpstr>EN_0900_006</vt:lpstr>
      <vt:lpstr>EN_0900_006 Drawing</vt:lpstr>
      <vt:lpstr>EN_0900_007</vt:lpstr>
      <vt:lpstr>EN_0900_007 Drawing</vt:lpstr>
      <vt:lpstr>EN_0900_008</vt:lpstr>
      <vt:lpstr>EN_0900_008 Drawing</vt:lpstr>
      <vt:lpstr>EN_0900_009</vt:lpstr>
      <vt:lpstr>EN_0900_009 Drawing</vt:lpstr>
      <vt:lpstr>EN_A1000</vt:lpstr>
      <vt:lpstr>EN_1000_001</vt:lpstr>
      <vt:lpstr>EN_1000_002</vt:lpstr>
      <vt:lpstr>EN_1000_003</vt:lpstr>
      <vt:lpstr>EN_1000_003 Drawing</vt:lpstr>
      <vt:lpstr>EN_1000_004</vt:lpstr>
      <vt:lpstr>EN_1000_004 Drawing</vt:lpstr>
      <vt:lpstr>EN_A1100</vt:lpstr>
      <vt:lpstr>EN_1100_001</vt:lpstr>
      <vt:lpstr>EN_1100_002</vt:lpstr>
      <vt:lpstr>EN_1100_003</vt:lpstr>
      <vt:lpstr>EN_1100_003 Drawing</vt:lpstr>
      <vt:lpstr>EN_1100_004</vt:lpstr>
      <vt:lpstr>EN_1100_004 Drawing</vt:lpstr>
      <vt:lpstr>EN_1100_005</vt:lpstr>
      <vt:lpstr>EN_1100_005 Drawing</vt:lpstr>
      <vt:lpstr>EN_1100_006</vt:lpstr>
      <vt:lpstr>EN_1100_006 Drawing</vt:lpstr>
      <vt:lpstr>dEN_0300_002</vt:lpstr>
      <vt:lpstr>dEN_0300_009</vt:lpstr>
      <vt:lpstr>dEN_0300_010</vt:lpstr>
      <vt:lpstr>dEN_0300_011</vt:lpstr>
      <vt:lpstr>dEN_0300_012</vt:lpstr>
      <vt:lpstr>dEN_0300_013</vt:lpstr>
      <vt:lpstr>EN</vt:lpstr>
      <vt:lpstr>EN_02001</vt:lpstr>
      <vt:lpstr>EN_02001_m</vt:lpstr>
      <vt:lpstr>EN_02001_p</vt:lpstr>
      <vt:lpstr>EN_02001_q</vt:lpstr>
      <vt:lpstr>EN_02002</vt:lpstr>
      <vt:lpstr>EN_02002_m</vt:lpstr>
      <vt:lpstr>EN_02002_p</vt:lpstr>
      <vt:lpstr>EN_02002_q</vt:lpstr>
      <vt:lpstr>EN_02003</vt:lpstr>
      <vt:lpstr>EN_02003_m</vt:lpstr>
      <vt:lpstr>EN_02003_p</vt:lpstr>
      <vt:lpstr>EN_02003_q</vt:lpstr>
      <vt:lpstr>EN_02003_t</vt:lpstr>
      <vt:lpstr>EN_02004</vt:lpstr>
      <vt:lpstr>EN_02004_m</vt:lpstr>
      <vt:lpstr>EN_02004_p</vt:lpstr>
      <vt:lpstr>EN_02004_q</vt:lpstr>
      <vt:lpstr>EN_02004_t</vt:lpstr>
      <vt:lpstr>EN_02005</vt:lpstr>
      <vt:lpstr>EN_02005_m</vt:lpstr>
      <vt:lpstr>EN_02005_p</vt:lpstr>
      <vt:lpstr>EN_02005_q</vt:lpstr>
      <vt:lpstr>EN_02006</vt:lpstr>
      <vt:lpstr>EN_02006_m</vt:lpstr>
      <vt:lpstr>EN_02006_p</vt:lpstr>
      <vt:lpstr>EN_02006_q</vt:lpstr>
      <vt:lpstr>EN_02006_t</vt:lpstr>
      <vt:lpstr>EN_02007</vt:lpstr>
      <vt:lpstr>EN_02007_m</vt:lpstr>
      <vt:lpstr>EN_02007_p</vt:lpstr>
      <vt:lpstr>EN_02007_q</vt:lpstr>
      <vt:lpstr>EN_02007_t</vt:lpstr>
      <vt:lpstr>EN_02008</vt:lpstr>
      <vt:lpstr>EN_02008_m</vt:lpstr>
      <vt:lpstr>EN_02008_p</vt:lpstr>
      <vt:lpstr>EN_02008_q</vt:lpstr>
      <vt:lpstr>EN_02009</vt:lpstr>
      <vt:lpstr>EN_02009_m</vt:lpstr>
      <vt:lpstr>EN_02009_p</vt:lpstr>
      <vt:lpstr>EN_02009_q</vt:lpstr>
      <vt:lpstr>EN_02009_t</vt:lpstr>
      <vt:lpstr>EN_02010</vt:lpstr>
      <vt:lpstr>EN_02010_m</vt:lpstr>
      <vt:lpstr>EN_02010_p</vt:lpstr>
      <vt:lpstr>EN_02010_q</vt:lpstr>
      <vt:lpstr>EN_0300_001</vt:lpstr>
      <vt:lpstr>EN_0300_001_f</vt:lpstr>
      <vt:lpstr>EN_0300_001_m</vt:lpstr>
      <vt:lpstr>EN_0300_001_p</vt:lpstr>
      <vt:lpstr>EN_0300_001_q</vt:lpstr>
      <vt:lpstr>EN_0300_001_t</vt:lpstr>
      <vt:lpstr>EN_0300_002</vt:lpstr>
      <vt:lpstr>EN_0300_002_f</vt:lpstr>
      <vt:lpstr>EN_0300_002_m</vt:lpstr>
      <vt:lpstr>EN_0300_002_p</vt:lpstr>
      <vt:lpstr>EN_0300_002_q</vt:lpstr>
      <vt:lpstr>EN_0300_002_t</vt:lpstr>
      <vt:lpstr>EN_0300_003</vt:lpstr>
      <vt:lpstr>EN_0300_003_f</vt:lpstr>
      <vt:lpstr>EN_0300_003_m</vt:lpstr>
      <vt:lpstr>EN_0300_003_p</vt:lpstr>
      <vt:lpstr>EN_0300_003_q</vt:lpstr>
      <vt:lpstr>EN_0300_003_t</vt:lpstr>
      <vt:lpstr>EN_0300_009</vt:lpstr>
      <vt:lpstr>EN_0300_009_f</vt:lpstr>
      <vt:lpstr>EN_0300_009_m</vt:lpstr>
      <vt:lpstr>EN_0300_009_p</vt:lpstr>
      <vt:lpstr>EN_0300_009_q</vt:lpstr>
      <vt:lpstr>EN_0300_009_t</vt:lpstr>
      <vt:lpstr>EN_0300_010</vt:lpstr>
      <vt:lpstr>EN_0300_010_f</vt:lpstr>
      <vt:lpstr>EN_0300_010_m</vt:lpstr>
      <vt:lpstr>EN_0300_010_p</vt:lpstr>
      <vt:lpstr>EN_0300_010_q</vt:lpstr>
      <vt:lpstr>EN_0300_010_t</vt:lpstr>
      <vt:lpstr>EN_0300_011</vt:lpstr>
      <vt:lpstr>EN_0300_011_f</vt:lpstr>
      <vt:lpstr>EN_0300_011_m</vt:lpstr>
      <vt:lpstr>EN_0300_011_p</vt:lpstr>
      <vt:lpstr>EN_0300_011_q</vt:lpstr>
      <vt:lpstr>EN_0300_011_t</vt:lpstr>
      <vt:lpstr>EN_0300_012</vt:lpstr>
      <vt:lpstr>EN_0300_012_f</vt:lpstr>
      <vt:lpstr>EN_0300_012_m</vt:lpstr>
      <vt:lpstr>EN_0300_012_p</vt:lpstr>
      <vt:lpstr>EN_0300_012_q</vt:lpstr>
      <vt:lpstr>EN_0300_012_t</vt:lpstr>
      <vt:lpstr>EN_0300_013</vt:lpstr>
      <vt:lpstr>EN_0300_013_f</vt:lpstr>
      <vt:lpstr>EN_0300_013_m</vt:lpstr>
      <vt:lpstr>EN_0300_013_p</vt:lpstr>
      <vt:lpstr>EN_0300_013_q</vt:lpstr>
      <vt:lpstr>EN_0300_013_t</vt:lpstr>
      <vt:lpstr>EN_0400_001</vt:lpstr>
      <vt:lpstr>EN_0400_001_f</vt:lpstr>
      <vt:lpstr>EN_0400_001_m</vt:lpstr>
      <vt:lpstr>EN_0400_001_p</vt:lpstr>
      <vt:lpstr>EN_0400_001_q</vt:lpstr>
      <vt:lpstr>EN_0400_001_t</vt:lpstr>
      <vt:lpstr>EN_0400_002</vt:lpstr>
      <vt:lpstr>EN_0400_002_f</vt:lpstr>
      <vt:lpstr>EN_0400_002_m</vt:lpstr>
      <vt:lpstr>EN_0400_002_p</vt:lpstr>
      <vt:lpstr>EN_0400_002_q</vt:lpstr>
      <vt:lpstr>EN_0400_002_t</vt:lpstr>
      <vt:lpstr>EN_0400_003</vt:lpstr>
      <vt:lpstr>EN_0400_003_f</vt:lpstr>
      <vt:lpstr>EN_0400_003_m</vt:lpstr>
      <vt:lpstr>EN_0400_003_p</vt:lpstr>
      <vt:lpstr>EN_0400_003_q</vt:lpstr>
      <vt:lpstr>EN_0400_003_t</vt:lpstr>
      <vt:lpstr>EN_0400_004</vt:lpstr>
      <vt:lpstr>EN_0400_004_f</vt:lpstr>
      <vt:lpstr>EN_0400_004_m</vt:lpstr>
      <vt:lpstr>EN_0400_004_p</vt:lpstr>
      <vt:lpstr>EN_0400_004_q</vt:lpstr>
      <vt:lpstr>EN_0400_004_t</vt:lpstr>
      <vt:lpstr>EN_0400_005</vt:lpstr>
      <vt:lpstr>EN_0400_005_f</vt:lpstr>
      <vt:lpstr>EN_0400_005_m</vt:lpstr>
      <vt:lpstr>EN_0400_005_p</vt:lpstr>
      <vt:lpstr>EN_0400_005_q</vt:lpstr>
      <vt:lpstr>EN_0400_005_t</vt:lpstr>
      <vt:lpstr>EN_0400_006</vt:lpstr>
      <vt:lpstr>EN_0400_006_f</vt:lpstr>
      <vt:lpstr>EN_0400_006_m</vt:lpstr>
      <vt:lpstr>EN_0400_006_p</vt:lpstr>
      <vt:lpstr>EN_0400_006_q</vt:lpstr>
      <vt:lpstr>EN_0400_006_t</vt:lpstr>
      <vt:lpstr>EN_0400_007</vt:lpstr>
      <vt:lpstr>EN_0400_007_f</vt:lpstr>
      <vt:lpstr>EN_0400_007_m</vt:lpstr>
      <vt:lpstr>EN_0400_007_p</vt:lpstr>
      <vt:lpstr>EN_0400_007_q</vt:lpstr>
      <vt:lpstr>EN_0400_007_t</vt:lpstr>
      <vt:lpstr>EN_0400_008</vt:lpstr>
      <vt:lpstr>EN_0400_008_f</vt:lpstr>
      <vt:lpstr>EN_0400_008_m</vt:lpstr>
      <vt:lpstr>EN_0400_008_p</vt:lpstr>
      <vt:lpstr>EN_0400_008_q</vt:lpstr>
      <vt:lpstr>EN_0400_008_t</vt:lpstr>
      <vt:lpstr>EN_0400_009</vt:lpstr>
      <vt:lpstr>EN_0400_009_f</vt:lpstr>
      <vt:lpstr>EN_0400_009_m</vt:lpstr>
      <vt:lpstr>EN_0400_009_p</vt:lpstr>
      <vt:lpstr>EN_0400_009_q</vt:lpstr>
      <vt:lpstr>EN_0400_009_t</vt:lpstr>
      <vt:lpstr>EN_0900_001</vt:lpstr>
      <vt:lpstr>EN_0900_001_f</vt:lpstr>
      <vt:lpstr>EN_0900_001_m</vt:lpstr>
      <vt:lpstr>EN_0900_001_p</vt:lpstr>
      <vt:lpstr>EN_0900_001_q</vt:lpstr>
      <vt:lpstr>EN_0900_002</vt:lpstr>
      <vt:lpstr>EN_0900_002_m</vt:lpstr>
      <vt:lpstr>EN_0900_002_p</vt:lpstr>
      <vt:lpstr>EN_0900_002_q</vt:lpstr>
      <vt:lpstr>EN_0900_003</vt:lpstr>
      <vt:lpstr>EN_0900_003_m</vt:lpstr>
      <vt:lpstr>EN_0900_003_p</vt:lpstr>
      <vt:lpstr>EN_0900_003_q</vt:lpstr>
      <vt:lpstr>EN_0900_004</vt:lpstr>
      <vt:lpstr>EN_0900_004_m</vt:lpstr>
      <vt:lpstr>EN_0900_004_p</vt:lpstr>
      <vt:lpstr>EN_0900_004_q</vt:lpstr>
      <vt:lpstr>EN_0900_005</vt:lpstr>
      <vt:lpstr>EN_0900_005_m</vt:lpstr>
      <vt:lpstr>EN_0900_005_p</vt:lpstr>
      <vt:lpstr>EN_0900_005_q</vt:lpstr>
      <vt:lpstr>EN_0900_006</vt:lpstr>
      <vt:lpstr>EN_0900_006_m</vt:lpstr>
      <vt:lpstr>EN_0900_006_p</vt:lpstr>
      <vt:lpstr>EN_0900_006_q</vt:lpstr>
      <vt:lpstr>EN_0900_007</vt:lpstr>
      <vt:lpstr>EN_0900_007_m</vt:lpstr>
      <vt:lpstr>EN_0900_007_p</vt:lpstr>
      <vt:lpstr>EN_0900_007_q</vt:lpstr>
      <vt:lpstr>EN_0900_008</vt:lpstr>
      <vt:lpstr>EN_0900_008_m</vt:lpstr>
      <vt:lpstr>EN_0900_008_p</vt:lpstr>
      <vt:lpstr>EN_0900_008_q</vt:lpstr>
      <vt:lpstr>EN_0900_009</vt:lpstr>
      <vt:lpstr>EN_0900_009_m</vt:lpstr>
      <vt:lpstr>EN_0900_009_p</vt:lpstr>
      <vt:lpstr>EN_0900_009_q</vt:lpstr>
      <vt:lpstr>EN_1000_001</vt:lpstr>
      <vt:lpstr>EN_1000_001_m</vt:lpstr>
      <vt:lpstr>EN_1000_001_p</vt:lpstr>
      <vt:lpstr>EN_1000_001_q</vt:lpstr>
      <vt:lpstr>EN_1000_002</vt:lpstr>
      <vt:lpstr>EN_1000_002_m</vt:lpstr>
      <vt:lpstr>EN_1000_002_p</vt:lpstr>
      <vt:lpstr>EN_1000_002_q</vt:lpstr>
      <vt:lpstr>EN_1000_003</vt:lpstr>
      <vt:lpstr>EN_1000_003_m</vt:lpstr>
      <vt:lpstr>EN_1000_003_p</vt:lpstr>
      <vt:lpstr>EN_1000_003_q</vt:lpstr>
      <vt:lpstr>EN_1000_004</vt:lpstr>
      <vt:lpstr>EN_1000_004_m</vt:lpstr>
      <vt:lpstr>EN_1000_004_p</vt:lpstr>
      <vt:lpstr>EN_1000_004_q</vt:lpstr>
      <vt:lpstr>EN_1100_001</vt:lpstr>
      <vt:lpstr>EN_1100_001_m</vt:lpstr>
      <vt:lpstr>EN_1100_001_p</vt:lpstr>
      <vt:lpstr>EN_1100_001_q</vt:lpstr>
      <vt:lpstr>EN_1100_002</vt:lpstr>
      <vt:lpstr>EN_1100_002_m</vt:lpstr>
      <vt:lpstr>EN_1100_002_p</vt:lpstr>
      <vt:lpstr>EN_1100_002_q</vt:lpstr>
      <vt:lpstr>EN_1100_003</vt:lpstr>
      <vt:lpstr>EN_1100_003_m</vt:lpstr>
      <vt:lpstr>EN_1100_003_p</vt:lpstr>
      <vt:lpstr>EN_1100_003_q</vt:lpstr>
      <vt:lpstr>EN_1100_004</vt:lpstr>
      <vt:lpstr>EN_1100_004_m</vt:lpstr>
      <vt:lpstr>EN_1100_004_p</vt:lpstr>
      <vt:lpstr>EN_1100_004_q</vt:lpstr>
      <vt:lpstr>EN_1100_005</vt:lpstr>
      <vt:lpstr>EN_1100_005_m</vt:lpstr>
      <vt:lpstr>EN_1100_005_p</vt:lpstr>
      <vt:lpstr>EN_1100_005_q</vt:lpstr>
      <vt:lpstr>EN_1100_006</vt:lpstr>
      <vt:lpstr>EN_1100_006_m</vt:lpstr>
      <vt:lpstr>EN_1100_006_p</vt:lpstr>
      <vt:lpstr>EN_1100_006_q</vt:lpstr>
      <vt:lpstr>EN_A0001_f</vt:lpstr>
      <vt:lpstr>EN_A0001_m</vt:lpstr>
      <vt:lpstr>EN_A0001_p</vt:lpstr>
      <vt:lpstr>EN_A0001_pa</vt:lpstr>
      <vt:lpstr>EN_A0001_q</vt:lpstr>
      <vt:lpstr>EN_A0001_t</vt:lpstr>
      <vt:lpstr>EN_A0200</vt:lpstr>
      <vt:lpstr>EN_A0200_BOM</vt:lpstr>
      <vt:lpstr>EN_A0200_f</vt:lpstr>
      <vt:lpstr>EN_A0200_m</vt:lpstr>
      <vt:lpstr>EN_A0200_p</vt:lpstr>
      <vt:lpstr>EN_A0200_pa</vt:lpstr>
      <vt:lpstr>EN_A0200_q</vt:lpstr>
      <vt:lpstr>EN_A0200_t</vt:lpstr>
      <vt:lpstr>EN_A0300</vt:lpstr>
      <vt:lpstr>EN_A0300_BOM</vt:lpstr>
      <vt:lpstr>EN_A0300_f</vt:lpstr>
      <vt:lpstr>EN_A0300_m</vt:lpstr>
      <vt:lpstr>EN_A0300_p</vt:lpstr>
      <vt:lpstr>EN_A0300_pa</vt:lpstr>
      <vt:lpstr>EN_A0300_q</vt:lpstr>
      <vt:lpstr>EN_A0300_t</vt:lpstr>
      <vt:lpstr>EN_A0400</vt:lpstr>
      <vt:lpstr>EN_A0400_BOM</vt:lpstr>
      <vt:lpstr>EN_A0400_f</vt:lpstr>
      <vt:lpstr>EN_A0400_m</vt:lpstr>
      <vt:lpstr>EN_A0400_p</vt:lpstr>
      <vt:lpstr>EN_A0400_pa</vt:lpstr>
      <vt:lpstr>EN_A0400_q</vt:lpstr>
      <vt:lpstr>EN_A0400_t</vt:lpstr>
      <vt:lpstr>EN_A0900</vt:lpstr>
      <vt:lpstr>EN_A0900_BOM</vt:lpstr>
      <vt:lpstr>EN_A0900_f</vt:lpstr>
      <vt:lpstr>EN_A0900_m</vt:lpstr>
      <vt:lpstr>EN_A0900_p</vt:lpstr>
      <vt:lpstr>EN_A0900_pa</vt:lpstr>
      <vt:lpstr>EN_A0900_q</vt:lpstr>
      <vt:lpstr>EN_A0900_t</vt:lpstr>
      <vt:lpstr>EN_A0900p</vt:lpstr>
      <vt:lpstr>EN_A090f</vt:lpstr>
      <vt:lpstr>EN_A1000_f</vt:lpstr>
      <vt:lpstr>EN_A1000_m</vt:lpstr>
      <vt:lpstr>EN_A1000_p</vt:lpstr>
      <vt:lpstr>EN_A1000_pa</vt:lpstr>
      <vt:lpstr>EN_A1100</vt:lpstr>
      <vt:lpstr>EN_A1100_f</vt:lpstr>
      <vt:lpstr>EN_A1100_m</vt:lpstr>
      <vt:lpstr>EN_A1100_p</vt:lpstr>
      <vt:lpstr>EN_A1100_pa</vt:lpstr>
      <vt:lpstr>EN_A1100_q</vt:lpstr>
      <vt:lpstr>EN_A1100_t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2018-04-26T18:14:56Z</dcterms:modified>
  <dc:language>fr-FR</dc:language>
</cp:coreProperties>
</file>