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CDC83802-8BF1-407C-85A5-7F4EDCB44E87}" xr6:coauthVersionLast="31" xr6:coauthVersionMax="31" xr10:uidLastSave="{00000000-0000-0000-0000-000000000000}"/>
  <bookViews>
    <workbookView xWindow="4740" yWindow="60" windowWidth="16380" windowHeight="8196" firstSheet="2" activeTab="2" xr2:uid="{00000000-000D-0000-FFFF-FFFF00000000}"/>
  </bookViews>
  <sheets>
    <sheet name="Instructions" sheetId="7" r:id="rId1"/>
    <sheet name="BOM" sheetId="8" r:id="rId2"/>
    <sheet name="FR A0700" sheetId="1" r:id="rId3"/>
    <sheet name="FR_0700_000" sheetId="2" r:id="rId4"/>
    <sheet name="dFR_0700_000" sheetId="9" r:id="rId5"/>
    <sheet name="FR_0700_001" sheetId="13" r:id="rId6"/>
    <sheet name="dFR_0700_001" sheetId="14" r:id="rId7"/>
    <sheet name="FR_0700_002" sheetId="15" r:id="rId8"/>
    <sheet name="dFR_0700_002" sheetId="33" r:id="rId9"/>
    <sheet name="FR_0700_003" sheetId="20" r:id="rId10"/>
    <sheet name="dFR_0700_003" sheetId="34" r:id="rId11"/>
    <sheet name="FR_0700_004" sheetId="21" r:id="rId12"/>
    <sheet name="dFR_0700_004" sheetId="35" r:id="rId13"/>
    <sheet name="FR_0700_005" sheetId="22" r:id="rId14"/>
    <sheet name="dFR_0700_005" sheetId="36" r:id="rId15"/>
    <sheet name="FR_0700_006" sheetId="23" r:id="rId16"/>
    <sheet name="dFR_0700_006" sheetId="37" r:id="rId17"/>
    <sheet name="FR_0700_007" sheetId="24" r:id="rId18"/>
    <sheet name="dFR_0700_007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700_000">FR_0700_000!$B$6</definedName>
    <definedName name="FR_0700_000_m">FR_0700_000!$N$12</definedName>
    <definedName name="FR_0700_000_p">FR_0700_000!$I$21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FR_0700_002!$I$21</definedName>
    <definedName name="FR_0700_002_q">FR_0700_002!$N$3</definedName>
    <definedName name="FR_0700_003">FR_0700_003!$B$6</definedName>
    <definedName name="FR_0700_003_m">FR_0700_003!$N$13</definedName>
    <definedName name="FR_0700_003_p">FR_0700_003!$I$21</definedName>
    <definedName name="FR_0700_003_q">FR_0700_003!$N$3</definedName>
    <definedName name="FR_0700_004">FR_0700_004!$B$6</definedName>
    <definedName name="FR_0700_004_m">FR_0700_004!$N$13</definedName>
    <definedName name="FR_0700_004_p">FR_0700_004!$I$21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700">'FR A0700'!$B$5</definedName>
    <definedName name="FR_A0700_f">'FR A0700'!$J$40</definedName>
    <definedName name="FR_A0700_m">'FR A0700'!$N$23</definedName>
    <definedName name="FR_A0700_p">'FR A0700'!$I$31</definedName>
    <definedName name="FR_A0700_pa">'FR A0700'!$E$18</definedName>
    <definedName name="FR_A0700_q">'FR A0700'!$N$3</definedName>
    <definedName name="FR_A0700_t">'FR A0700'!$I$44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A0700'!$A$5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J12" i="20" l="1"/>
  <c r="N13" i="21"/>
  <c r="I21" i="20"/>
  <c r="K12" i="20"/>
  <c r="N12" i="20"/>
  <c r="N13" i="20" s="1"/>
  <c r="K12" i="21"/>
  <c r="N12" i="21"/>
  <c r="J12" i="21"/>
  <c r="I21" i="21"/>
  <c r="J11" i="21"/>
  <c r="F19" i="21" s="1"/>
  <c r="I19" i="21" s="1"/>
  <c r="K11" i="21"/>
  <c r="K11" i="20"/>
  <c r="J11" i="20"/>
  <c r="F19" i="20" s="1"/>
  <c r="I19" i="20" s="1"/>
  <c r="I20" i="21"/>
  <c r="F18" i="21"/>
  <c r="I18" i="21" s="1"/>
  <c r="I17" i="21"/>
  <c r="F17" i="21"/>
  <c r="I16" i="21"/>
  <c r="N11" i="21"/>
  <c r="N11" i="20"/>
  <c r="I20" i="20"/>
  <c r="F18" i="20"/>
  <c r="I18" i="20" s="1"/>
  <c r="F17" i="20"/>
  <c r="I17" i="20" s="1"/>
  <c r="I16" i="20"/>
  <c r="N11" i="15"/>
  <c r="K11" i="15"/>
  <c r="I20" i="15"/>
  <c r="I19" i="15"/>
  <c r="F18" i="15"/>
  <c r="I18" i="15" s="1"/>
  <c r="F17" i="15"/>
  <c r="I17" i="15" s="1"/>
  <c r="F16" i="15"/>
  <c r="I16" i="15" s="1"/>
  <c r="I15" i="15"/>
  <c r="I21" i="2"/>
  <c r="N11" i="13"/>
  <c r="K11" i="13"/>
  <c r="I20" i="13"/>
  <c r="I19" i="13"/>
  <c r="F18" i="13"/>
  <c r="I18" i="13" s="1"/>
  <c r="F17" i="13"/>
  <c r="I17" i="13" s="1"/>
  <c r="F16" i="13"/>
  <c r="I16" i="13" s="1"/>
  <c r="I15" i="13"/>
  <c r="I15" i="2"/>
  <c r="I20" i="2"/>
  <c r="F18" i="2"/>
  <c r="F17" i="2"/>
  <c r="F16" i="2"/>
  <c r="F25" i="2" s="1"/>
  <c r="I25" i="2" s="1"/>
  <c r="I26" i="2" s="1"/>
  <c r="K11" i="2"/>
  <c r="I21" i="15" l="1"/>
  <c r="I21" i="13"/>
  <c r="I16" i="24"/>
  <c r="J11" i="24"/>
  <c r="F26" i="1"/>
  <c r="J11" i="23"/>
  <c r="F27" i="1"/>
  <c r="J11" i="22"/>
  <c r="J38" i="1"/>
  <c r="J39" i="1"/>
  <c r="D37" i="1"/>
  <c r="J37" i="1" s="1"/>
  <c r="E22" i="1"/>
  <c r="M22" i="1" s="1"/>
  <c r="N22" i="1" s="1"/>
  <c r="E21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M21" i="1" l="1"/>
  <c r="N21" i="1" s="1"/>
  <c r="N23" i="1" s="1"/>
  <c r="D17" i="1" l="1"/>
  <c r="I15" i="24"/>
  <c r="N11" i="24"/>
  <c r="N12" i="24" s="1"/>
  <c r="J15" i="8" s="1"/>
  <c r="B4" i="24"/>
  <c r="B3" i="24"/>
  <c r="D16" i="1"/>
  <c r="I16" i="23"/>
  <c r="I15" i="23"/>
  <c r="N11" i="23"/>
  <c r="N12" i="23" s="1"/>
  <c r="J14" i="8" s="1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J12" i="8"/>
  <c r="B4" i="21"/>
  <c r="B3" i="21"/>
  <c r="D12" i="1"/>
  <c r="D13" i="1"/>
  <c r="J11" i="8"/>
  <c r="B4" i="20"/>
  <c r="B3" i="20"/>
  <c r="N12" i="15"/>
  <c r="J10" i="8" s="1"/>
  <c r="B4" i="15"/>
  <c r="B3" i="15"/>
  <c r="I17" i="24" l="1"/>
  <c r="K15" i="8" s="1"/>
  <c r="I17" i="23"/>
  <c r="K14" i="8" s="1"/>
  <c r="I17" i="22"/>
  <c r="K13" i="8" s="1"/>
  <c r="K10" i="8"/>
  <c r="I9" i="8"/>
  <c r="F9" i="8"/>
  <c r="D10" i="1"/>
  <c r="N12" i="13"/>
  <c r="N11" i="2"/>
  <c r="B4" i="13"/>
  <c r="B3" i="13"/>
  <c r="N2" i="24" l="1"/>
  <c r="N5" i="24" s="1"/>
  <c r="K9" i="8"/>
  <c r="N2" i="23"/>
  <c r="N5" i="23" s="1"/>
  <c r="N2" i="21"/>
  <c r="N5" i="21" s="1"/>
  <c r="K12" i="8"/>
  <c r="N2" i="22"/>
  <c r="N5" i="22" s="1"/>
  <c r="N2" i="20"/>
  <c r="N5" i="20" s="1"/>
  <c r="K11" i="8"/>
  <c r="J9" i="8"/>
  <c r="N2" i="15"/>
  <c r="D36" i="1"/>
  <c r="J36" i="1" s="1"/>
  <c r="D34" i="1"/>
  <c r="J35" i="1"/>
  <c r="N2" i="13" l="1"/>
  <c r="C11" i="1" s="1"/>
  <c r="C17" i="1"/>
  <c r="N5" i="15"/>
  <c r="C12" i="1"/>
  <c r="C14" i="1"/>
  <c r="C16" i="1"/>
  <c r="C15" i="1"/>
  <c r="C13" i="1"/>
  <c r="J34" i="1"/>
  <c r="N5" i="13" l="1"/>
  <c r="I27" i="1"/>
  <c r="I28" i="1"/>
  <c r="I29" i="1"/>
  <c r="I30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9" i="2"/>
  <c r="I18" i="2"/>
  <c r="I17" i="2"/>
  <c r="I16" i="2"/>
  <c r="N12" i="2"/>
  <c r="I43" i="1"/>
  <c r="J40" i="1"/>
  <c r="L7" i="8" s="1"/>
  <c r="I26" i="1"/>
  <c r="I31" i="1" s="1"/>
  <c r="K7" i="8" s="1"/>
  <c r="J8" i="8" l="1"/>
  <c r="L16" i="8"/>
  <c r="I44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<sst xmlns="http://schemas.openxmlformats.org/spreadsheetml/2006/main" count="738" uniqueCount="210">
  <si>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</si>
  <si>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</si>
  <si>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</si>
  <si>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</si>
  <si>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</si>
  <si>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</si>
  <si>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</si>
  <si>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</si>
  <si>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</si>
  <si>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</si>
  <si>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</si>
  <si>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</si>
  <si>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</si>
  <si>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</si>
  <si>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</si>
  <si>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</si>
  <si>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</si>
  <si>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</si>
  <si>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</si>
  <si>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</si>
  <si>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</si>
  <si>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</si>
  <si>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</si>
  <si>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</si>
  <si>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</si>
  <si>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</si>
  <si>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</si>
  <si>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</si>
  <si>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</si>
  <si>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</si>
  <si>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</si>
  <si>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</si>
  <si>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</si>
  <si>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</si>
  <si>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</si>
  <si>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</si>
  <si>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</si>
  <si>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</si>
  <si>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</si>
  <si>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</si>
  <si>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</si>
  <si>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</si>
  <si>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</si>
  <si>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</si>
  <si>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</si>
  <si>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</si>
  <si>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</si>
  <si>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</si>
  <si>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</si>
  <si>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</si>
  <si>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</si>
  <si>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</si>
  <si>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</si>
  <si>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</si>
  <si>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</si>
  <si>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</si>
  <si>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</si>
  <si>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</si>
  <si>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</si>
  <si>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</si>
  <si>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</si>
  <si>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</si>
  <si>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</si>
  <si>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</si>
  <si>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</si>
  <si>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</si>
  <si>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</si>
  <si>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</si>
  <si>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</si>
  <si>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</si>
  <si>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</si>
  <si>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</si>
  <si>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</si>
  <si>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</si>
  <si>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</si>
  <si>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</si>
  <si>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</si>
  <si>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</si>
  <si>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</si>
  <si>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</si>
  <si>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</si>
  <si>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</si>
  <si>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</si>
  <si>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</si>
  <si>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</si>
  <si>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</si>
  <si>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</si>
  <si>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</si>
  <si>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</si>
  <si>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</si>
  <si>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</si>
  <si>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</si>
  <si>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</si>
  <si>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</si>
  <si>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</si>
  <si>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</si>
  <si>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</si>
  <si>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</si>
  <si>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</si>
  <si>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</si>
  <si>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</si>
  <si>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</si>
  <si>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</si>
  <si>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</si>
  <si>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</si>
  <si>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</si>
  <si>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</si>
  <si>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</si>
  <si>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</si>
  <si>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</si>
  <si>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</si>
  <si>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</si>
  <si>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</si>
  <si>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</si>
  <si>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</si>
  <si>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</si>
  <si>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</si>
  <si>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</si>
  <si>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</si>
  <si>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</si>
  <si>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</si>
  <si>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</si>
  <si>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</si>
  <si>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</si>
  <si>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</si>
  <si>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</si>
  <si>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</si>
  <si>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</si>
  <si>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</si>
  <si>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</si>
  <si>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</si>
  <si>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</si>
  <si>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</si>
  <si>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</si>
  <si>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</si>
  <si>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</si>
  <si>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</si>
  <si>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</si>
  <si>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</si>
  <si>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</si>
  <si>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</si>
  <si>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</si>
  <si>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</si>
  <si>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</si>
  <si>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</si>
  <si>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</si>
  <si>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</si>
  <si>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</si>
  <si>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 xml:space="preserve">Drawing part : </t>
  </si>
  <si>
    <t>FR_0300_001</t>
  </si>
  <si>
    <t>FR_0300_002</t>
  </si>
  <si>
    <t>FR_0300_003</t>
  </si>
  <si>
    <t>FR_0300_004</t>
  </si>
  <si>
    <t>frontal area</t>
  </si>
  <si>
    <t>FR_0300_005</t>
  </si>
  <si>
    <t>FR_0300_006</t>
  </si>
  <si>
    <t>frontal Area</t>
  </si>
  <si>
    <t>FR_0300_007</t>
  </si>
  <si>
    <t xml:space="preserve">Drawing Part : </t>
  </si>
  <si>
    <t>4 parts cut from a single machine setup</t>
  </si>
  <si>
    <t>Material - Steel</t>
  </si>
  <si>
    <t>2 parts cut from a single machine setup</t>
  </si>
  <si>
    <t>Paint</t>
  </si>
  <si>
    <t>FR A0700</t>
  </si>
  <si>
    <t>Bodywork</t>
  </si>
  <si>
    <t>The assembly of the bodywork</t>
  </si>
  <si>
    <t>Nose</t>
  </si>
  <si>
    <t>Back Inlet Bracket</t>
  </si>
  <si>
    <t>Right Inlet</t>
  </si>
  <si>
    <t>Left Inlet</t>
  </si>
  <si>
    <t>Front Inlet Bracket</t>
  </si>
  <si>
    <t>FR_0700_007</t>
  </si>
  <si>
    <t>FR_0700_006</t>
  </si>
  <si>
    <t>FR_0700_005</t>
  </si>
  <si>
    <t>FR_0700_004</t>
  </si>
  <si>
    <t>FR_0700_003</t>
  </si>
  <si>
    <t>FR_0700_002</t>
  </si>
  <si>
    <t>FR_0700_001</t>
  </si>
  <si>
    <t>FR_0700_000</t>
  </si>
  <si>
    <t>Nose covering the front of the chassis</t>
  </si>
  <si>
    <t>Left Inlet covering the cooling system</t>
  </si>
  <si>
    <t>Right Inlet covering the exhaust system</t>
  </si>
  <si>
    <t xml:space="preserve">Front Side Plate </t>
  </si>
  <si>
    <t>Front Side plate</t>
  </si>
  <si>
    <t>Front Side Plate</t>
  </si>
  <si>
    <t>Back Side Plate</t>
  </si>
  <si>
    <t>Painting the Brackets</t>
  </si>
  <si>
    <t>Nose Bracket</t>
  </si>
  <si>
    <t>2 parts made from the same plate</t>
  </si>
  <si>
    <t>Painting the Nose, the Right Inlet and the Left Inlet</t>
  </si>
  <si>
    <t>Pin, Quick Release</t>
  </si>
  <si>
    <t>Fixing the Nose to the Brackets</t>
  </si>
  <si>
    <t>Hook and Loop, Hook Side (Velcro)</t>
  </si>
  <si>
    <t>cm^2</t>
  </si>
  <si>
    <t>Hook and Loop, Loop Side (Velcro)</t>
  </si>
  <si>
    <t>Fixing the Side Plates</t>
  </si>
  <si>
    <t>Welding the Brackets</t>
  </si>
  <si>
    <t>Steel, Alloy (kg)</t>
  </si>
  <si>
    <t>Glass Fiber, 1 Ply (kg)</t>
  </si>
  <si>
    <t>Lamination, Manual</t>
  </si>
  <si>
    <t>For the 2 plies</t>
  </si>
  <si>
    <t>Resin application, Manual</t>
  </si>
  <si>
    <t>Cure, Room Temperature</t>
  </si>
  <si>
    <t>Drilled holes &lt; 25.4 mm dia.</t>
  </si>
  <si>
    <t>hole</t>
  </si>
  <si>
    <t>Lamination - Mold Tool</t>
  </si>
  <si>
    <t>Cut (scissors, knife)</t>
  </si>
  <si>
    <t>Waterjet Cut</t>
  </si>
  <si>
    <t>Material  - Composite</t>
  </si>
  <si>
    <t>Carbon Fiber, 1 Ply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</si>
</sst>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_(* #,##0.00000_);_(* \(#,##0.00000\);_(* \-??_);_(@_)"/>
    <numFmt numFmtId="179" formatCode="_(&quot;$&quot;* #,##0.000_);_(&quot;$&quot;* \(#,##0.000\);_(&quot;$&quot;* &quot;-&quot;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FFCCFF"/>
        <bgColor rgb="FFFCD5B5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1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  <xf numFmtId="44" fontId="5" fillId="0" borderId="0" applyFont="0" applyFill="0" applyBorder="0" applyAlignment="0" applyProtection="0"/>
  </cellStyleXfs>
  <cellXfs count="214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165" fontId="4" fillId="0" borderId="29" xfId="7" applyNumberFormat="1" applyFont="1" applyBorder="1" applyAlignment="1" applyProtection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4" fontId="4" fillId="0" borderId="3" xfId="0" applyNumberFormat="1" applyFont="1" applyBorder="1"/>
    <xf numFmtId="0" fontId="18" fillId="0" borderId="0" xfId="8" applyFill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4" fillId="0" borderId="32" xfId="0" applyFont="1" applyBorder="1"/>
    <xf numFmtId="0" fontId="11" fillId="0" borderId="34" xfId="1" applyFont="1" applyFill="1" applyBorder="1" applyProtection="1">
      <protection locked="0"/>
    </xf>
    <xf numFmtId="0" fontId="11" fillId="0" borderId="34" xfId="1" applyFont="1" applyFill="1" applyBorder="1" applyAlignment="1">
      <alignment horizontal="left"/>
    </xf>
    <xf numFmtId="18" fontId="11" fillId="0" borderId="34" xfId="1" applyNumberFormat="1" applyFont="1" applyFill="1" applyBorder="1" applyAlignment="1" applyProtection="1">
      <protection locked="0"/>
    </xf>
    <xf numFmtId="170" fontId="11" fillId="0" borderId="34" xfId="5" applyFont="1" applyFill="1" applyBorder="1" applyProtection="1">
      <protection locked="0"/>
    </xf>
    <xf numFmtId="0" fontId="11" fillId="0" borderId="34" xfId="1" applyFont="1" applyFill="1" applyBorder="1" applyAlignment="1" applyProtection="1">
      <alignment horizontal="center"/>
      <protection locked="0"/>
    </xf>
    <xf numFmtId="171" fontId="11" fillId="0" borderId="34" xfId="1" applyNumberFormat="1" applyFont="1" applyFill="1" applyBorder="1" applyAlignment="1">
      <alignment horizontal="right"/>
    </xf>
    <xf numFmtId="0" fontId="11" fillId="0" borderId="34" xfId="1" applyFont="1" applyFill="1" applyBorder="1" applyAlignment="1">
      <alignment horizontal="center"/>
    </xf>
    <xf numFmtId="0" fontId="18" fillId="9" borderId="0" xfId="8" applyFill="1"/>
    <xf numFmtId="0" fontId="24" fillId="0" borderId="35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5" xfId="0" applyFont="1" applyBorder="1"/>
    <xf numFmtId="165" fontId="4" fillId="0" borderId="35" xfId="7" applyNumberFormat="1" applyFont="1" applyBorder="1" applyAlignment="1" applyProtection="1"/>
    <xf numFmtId="164" fontId="4" fillId="0" borderId="35" xfId="7" applyNumberFormat="1" applyFont="1" applyBorder="1" applyAlignment="1" applyProtection="1"/>
    <xf numFmtId="2" fontId="4" fillId="0" borderId="35" xfId="7" applyNumberFormat="1" applyFont="1" applyBorder="1" applyAlignment="1" applyProtection="1"/>
    <xf numFmtId="168" fontId="4" fillId="0" borderId="35" xfId="7" applyNumberFormat="1" applyFont="1" applyBorder="1" applyAlignment="1" applyProtection="1"/>
    <xf numFmtId="11" fontId="4" fillId="0" borderId="35" xfId="7" applyNumberFormat="1" applyFont="1" applyBorder="1" applyAlignment="1" applyProtection="1"/>
    <xf numFmtId="0" fontId="18" fillId="0" borderId="32" xfId="8" applyNumberFormat="1" applyBorder="1" applyAlignment="1" applyProtection="1"/>
    <xf numFmtId="165" fontId="4" fillId="0" borderId="36" xfId="7" applyNumberFormat="1" applyFont="1" applyBorder="1" applyAlignment="1" applyProtection="1"/>
    <xf numFmtId="0" fontId="4" fillId="0" borderId="5" xfId="0" applyFont="1" applyBorder="1"/>
    <xf numFmtId="0" fontId="18" fillId="0" borderId="5" xfId="8" applyBorder="1" applyAlignment="1">
      <alignment wrapText="1"/>
    </xf>
    <xf numFmtId="165" fontId="4" fillId="0" borderId="37" xfId="7" applyNumberFormat="1" applyFont="1" applyBorder="1" applyAlignment="1" applyProtection="1"/>
    <xf numFmtId="0" fontId="18" fillId="0" borderId="35" xfId="8" applyFill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78" fontId="4" fillId="0" borderId="32" xfId="7" applyNumberFormat="1" applyFont="1" applyBorder="1" applyAlignment="1" applyProtection="1"/>
    <xf numFmtId="175" fontId="4" fillId="0" borderId="32" xfId="0" applyNumberFormat="1" applyFont="1" applyBorder="1"/>
    <xf numFmtId="0" fontId="25" fillId="0" borderId="29" xfId="0" applyFont="1" applyFill="1" applyBorder="1"/>
    <xf numFmtId="165" fontId="4" fillId="0" borderId="29" xfId="7" applyNumberFormat="1" applyFont="1" applyFill="1" applyBorder="1" applyAlignment="1" applyProtection="1"/>
    <xf numFmtId="0" fontId="25" fillId="0" borderId="35" xfId="0" applyFont="1" applyFill="1" applyBorder="1"/>
    <xf numFmtId="165" fontId="4" fillId="0" borderId="35" xfId="7" applyNumberFormat="1" applyFont="1" applyFill="1" applyBorder="1" applyAlignment="1" applyProtection="1"/>
    <xf numFmtId="0" fontId="25" fillId="0" borderId="35" xfId="0" applyFont="1" applyFill="1" applyBorder="1" applyAlignment="1" applyProtection="1">
      <alignment vertical="center" wrapText="1"/>
    </xf>
    <xf numFmtId="0" fontId="0" fillId="0" borderId="35" xfId="0" applyFill="1" applyBorder="1"/>
    <xf numFmtId="179" fontId="25" fillId="0" borderId="35" xfId="10" applyNumberFormat="1" applyFont="1" applyFill="1" applyBorder="1" applyAlignment="1" applyProtection="1">
      <alignment vertical="center" wrapText="1"/>
    </xf>
    <xf numFmtId="165" fontId="4" fillId="0" borderId="15" xfId="7" applyNumberFormat="1" applyFont="1" applyBorder="1" applyAlignment="1" applyProtection="1">
      <alignment horizontal="left"/>
    </xf>
    <xf numFmtId="175" fontId="0" fillId="0" borderId="15" xfId="0" applyNumberFormat="1" applyBorder="1"/>
    <xf numFmtId="178" fontId="4" fillId="0" borderId="3" xfId="7" applyNumberFormat="1" applyFont="1" applyBorder="1" applyAlignment="1" applyProtection="1"/>
    <xf numFmtId="0" fontId="3" fillId="11" borderId="15" xfId="0" applyFont="1" applyFill="1" applyBorder="1"/>
    <xf numFmtId="165" fontId="3" fillId="11" borderId="25" xfId="0" applyNumberFormat="1" applyFont="1" applyFill="1" applyBorder="1"/>
    <xf numFmtId="0" fontId="3" fillId="11" borderId="2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  <xf numFmtId="0" fontId="25" fillId="0" borderId="33" xfId="0" applyFont="1" applyBorder="1"/>
    <xf numFmtId="0" fontId="25" fillId="0" borderId="33" xfId="0" applyFont="1" applyBorder="1" applyAlignment="1">
      <alignment wrapText="1"/>
    </xf>
    <xf numFmtId="165" fontId="25" fillId="0" borderId="33" xfId="7" applyNumberFormat="1" applyFont="1" applyBorder="1" applyAlignment="1" applyProtection="1">
      <alignment wrapText="1"/>
    </xf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2" fontId="25" fillId="0" borderId="33" xfId="0" applyNumberFormat="1" applyFont="1" applyBorder="1" applyAlignment="1">
      <alignment wrapText="1"/>
    </xf>
    <xf numFmtId="165" fontId="25" fillId="0" borderId="33" xfId="7" applyNumberFormat="1" applyFont="1" applyBorder="1" applyAlignment="1" applyProtection="1"/>
    <xf numFmtId="2" fontId="25" fillId="0" borderId="33" xfId="0" applyNumberFormat="1" applyFont="1" applyBorder="1"/>
    <xf numFmtId="1" fontId="25" fillId="0" borderId="33" xfId="0" applyNumberFormat="1" applyFont="1" applyBorder="1"/>
    <xf numFmtId="174" fontId="25" fillId="0" borderId="33" xfId="0" applyNumberFormat="1" applyFont="1" applyBorder="1"/>
    <xf numFmtId="2" fontId="4" fillId="0" borderId="33" xfId="7" applyNumberFormat="1" applyFont="1" applyBorder="1" applyAlignment="1" applyProtection="1"/>
    <xf numFmtId="0" fontId="4" fillId="0" borderId="33" xfId="0" applyFont="1" applyBorder="1" applyAlignment="1"/>
    <xf numFmtId="0" fontId="4" fillId="0" borderId="33" xfId="0" applyFont="1" applyBorder="1" applyAlignment="1" applyProtection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3" fontId="4" fillId="0" borderId="33" xfId="7" applyNumberFormat="1" applyFont="1" applyBorder="1" applyAlignment="1" applyProtection="1"/>
    <xf numFmtId="178" fontId="4" fillId="0" borderId="33" xfId="7" applyNumberFormat="1" applyFont="1" applyBorder="1" applyAlignment="1" applyProtection="1"/>
    <xf numFmtId="3" fontId="0" fillId="0" borderId="33" xfId="0" applyNumberFormat="1" applyBorder="1" applyAlignment="1"/>
  </cellXfs>
  <cellStyles count="11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" xfId="10" builtinId="4"/>
    <cellStyle name="Monétaire 2" xfId="3" xr:uid="{00000000-0005-0000-0000-000005000000}"/>
    <cellStyle name="Normal" xfId="0" builtinId="0"/>
    <cellStyle name="Normal 2" xfId="1" xr:uid="{00000000-0005-0000-0000-000007000000}"/>
    <cellStyle name="Normal 3" xfId="6" xr:uid="{00000000-0005-0000-0000-000008000000}"/>
    <cellStyle name="Normal_Sheet1" xfId="9" xr:uid="{00000000-0005-0000-0000-000009000000}"/>
    <cellStyle name="TableStyleLight1" xfId="7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7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7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7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7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7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700_005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700_006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700_007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162217</xdr:rowOff>
    </xdr:from>
    <xdr:to>
      <xdr:col>9</xdr:col>
      <xdr:colOff>716280</xdr:colOff>
      <xdr:row>31</xdr:row>
      <xdr:rowOff>27543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E7E16-C0D4-478E-A615-C8C5C507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45097"/>
          <a:ext cx="7604759" cy="5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2</xdr:row>
      <xdr:rowOff>60960</xdr:rowOff>
    </xdr:from>
    <xdr:to>
      <xdr:col>9</xdr:col>
      <xdr:colOff>751928</xdr:colOff>
      <xdr:row>32</xdr:row>
      <xdr:rowOff>84690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DC9E3-89C1-4B40-A877-65D4C070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26720"/>
          <a:ext cx="7792808" cy="5510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30480</xdr:rowOff>
    </xdr:from>
    <xdr:to>
      <xdr:col>10</xdr:col>
      <xdr:colOff>139686</xdr:colOff>
      <xdr:row>31</xdr:row>
      <xdr:rowOff>101834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F051E2-FF41-4202-8EA5-26FB400A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13360"/>
          <a:ext cx="7851126" cy="5557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79272</xdr:rowOff>
    </xdr:from>
    <xdr:to>
      <xdr:col>10</xdr:col>
      <xdr:colOff>266700</xdr:colOff>
      <xdr:row>31</xdr:row>
      <xdr:rowOff>170414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50EA3-022C-4B20-81D9-DEF714DA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2152"/>
          <a:ext cx="7879080" cy="5577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114300</xdr:rowOff>
    </xdr:from>
    <xdr:to>
      <xdr:col>9</xdr:col>
      <xdr:colOff>556567</xdr:colOff>
      <xdr:row>30</xdr:row>
      <xdr:rowOff>167640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4D659-8AFD-49AC-B4A6-B367AC53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297180"/>
          <a:ext cx="7582207" cy="535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1</xdr:row>
      <xdr:rowOff>129540</xdr:rowOff>
    </xdr:from>
    <xdr:to>
      <xdr:col>9</xdr:col>
      <xdr:colOff>716729</xdr:colOff>
      <xdr:row>31</xdr:row>
      <xdr:rowOff>21827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7DD99-DB36-49DD-8E44-0DDDEB1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12420"/>
          <a:ext cx="7628068" cy="537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1</xdr:row>
      <xdr:rowOff>121920</xdr:rowOff>
    </xdr:from>
    <xdr:to>
      <xdr:col>10</xdr:col>
      <xdr:colOff>15220</xdr:colOff>
      <xdr:row>31</xdr:row>
      <xdr:rowOff>69450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798B4-8774-48B6-9141-551CCEDA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04800"/>
          <a:ext cx="7703799" cy="5433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129540</xdr:rowOff>
    </xdr:from>
    <xdr:to>
      <xdr:col>9</xdr:col>
      <xdr:colOff>661599</xdr:colOff>
      <xdr:row>30</xdr:row>
      <xdr:rowOff>105647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91B09-9F57-42A5-96F5-05E74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12420"/>
          <a:ext cx="7481499" cy="527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13" workbookViewId="0">
      <selection activeCell="H69" sqref="H69"/>
    </sheetView>
  </sheetViews>
  <sheetFormatPr baseColWidth="10" defaultRowHeight="14.4" x14ac:dyDescent="0.3"/>
  <sheetData>
    <row r="1" spans="1:2" x14ac:dyDescent="0.3">
      <c r="A1" s="83" t="s">
        <v>135</v>
      </c>
    </row>
    <row r="3" spans="1:2" x14ac:dyDescent="0.3">
      <c r="A3" s="82" t="s">
        <v>67</v>
      </c>
      <c r="B3" s="79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9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2" t="s">
        <v>72</v>
      </c>
      <c r="B18" s="79" t="s">
        <v>106</v>
      </c>
      <c r="C18" s="79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2" t="s">
        <v>74</v>
      </c>
      <c r="B23" s="79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9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2" t="s">
        <v>78</v>
      </c>
      <c r="B39" s="79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2" t="s">
        <v>79</v>
      </c>
      <c r="B45" s="79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2" t="s">
        <v>83</v>
      </c>
      <c r="B57" s="79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2" t="s">
        <v>95</v>
      </c>
      <c r="B63" s="79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9" t="s">
        <v>101</v>
      </c>
    </row>
    <row r="82" spans="1:1" x14ac:dyDescent="0.3">
      <c r="A82" s="83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FF"/>
  </sheetPr>
  <dimension ref="A1:O22"/>
  <sheetViews>
    <sheetView zoomScale="70" zoomScaleNormal="70"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FR_0700_003_m+FR_0700_003_p</f>
        <v>81.564000000000007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183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163.12800000000001</v>
      </c>
      <c r="O5" s="59"/>
    </row>
    <row r="6" spans="1:15" x14ac:dyDescent="0.3">
      <c r="A6" s="116" t="s">
        <v>7</v>
      </c>
      <c r="B6" s="24" t="s">
        <v>151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16"/>
      <c r="F11" s="16"/>
      <c r="G11" s="16"/>
      <c r="H11" s="15"/>
      <c r="I11" s="17"/>
      <c r="J11" s="88">
        <f>0.45*0.8</f>
        <v>0.36000000000000004</v>
      </c>
      <c r="K11" s="189">
        <f>0.2/L11</f>
        <v>9.0909090909090917E-5</v>
      </c>
      <c r="L11" s="27">
        <v>2200</v>
      </c>
      <c r="M11" s="19">
        <v>1</v>
      </c>
      <c r="N11" s="28">
        <f>IF(J11="",D11*M11,D11*J11*K11*L11*M11)</f>
        <v>7.200000000000002</v>
      </c>
      <c r="O11" s="64"/>
    </row>
    <row r="12" spans="1:15" s="18" customFormat="1" x14ac:dyDescent="0.3">
      <c r="A12" s="206">
        <v>20</v>
      </c>
      <c r="B12" s="207" t="s">
        <v>209</v>
      </c>
      <c r="C12" s="206"/>
      <c r="D12" s="208">
        <v>200</v>
      </c>
      <c r="E12" s="206"/>
      <c r="F12" s="206"/>
      <c r="G12" s="206"/>
      <c r="H12" s="209"/>
      <c r="I12" s="210"/>
      <c r="J12" s="88">
        <f>0.45*0.8</f>
        <v>0.36000000000000004</v>
      </c>
      <c r="K12" s="212">
        <f>0.08/L12</f>
        <v>5.0632911392405066E-5</v>
      </c>
      <c r="L12" s="213">
        <v>1580</v>
      </c>
      <c r="M12" s="205">
        <v>1</v>
      </c>
      <c r="N12" s="208">
        <f>IF(J12="",D12*M12,D12*J12*K12*L12*M12)</f>
        <v>5.7600000000000016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2" t="s">
        <v>18</v>
      </c>
      <c r="N13" s="123">
        <f>SUM(N11:N12)</f>
        <v>12.960000000000004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4" t="s">
        <v>14</v>
      </c>
      <c r="B15" s="121" t="s">
        <v>31</v>
      </c>
      <c r="C15" s="121" t="s">
        <v>20</v>
      </c>
      <c r="D15" s="121" t="s">
        <v>21</v>
      </c>
      <c r="E15" s="121" t="s">
        <v>32</v>
      </c>
      <c r="F15" s="121" t="s">
        <v>17</v>
      </c>
      <c r="G15" s="121" t="s">
        <v>33</v>
      </c>
      <c r="H15" s="121" t="s">
        <v>34</v>
      </c>
      <c r="I15" s="121" t="s">
        <v>18</v>
      </c>
      <c r="J15" s="20"/>
      <c r="K15" s="20"/>
      <c r="L15" s="20"/>
      <c r="M15" s="20"/>
      <c r="N15" s="20"/>
      <c r="O15" s="59"/>
    </row>
    <row r="16" spans="1:15" x14ac:dyDescent="0.3">
      <c r="A16" s="195">
        <v>10</v>
      </c>
      <c r="B16" s="195" t="s">
        <v>206</v>
      </c>
      <c r="C16" s="195"/>
      <c r="D16" s="195">
        <v>0.06</v>
      </c>
      <c r="E16" s="195" t="s">
        <v>47</v>
      </c>
      <c r="F16" s="195">
        <v>258.60000000000002</v>
      </c>
      <c r="G16" s="196" t="s">
        <v>200</v>
      </c>
      <c r="H16" s="195">
        <v>2</v>
      </c>
      <c r="I16" s="197">
        <f>IF(H16="",D16*F16,D16*F16*H16)</f>
        <v>31.032</v>
      </c>
    </row>
    <row r="17" spans="1:15" s="21" customFormat="1" x14ac:dyDescent="0.3">
      <c r="A17" s="196">
        <v>20</v>
      </c>
      <c r="B17" s="198" t="s">
        <v>199</v>
      </c>
      <c r="C17" s="196"/>
      <c r="D17" s="197">
        <v>35</v>
      </c>
      <c r="E17" s="199" t="s">
        <v>144</v>
      </c>
      <c r="F17" s="200">
        <f>J11</f>
        <v>0.36000000000000004</v>
      </c>
      <c r="G17" s="196" t="s">
        <v>200</v>
      </c>
      <c r="H17" s="196">
        <v>2</v>
      </c>
      <c r="I17" s="197">
        <f>IF(H17="",D17*F17,D17*F17*H17)</f>
        <v>25.200000000000003</v>
      </c>
      <c r="J17" s="55"/>
      <c r="K17" s="55"/>
      <c r="L17" s="55"/>
      <c r="M17" s="55"/>
      <c r="N17" s="55"/>
      <c r="O17" s="66"/>
    </row>
    <row r="18" spans="1:15" x14ac:dyDescent="0.3">
      <c r="A18" s="195">
        <v>30</v>
      </c>
      <c r="B18" s="198" t="s">
        <v>201</v>
      </c>
      <c r="C18" s="195"/>
      <c r="D18" s="201">
        <v>5</v>
      </c>
      <c r="E18" s="195" t="s">
        <v>144</v>
      </c>
      <c r="F18" s="200">
        <f>J11</f>
        <v>0.36000000000000004</v>
      </c>
      <c r="G18" s="196" t="s">
        <v>200</v>
      </c>
      <c r="H18" s="195">
        <v>2</v>
      </c>
      <c r="I18" s="201">
        <f t="shared" ref="I18:I20" si="0">IF(H18="",D18*F18,D18*F18*H18)</f>
        <v>3.6000000000000005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6">
        <v>40</v>
      </c>
      <c r="B19" s="198" t="s">
        <v>202</v>
      </c>
      <c r="C19" s="195"/>
      <c r="D19" s="201">
        <v>10</v>
      </c>
      <c r="E19" s="199" t="s">
        <v>144</v>
      </c>
      <c r="F19" s="202">
        <f>J11</f>
        <v>0.36000000000000004</v>
      </c>
      <c r="G19" s="195"/>
      <c r="H19" s="195"/>
      <c r="I19" s="201">
        <f t="shared" si="0"/>
        <v>3.6000000000000005</v>
      </c>
      <c r="J19" s="54"/>
      <c r="K19" s="54"/>
      <c r="L19" s="54"/>
      <c r="M19" s="54"/>
      <c r="N19" s="54"/>
      <c r="O19" s="63"/>
    </row>
    <row r="20" spans="1:15" x14ac:dyDescent="0.3">
      <c r="A20" s="195">
        <v>50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SUM(I16:I20)</f>
        <v>68.603999999999999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900-000000000000}"/>
    <hyperlink ref="E3" location="dFR_0700_003!A1" display="Drawing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</sheetPr>
  <dimension ref="A1:B1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175</v>
      </c>
    </row>
  </sheetData>
  <hyperlinks>
    <hyperlink ref="B1" location="FR_0700_003!A1" display="FR_0700_003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O22"/>
  <sheetViews>
    <sheetView topLeftCell="B1" zoomScale="70" zoomScaleNormal="70" workbookViewId="0">
      <selection activeCell="N14" sqref="N14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1" max="11" width="10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FR_0700_004_m+FR_0700_004_p</f>
        <v>130.70400000000001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185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261.40800000000002</v>
      </c>
      <c r="O5" s="59"/>
    </row>
    <row r="6" spans="1:15" x14ac:dyDescent="0.3">
      <c r="A6" s="116" t="s">
        <v>7</v>
      </c>
      <c r="B6" s="24" t="s">
        <v>152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206">
        <v>10</v>
      </c>
      <c r="B11" s="207" t="s">
        <v>198</v>
      </c>
      <c r="C11" s="206"/>
      <c r="D11" s="208">
        <v>100</v>
      </c>
      <c r="E11" s="206"/>
      <c r="F11" s="206"/>
      <c r="G11" s="206"/>
      <c r="H11" s="209"/>
      <c r="I11" s="210"/>
      <c r="J11" s="211">
        <f>0.75*1</f>
        <v>0.75</v>
      </c>
      <c r="K11" s="212">
        <f>0.2/L11</f>
        <v>9.0909090909090917E-5</v>
      </c>
      <c r="L11" s="213">
        <v>2200</v>
      </c>
      <c r="M11" s="205">
        <v>1</v>
      </c>
      <c r="N11" s="208">
        <f>IF(J11="",D11*M11,D11*J11*K11*L11*M11)</f>
        <v>15.000000000000002</v>
      </c>
      <c r="O11" s="64"/>
    </row>
    <row r="12" spans="1:15" s="18" customFormat="1" x14ac:dyDescent="0.3">
      <c r="A12" s="206">
        <v>20</v>
      </c>
      <c r="B12" s="207" t="s">
        <v>209</v>
      </c>
      <c r="C12" s="206"/>
      <c r="D12" s="208">
        <v>200</v>
      </c>
      <c r="E12" s="206"/>
      <c r="F12" s="206"/>
      <c r="G12" s="206"/>
      <c r="H12" s="209"/>
      <c r="I12" s="210"/>
      <c r="J12" s="211">
        <f>0.75*1</f>
        <v>0.75</v>
      </c>
      <c r="K12" s="212">
        <f>0.08/L12</f>
        <v>5.0632911392405066E-5</v>
      </c>
      <c r="L12" s="213">
        <v>1580</v>
      </c>
      <c r="M12" s="205">
        <v>1</v>
      </c>
      <c r="N12" s="208">
        <f>IF(J12="",D12*M12,D12*J12*K12*L12*M12)</f>
        <v>12.000000000000002</v>
      </c>
      <c r="O12" s="64"/>
    </row>
    <row r="13" spans="1:15" x14ac:dyDescent="0.3">
      <c r="A13" s="6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5" t="s">
        <v>18</v>
      </c>
      <c r="N13" s="123">
        <f>SUM(N11:N12)</f>
        <v>27.000000000000004</v>
      </c>
      <c r="O13" s="59"/>
    </row>
    <row r="14" spans="1:15" x14ac:dyDescent="0.3">
      <c r="A14" s="6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24" t="s">
        <v>14</v>
      </c>
      <c r="B15" s="121" t="s">
        <v>31</v>
      </c>
      <c r="C15" s="121" t="s">
        <v>20</v>
      </c>
      <c r="D15" s="121" t="s">
        <v>21</v>
      </c>
      <c r="E15" s="121" t="s">
        <v>32</v>
      </c>
      <c r="F15" s="121" t="s">
        <v>17</v>
      </c>
      <c r="G15" s="121" t="s">
        <v>33</v>
      </c>
      <c r="H15" s="121" t="s">
        <v>34</v>
      </c>
      <c r="I15" s="121" t="s">
        <v>18</v>
      </c>
      <c r="J15" s="20"/>
      <c r="K15" s="20"/>
      <c r="L15" s="20"/>
      <c r="M15" s="20"/>
      <c r="N15" s="20"/>
      <c r="O15" s="59"/>
    </row>
    <row r="16" spans="1:15" x14ac:dyDescent="0.3">
      <c r="A16" s="195">
        <v>10</v>
      </c>
      <c r="B16" s="195" t="s">
        <v>206</v>
      </c>
      <c r="C16" s="195"/>
      <c r="D16" s="195">
        <v>0.06</v>
      </c>
      <c r="E16" s="195" t="s">
        <v>47</v>
      </c>
      <c r="F16" s="195">
        <v>258.60000000000002</v>
      </c>
      <c r="G16" s="196" t="s">
        <v>200</v>
      </c>
      <c r="H16" s="195">
        <v>2</v>
      </c>
      <c r="I16" s="197">
        <f>IF(H16="",D16*F16,D16*F16*H16)</f>
        <v>31.032</v>
      </c>
    </row>
    <row r="17" spans="1:15" s="21" customFormat="1" x14ac:dyDescent="0.3">
      <c r="A17" s="196">
        <v>20</v>
      </c>
      <c r="B17" s="198" t="s">
        <v>199</v>
      </c>
      <c r="C17" s="196"/>
      <c r="D17" s="197">
        <v>35</v>
      </c>
      <c r="E17" s="199" t="s">
        <v>144</v>
      </c>
      <c r="F17" s="200">
        <f>J11</f>
        <v>0.75</v>
      </c>
      <c r="G17" s="196" t="s">
        <v>200</v>
      </c>
      <c r="H17" s="196">
        <v>2</v>
      </c>
      <c r="I17" s="197">
        <f>IF(H17="",D17*F17,D17*F17*H17)</f>
        <v>52.5</v>
      </c>
      <c r="J17" s="55"/>
      <c r="K17" s="55"/>
      <c r="L17" s="55"/>
      <c r="M17" s="55"/>
      <c r="N17" s="55"/>
      <c r="O17" s="66"/>
    </row>
    <row r="18" spans="1:15" x14ac:dyDescent="0.3">
      <c r="A18" s="195">
        <v>30</v>
      </c>
      <c r="B18" s="198" t="s">
        <v>201</v>
      </c>
      <c r="C18" s="195"/>
      <c r="D18" s="201">
        <v>5</v>
      </c>
      <c r="E18" s="195" t="s">
        <v>144</v>
      </c>
      <c r="F18" s="200">
        <f>J11</f>
        <v>0.75</v>
      </c>
      <c r="G18" s="196" t="s">
        <v>200</v>
      </c>
      <c r="H18" s="195">
        <v>2</v>
      </c>
      <c r="I18" s="201">
        <f t="shared" ref="I18:I20" si="0">IF(H18="",D18*F18,D18*F18*H18)</f>
        <v>7.5</v>
      </c>
      <c r="J18" s="53"/>
      <c r="K18" s="53"/>
      <c r="L18" s="53"/>
      <c r="M18" s="53"/>
      <c r="N18" s="53"/>
      <c r="O18" s="59"/>
    </row>
    <row r="19" spans="1:15" s="12" customFormat="1" x14ac:dyDescent="0.3">
      <c r="A19" s="196">
        <v>40</v>
      </c>
      <c r="B19" s="198" t="s">
        <v>202</v>
      </c>
      <c r="C19" s="195"/>
      <c r="D19" s="201">
        <v>10</v>
      </c>
      <c r="E19" s="199" t="s">
        <v>144</v>
      </c>
      <c r="F19" s="202">
        <f>J11</f>
        <v>0.75</v>
      </c>
      <c r="G19" s="195"/>
      <c r="H19" s="195"/>
      <c r="I19" s="201">
        <f t="shared" si="0"/>
        <v>7.5</v>
      </c>
      <c r="J19" s="54"/>
      <c r="K19" s="54"/>
      <c r="L19" s="54"/>
      <c r="M19" s="54"/>
      <c r="N19" s="54"/>
      <c r="O19" s="63"/>
    </row>
    <row r="20" spans="1:15" x14ac:dyDescent="0.3">
      <c r="A20" s="195">
        <v>50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SUM(I16:I20)</f>
        <v>103.70399999999999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B00-000000000000}"/>
    <hyperlink ref="E3" location="dFR_0700_004!A1" display="Drawing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158</v>
      </c>
      <c r="B1" s="81" t="s">
        <v>174</v>
      </c>
    </row>
  </sheetData>
  <hyperlinks>
    <hyperlink ref="B1" location="FR_0700_004!A1" display="FR_0700_004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0" max="10" width="9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FR_0700_005_m+FR_0700_005_p</f>
        <v>1.0759419618832944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167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2.1518839237665888</v>
      </c>
      <c r="O5" s="59"/>
    </row>
    <row r="6" spans="1:15" x14ac:dyDescent="0.3">
      <c r="A6" s="116" t="s">
        <v>7</v>
      </c>
      <c r="B6" s="24" t="s">
        <v>154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16"/>
      <c r="F11" s="16"/>
      <c r="G11" s="16"/>
      <c r="H11" s="15"/>
      <c r="I11" s="17" t="s">
        <v>153</v>
      </c>
      <c r="J11" s="145">
        <f>0.000581+PI()*0.003*0.003</f>
        <v>6.0927433388230812E-4</v>
      </c>
      <c r="K11" s="147">
        <v>1.5E-3</v>
      </c>
      <c r="L11" s="27">
        <v>7850</v>
      </c>
      <c r="M11" s="19">
        <v>1</v>
      </c>
      <c r="N11" s="28">
        <f>IF(J11="",D11*M11,D11*J11*K11*L11*M11)</f>
        <v>1.6141961883294399E-2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1.6141961883294399E-2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161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3">
        <v>13.66</v>
      </c>
      <c r="G16" s="23" t="s">
        <v>160</v>
      </c>
      <c r="H16" s="22">
        <v>3</v>
      </c>
      <c r="I16" s="28">
        <f t="shared" si="0"/>
        <v>0.4098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1.0598000000000001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D00-000000000000}"/>
    <hyperlink ref="E3" location="dFR_0700_005!A1" display="Drawing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B1"/>
  <sheetViews>
    <sheetView workbookViewId="0">
      <selection activeCell="L21" sqref="L21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173</v>
      </c>
    </row>
  </sheetData>
  <hyperlinks>
    <hyperlink ref="B1" location="FR_0700_005!A1" display="FR_0700_005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4.6640625" bestFit="1" customWidth="1"/>
    <col min="7" max="7" width="29.21875" customWidth="1"/>
    <col min="9" max="9" width="10.77734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FR_0700_006_m+FR_0700_006_p</f>
        <v>1.0788162660645444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2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170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2.1576325321290888</v>
      </c>
      <c r="O5" s="59"/>
    </row>
    <row r="6" spans="1:15" x14ac:dyDescent="0.3">
      <c r="A6" s="116" t="s">
        <v>7</v>
      </c>
      <c r="B6" s="24" t="s">
        <v>155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16"/>
      <c r="F11" s="16"/>
      <c r="G11" s="16"/>
      <c r="H11" s="15"/>
      <c r="I11" s="17" t="s">
        <v>156</v>
      </c>
      <c r="J11" s="145">
        <f>0.000825371+PI()*0.003*0.003</f>
        <v>8.5364533388230808E-4</v>
      </c>
      <c r="K11" s="147">
        <v>1.5E-3</v>
      </c>
      <c r="L11" s="27">
        <v>7850</v>
      </c>
      <c r="M11" s="19">
        <v>1</v>
      </c>
      <c r="N11" s="28">
        <f>IF(J11="",D11*M11,D11*J11*K11*L11*M11)</f>
        <v>2.2616266064544401E-2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2.2616266064544401E-2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188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2">
        <v>13.54</v>
      </c>
      <c r="G16" s="23" t="s">
        <v>160</v>
      </c>
      <c r="H16" s="22">
        <v>3</v>
      </c>
      <c r="I16" s="28">
        <f t="shared" si="0"/>
        <v>0.40620000000000001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1.0562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0F00-000000000000}"/>
    <hyperlink ref="E3" location="dFR_0700_006!A1" display="Drawing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B1"/>
  <sheetViews>
    <sheetView workbookViewId="0">
      <selection activeCell="K22" sqref="K22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172</v>
      </c>
    </row>
  </sheetData>
  <hyperlinks>
    <hyperlink ref="B1" location="FR_0700_006!A1" display="FR_0700_006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FR_0700_007_m+FR_0700_007_p</f>
        <v>0.73773216315204448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4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187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2.9509286526081779</v>
      </c>
      <c r="O5" s="59"/>
    </row>
    <row r="6" spans="1:15" x14ac:dyDescent="0.3">
      <c r="A6" s="116" t="s">
        <v>7</v>
      </c>
      <c r="B6" s="24" t="s">
        <v>157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197</v>
      </c>
      <c r="C11" s="16"/>
      <c r="D11" s="28">
        <v>2.25</v>
      </c>
      <c r="E11" s="16"/>
      <c r="F11" s="16"/>
      <c r="G11" s="16"/>
      <c r="H11" s="15"/>
      <c r="I11" s="17" t="s">
        <v>153</v>
      </c>
      <c r="J11" s="145">
        <f>0.000603277+PI()*0.003*0.003</f>
        <v>6.3155133388230814E-4</v>
      </c>
      <c r="K11" s="147">
        <v>1.5E-3</v>
      </c>
      <c r="L11" s="27">
        <v>7850</v>
      </c>
      <c r="M11" s="19">
        <v>1</v>
      </c>
      <c r="N11" s="28">
        <f>IF(J11="",D11*M11,D11*J11*K11*L11*M11)</f>
        <v>1.6732163152044403E-2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1.6732163152044403E-2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8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 t="s">
        <v>159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6"/>
    </row>
    <row r="16" spans="1:15" x14ac:dyDescent="0.3">
      <c r="A16" s="61">
        <v>20</v>
      </c>
      <c r="B16" s="23" t="s">
        <v>46</v>
      </c>
      <c r="C16" s="14"/>
      <c r="D16" s="28">
        <v>0.01</v>
      </c>
      <c r="E16" s="14" t="s">
        <v>47</v>
      </c>
      <c r="F16" s="142">
        <v>13.2</v>
      </c>
      <c r="G16" s="23" t="s">
        <v>160</v>
      </c>
      <c r="H16" s="22">
        <v>3</v>
      </c>
      <c r="I16" s="28">
        <f t="shared" si="0"/>
        <v>0.39600000000000002</v>
      </c>
      <c r="J16" s="53"/>
      <c r="K16" s="53"/>
      <c r="L16" s="53"/>
      <c r="M16" s="53"/>
      <c r="N16" s="53"/>
      <c r="O16" s="59"/>
    </row>
    <row r="17" spans="1:15" x14ac:dyDescent="0.3">
      <c r="A17" s="65"/>
      <c r="B17" s="20"/>
      <c r="C17" s="20"/>
      <c r="D17" s="20"/>
      <c r="E17" s="20"/>
      <c r="F17" s="20"/>
      <c r="G17" s="20"/>
      <c r="H17" s="125" t="s">
        <v>18</v>
      </c>
      <c r="I17" s="123">
        <f>SUM(I15:I16)</f>
        <v>0.72100000000000009</v>
      </c>
      <c r="J17" s="20"/>
      <c r="K17" s="20"/>
      <c r="L17" s="20"/>
      <c r="M17" s="20"/>
      <c r="N17" s="20"/>
      <c r="O17" s="59"/>
    </row>
    <row r="18" spans="1:15" ht="15" thickBot="1" x14ac:dyDescent="0.35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</sheetData>
  <hyperlinks>
    <hyperlink ref="B4" location="'FR A0700'!A1" display="'FR A0700'!A1" xr:uid="{00000000-0004-0000-1100-000000000000}"/>
    <hyperlink ref="E3" location="dFR_0700_007!A1" display="Drawing" xr:uid="{00000000-0004-0000-11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B1"/>
  <sheetViews>
    <sheetView workbookViewId="0">
      <selection activeCell="K19" sqref="K19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171</v>
      </c>
    </row>
  </sheetData>
  <hyperlinks>
    <hyperlink ref="B1" location="FR_0700_007!A1" display="FR_0700_007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6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5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4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5"/>
      <c r="B7" s="96" t="str">
        <f>'FR A0700'!B3</f>
        <v>Frame and Body</v>
      </c>
      <c r="C7" s="97" t="str">
        <f>FR_A0700</f>
        <v>FR A0700</v>
      </c>
      <c r="D7" s="97" t="s">
        <v>11</v>
      </c>
      <c r="E7" s="97"/>
      <c r="F7" s="98" t="str">
        <f>'FR A0700'!B4</f>
        <v>Bodywork</v>
      </c>
      <c r="G7" s="97"/>
      <c r="H7" s="99">
        <f t="shared" ref="H7:H15" si="0">SUM(J7:M7)</f>
        <v>15.939629425916666</v>
      </c>
      <c r="I7" s="100">
        <f>FR_A0700_q</f>
        <v>1</v>
      </c>
      <c r="J7" s="101">
        <f>FR_A0700_m</f>
        <v>11.660500169999999</v>
      </c>
      <c r="K7" s="101">
        <f>FR_A0700_p</f>
        <v>1.61246258925</v>
      </c>
      <c r="L7" s="101">
        <f>FR_A0700_f</f>
        <v>0</v>
      </c>
      <c r="M7" s="101">
        <f>FR_A0700_t</f>
        <v>2.6666666666666665</v>
      </c>
      <c r="N7" s="102">
        <f t="shared" ref="N7:N15" si="1">H7*I7</f>
        <v>15.939629425916666</v>
      </c>
      <c r="O7" s="103"/>
    </row>
    <row r="8" spans="1:15" ht="14.4" x14ac:dyDescent="0.3">
      <c r="A8" s="104"/>
      <c r="B8" s="105" t="str">
        <f>'FR A0700'!B3</f>
        <v>Frame and Body</v>
      </c>
      <c r="C8" s="106" t="str">
        <f>FR_0700_000</f>
        <v>FR_0300_000</v>
      </c>
      <c r="D8" s="107" t="s">
        <v>11</v>
      </c>
      <c r="E8" s="107" t="str">
        <f>$F$7</f>
        <v>Bodywork</v>
      </c>
      <c r="F8" s="108" t="str">
        <f>FR_0700_000!B5</f>
        <v>Nose</v>
      </c>
      <c r="G8" s="107"/>
      <c r="H8" s="109">
        <f t="shared" si="0"/>
        <v>249.95200000000006</v>
      </c>
      <c r="I8" s="110">
        <f>FR_A0700_q*FR_0700_000_q</f>
        <v>1</v>
      </c>
      <c r="J8" s="111">
        <f>FR_0700_000_m</f>
        <v>82.8</v>
      </c>
      <c r="K8" s="111">
        <f>FR_0700_000_p</f>
        <v>167.15200000000004</v>
      </c>
      <c r="L8" s="111">
        <v>0</v>
      </c>
      <c r="M8" s="111">
        <v>0</v>
      </c>
      <c r="N8" s="112">
        <f t="shared" si="1"/>
        <v>249.95200000000006</v>
      </c>
      <c r="O8" s="113"/>
    </row>
    <row r="9" spans="1:15" ht="14.4" x14ac:dyDescent="0.3">
      <c r="A9" s="104"/>
      <c r="B9" s="105" t="str">
        <f>'FR A0700'!$B$3</f>
        <v>Frame and Body</v>
      </c>
      <c r="C9" s="107" t="str">
        <f>FR_0700_001</f>
        <v>FR_0300_001</v>
      </c>
      <c r="D9" s="107" t="s">
        <v>11</v>
      </c>
      <c r="E9" s="107" t="str">
        <f t="shared" ref="E9:E15" si="2">$F$7</f>
        <v>Bodywork</v>
      </c>
      <c r="F9" s="108" t="str">
        <f>FR_0700_001!B5</f>
        <v>Left Inlet</v>
      </c>
      <c r="G9" s="107"/>
      <c r="H9" s="109">
        <f t="shared" si="0"/>
        <v>108.45400000000001</v>
      </c>
      <c r="I9" s="114">
        <f>FR_A0700_q*FR_0700_001_q</f>
        <v>1</v>
      </c>
      <c r="J9" s="111">
        <f>FR_0700_001_m</f>
        <v>28.200000000000003</v>
      </c>
      <c r="K9" s="111">
        <f>FR_0700_001_p</f>
        <v>80.254000000000005</v>
      </c>
      <c r="L9" s="111">
        <v>0</v>
      </c>
      <c r="M9" s="111">
        <v>0</v>
      </c>
      <c r="N9" s="112">
        <f t="shared" si="1"/>
        <v>108.45400000000001</v>
      </c>
      <c r="O9" s="113"/>
    </row>
    <row r="10" spans="1:15" ht="14.4" x14ac:dyDescent="0.3">
      <c r="A10" s="104"/>
      <c r="B10" s="105" t="str">
        <f>'FR A0700'!$B$3</f>
        <v>Frame and Body</v>
      </c>
      <c r="C10" s="107" t="str">
        <f>FR_0700_002</f>
        <v>FR_0300_002</v>
      </c>
      <c r="D10" s="107" t="s">
        <v>11</v>
      </c>
      <c r="E10" s="107" t="str">
        <f t="shared" si="2"/>
        <v>Bodywork</v>
      </c>
      <c r="F10" s="157" t="str">
        <f>FR_0700_002!B5</f>
        <v>Right Inlet</v>
      </c>
      <c r="G10" s="107"/>
      <c r="H10" s="109">
        <f t="shared" si="0"/>
        <v>108.45400000000001</v>
      </c>
      <c r="I10" s="110">
        <f>FR_A0700_q*FR_0700_002_q</f>
        <v>1</v>
      </c>
      <c r="J10" s="111">
        <f>FR_0700_002_m</f>
        <v>28.200000000000003</v>
      </c>
      <c r="K10" s="111">
        <f>FR_0700_002_p</f>
        <v>80.254000000000005</v>
      </c>
      <c r="L10" s="111">
        <v>0</v>
      </c>
      <c r="M10" s="111">
        <v>0</v>
      </c>
      <c r="N10" s="112">
        <f t="shared" si="1"/>
        <v>108.45400000000001</v>
      </c>
      <c r="O10" s="113"/>
    </row>
    <row r="11" spans="1:15" ht="14.4" x14ac:dyDescent="0.3">
      <c r="A11" s="104"/>
      <c r="B11" s="105" t="str">
        <f>'FR A0700'!$B$3</f>
        <v>Frame and Body</v>
      </c>
      <c r="C11" s="107" t="str">
        <f>FR_0700_003</f>
        <v>FR_0300_003</v>
      </c>
      <c r="D11" s="107" t="s">
        <v>11</v>
      </c>
      <c r="E11" s="107" t="str">
        <f t="shared" si="2"/>
        <v>Bodywork</v>
      </c>
      <c r="F11" s="108" t="str">
        <f>FR_0700_003!B5</f>
        <v>Front Side plate</v>
      </c>
      <c r="G11" s="107"/>
      <c r="H11" s="109">
        <f t="shared" si="0"/>
        <v>81.564000000000007</v>
      </c>
      <c r="I11" s="110">
        <f>FR_A0700_q*FR_0700_003_q</f>
        <v>2</v>
      </c>
      <c r="J11" s="111">
        <f>FR_0700_003_m</f>
        <v>12.960000000000004</v>
      </c>
      <c r="K11" s="111">
        <f>FR_0700_003_p</f>
        <v>68.603999999999999</v>
      </c>
      <c r="L11" s="111">
        <v>0</v>
      </c>
      <c r="M11" s="111">
        <v>0</v>
      </c>
      <c r="N11" s="112">
        <f t="shared" si="1"/>
        <v>163.12800000000001</v>
      </c>
      <c r="O11" s="113"/>
    </row>
    <row r="12" spans="1:15" ht="14.4" x14ac:dyDescent="0.3">
      <c r="A12" s="104"/>
      <c r="B12" s="105" t="str">
        <f>'FR A0700'!$B$3</f>
        <v>Frame and Body</v>
      </c>
      <c r="C12" s="107" t="str">
        <f>FR_0700_004</f>
        <v>FR_0300_004</v>
      </c>
      <c r="D12" s="107" t="s">
        <v>11</v>
      </c>
      <c r="E12" s="107" t="str">
        <f t="shared" si="2"/>
        <v>Bodywork</v>
      </c>
      <c r="F12" s="108" t="str">
        <f>FR_0700_004!B5</f>
        <v>Back Side Plate</v>
      </c>
      <c r="G12" s="107"/>
      <c r="H12" s="109">
        <f t="shared" si="0"/>
        <v>130.70400000000001</v>
      </c>
      <c r="I12" s="110">
        <f>FR_A0700_q*FR_0700_004_q</f>
        <v>2</v>
      </c>
      <c r="J12" s="111">
        <f>FR_0700_004_m</f>
        <v>27.000000000000004</v>
      </c>
      <c r="K12" s="111">
        <f>FR_0700_004_p</f>
        <v>103.70399999999999</v>
      </c>
      <c r="L12" s="111">
        <v>0</v>
      </c>
      <c r="M12" s="111">
        <v>0</v>
      </c>
      <c r="N12" s="112">
        <f t="shared" si="1"/>
        <v>261.40800000000002</v>
      </c>
      <c r="O12" s="113"/>
    </row>
    <row r="13" spans="1:15" ht="14.4" x14ac:dyDescent="0.3">
      <c r="A13" s="104"/>
      <c r="B13" s="105" t="str">
        <f>'FR A0700'!$B$3</f>
        <v>Frame and Body</v>
      </c>
      <c r="C13" s="107" t="str">
        <f>FR_0700_005</f>
        <v>FR_0300_005</v>
      </c>
      <c r="D13" s="107" t="s">
        <v>11</v>
      </c>
      <c r="E13" s="107" t="str">
        <f t="shared" si="2"/>
        <v>Bodywork</v>
      </c>
      <c r="F13" s="108" t="str">
        <f>FR_0700_005!B5</f>
        <v>Back Inlet Bracket</v>
      </c>
      <c r="G13" s="107"/>
      <c r="H13" s="109">
        <f t="shared" si="0"/>
        <v>1.0759419618832944</v>
      </c>
      <c r="I13" s="110">
        <f>FR_A0700_q*FR_0700_005_q</f>
        <v>2</v>
      </c>
      <c r="J13" s="111">
        <f>FR_0700_005_m</f>
        <v>1.6141961883294399E-2</v>
      </c>
      <c r="K13" s="111">
        <f>FR_0700_005_p</f>
        <v>1.0598000000000001</v>
      </c>
      <c r="L13" s="111">
        <v>0</v>
      </c>
      <c r="M13" s="111">
        <v>0</v>
      </c>
      <c r="N13" s="112">
        <f t="shared" si="1"/>
        <v>2.1518839237665888</v>
      </c>
      <c r="O13" s="113"/>
    </row>
    <row r="14" spans="1:15" ht="14.4" x14ac:dyDescent="0.3">
      <c r="A14" s="104"/>
      <c r="B14" s="105" t="str">
        <f>'FR A0700'!$B$3</f>
        <v>Frame and Body</v>
      </c>
      <c r="C14" s="107" t="str">
        <f>FR_0700_006</f>
        <v>FR_0300_006</v>
      </c>
      <c r="D14" s="107" t="s">
        <v>11</v>
      </c>
      <c r="E14" s="107" t="str">
        <f t="shared" si="2"/>
        <v>Bodywork</v>
      </c>
      <c r="F14" s="108" t="str">
        <f>FR_0700_006!B5</f>
        <v>Front Inlet Bracket</v>
      </c>
      <c r="G14" s="107"/>
      <c r="H14" s="109">
        <f t="shared" si="0"/>
        <v>1.0788162660645444</v>
      </c>
      <c r="I14" s="110">
        <f>FR_A0700_q*FR_0700_006_q</f>
        <v>2</v>
      </c>
      <c r="J14" s="111">
        <f>FR_0700_006_m</f>
        <v>2.2616266064544401E-2</v>
      </c>
      <c r="K14" s="111">
        <f>FR_0700_006_p</f>
        <v>1.0562</v>
      </c>
      <c r="L14" s="111">
        <v>0</v>
      </c>
      <c r="M14" s="111">
        <v>0</v>
      </c>
      <c r="N14" s="112">
        <f t="shared" si="1"/>
        <v>2.1576325321290888</v>
      </c>
      <c r="O14" s="113"/>
    </row>
    <row r="15" spans="1:15" ht="14.4" x14ac:dyDescent="0.3">
      <c r="A15" s="104"/>
      <c r="B15" s="105" t="str">
        <f>'FR A0700'!$B$3</f>
        <v>Frame and Body</v>
      </c>
      <c r="C15" s="107" t="str">
        <f>FR_0700_007</f>
        <v>FR_0300_007</v>
      </c>
      <c r="D15" s="107" t="s">
        <v>11</v>
      </c>
      <c r="E15" s="107" t="str">
        <f t="shared" si="2"/>
        <v>Bodywork</v>
      </c>
      <c r="F15" s="108" t="str">
        <f>FR_0700_007!B5</f>
        <v>Nose Bracket</v>
      </c>
      <c r="G15" s="115"/>
      <c r="H15" s="109">
        <f t="shared" si="0"/>
        <v>0.73773216315204448</v>
      </c>
      <c r="I15" s="110">
        <f>FR_A0700_q*FR_0700_007_q</f>
        <v>4</v>
      </c>
      <c r="J15" s="111">
        <f>FR_0700_007_m</f>
        <v>1.6732163152044403E-2</v>
      </c>
      <c r="K15" s="111">
        <f>FR_0700_007_p</f>
        <v>0.72100000000000009</v>
      </c>
      <c r="L15" s="111">
        <v>0</v>
      </c>
      <c r="M15" s="111">
        <v>0</v>
      </c>
      <c r="N15" s="112">
        <f t="shared" si="1"/>
        <v>2.9509286526081779</v>
      </c>
      <c r="O15" s="113"/>
    </row>
    <row r="16" spans="1:15" s="7" customFormat="1" ht="14.4" thickBot="1" x14ac:dyDescent="0.3">
      <c r="A16" s="150"/>
      <c r="B16" s="151" t="str">
        <f>'FR A0700'!B3</f>
        <v>Frame and Body</v>
      </c>
      <c r="C16" s="152"/>
      <c r="D16" s="152"/>
      <c r="E16" s="152"/>
      <c r="F16" s="151" t="s">
        <v>66</v>
      </c>
      <c r="G16" s="152"/>
      <c r="H16" s="153"/>
      <c r="I16" s="154"/>
      <c r="J16" s="155">
        <f>SUMPRODUCT($I7:$I15,J7:J15)</f>
        <v>230.92494527850386</v>
      </c>
      <c r="K16" s="155">
        <f>SUMPRODUCT($I7:$I15,K7:K15)</f>
        <v>681.00446258925001</v>
      </c>
      <c r="L16" s="155">
        <f>SUMPRODUCT($I7:$I15,L7:L15)</f>
        <v>0</v>
      </c>
      <c r="M16" s="155">
        <f>SUMPRODUCT($I7:$I15,M7:M15)</f>
        <v>2.6666666666666665</v>
      </c>
      <c r="N16" s="155">
        <f>SUM(N7:N15)</f>
        <v>914.59607453442061</v>
      </c>
      <c r="O16" s="156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'FR A0700'!A1" display="'FR A0700'!A1" xr:uid="{00000000-0004-0000-0100-000000000000}"/>
    <hyperlink ref="F8" location="FR_0700_000!A1" display="FR_0700_000!A1" xr:uid="{00000000-0004-0000-0100-000001000000}"/>
    <hyperlink ref="F9" location="FR_0700_001!A1" display="FR_0700_001!A1" xr:uid="{00000000-0004-0000-0100-000002000000}"/>
    <hyperlink ref="F10" location="FR_0700_002!A1" display="FR_0700_002!A1" xr:uid="{00000000-0004-0000-0100-000003000000}"/>
    <hyperlink ref="F11" location="FR_0700_003!A1" display="FR_0700_003!A1" xr:uid="{00000000-0004-0000-0100-000004000000}"/>
    <hyperlink ref="F12" location="FR_0700_004!A1" display="FR_0700_004!A1" xr:uid="{00000000-0004-0000-0100-000005000000}"/>
    <hyperlink ref="F13" location="FR_0700_005!A1" display="FR_0700_005!A1" xr:uid="{00000000-0004-0000-0100-000006000000}"/>
    <hyperlink ref="F14" location="FR_0700_006!A1" display="FR_0700_006!A1" xr:uid="{00000000-0004-0000-0100-000007000000}"/>
    <hyperlink ref="F15" location="FR_0700_007!A1" display="FR_0700_007!A1" xr:uid="{00000000-0004-0000-0100-000008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46"/>
  <sheetViews>
    <sheetView tabSelected="1" zoomScale="75" zoomScaleNormal="75" zoomScaleSheetLayoutView="80" workbookViewId="0">
      <selection activeCell="G16" sqref="G16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89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89" t="s">
        <v>1</v>
      </c>
      <c r="K2" s="75">
        <v>81</v>
      </c>
      <c r="L2" s="53"/>
      <c r="M2" s="89" t="s">
        <v>2</v>
      </c>
      <c r="N2" s="87">
        <f>FR_A0700_pa+FR_A0700_m+FR_A0700_p+FR_A0700_f+FR_A0700_t</f>
        <v>914.5960745344205</v>
      </c>
      <c r="O2" s="59"/>
    </row>
    <row r="3" spans="1:15" x14ac:dyDescent="0.3">
      <c r="A3" s="89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89" t="s">
        <v>4</v>
      </c>
      <c r="N3" s="74">
        <v>1</v>
      </c>
      <c r="O3" s="59"/>
    </row>
    <row r="4" spans="1:15" x14ac:dyDescent="0.3">
      <c r="A4" s="89" t="s">
        <v>5</v>
      </c>
      <c r="B4" s="54" t="s">
        <v>164</v>
      </c>
      <c r="C4" s="53"/>
      <c r="D4" s="53"/>
      <c r="E4" s="53"/>
      <c r="F4" s="53"/>
      <c r="G4" s="53"/>
      <c r="H4" s="53"/>
      <c r="I4" s="53"/>
      <c r="J4" s="92" t="s">
        <v>6</v>
      </c>
      <c r="K4" s="53"/>
      <c r="L4" s="53"/>
      <c r="M4" s="53"/>
      <c r="N4" s="53"/>
      <c r="O4" s="59"/>
    </row>
    <row r="5" spans="1:15" x14ac:dyDescent="0.3">
      <c r="A5" s="89" t="s">
        <v>7</v>
      </c>
      <c r="B5" s="13" t="s">
        <v>163</v>
      </c>
      <c r="C5" s="53"/>
      <c r="D5" s="53"/>
      <c r="E5" s="53"/>
      <c r="F5" s="53"/>
      <c r="G5" s="53"/>
      <c r="H5" s="53"/>
      <c r="I5" s="53"/>
      <c r="J5" s="92" t="s">
        <v>8</v>
      </c>
      <c r="K5" s="53"/>
      <c r="L5" s="53"/>
      <c r="M5" s="89" t="s">
        <v>9</v>
      </c>
      <c r="N5" s="71">
        <f>N2*N3</f>
        <v>914.5960745344205</v>
      </c>
      <c r="O5" s="59"/>
    </row>
    <row r="6" spans="1:15" x14ac:dyDescent="0.3">
      <c r="A6" s="89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2" t="s">
        <v>12</v>
      </c>
      <c r="K6" s="53"/>
      <c r="L6" s="53"/>
      <c r="M6" s="53"/>
      <c r="N6" s="53"/>
      <c r="O6" s="59"/>
    </row>
    <row r="7" spans="1:15" x14ac:dyDescent="0.3">
      <c r="A7" s="89" t="s">
        <v>13</v>
      </c>
      <c r="B7" s="11" t="s">
        <v>165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28" t="s">
        <v>14</v>
      </c>
      <c r="B9" s="128" t="s">
        <v>15</v>
      </c>
      <c r="C9" s="89" t="s">
        <v>16</v>
      </c>
      <c r="D9" s="89" t="s">
        <v>17</v>
      </c>
      <c r="E9" s="89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49">
        <v>10</v>
      </c>
      <c r="B10" s="167" t="s">
        <v>166</v>
      </c>
      <c r="C10" s="168">
        <f>FR_0700_000!N2</f>
        <v>249.95200000000006</v>
      </c>
      <c r="D10" s="148">
        <f>FR_0700_000_q</f>
        <v>1</v>
      </c>
      <c r="E10" s="71">
        <f>C10*D10</f>
        <v>249.95200000000006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61">
        <v>20</v>
      </c>
      <c r="B11" s="172" t="s">
        <v>169</v>
      </c>
      <c r="C11" s="162">
        <f>FR_0700_001!N2</f>
        <v>108.45400000000001</v>
      </c>
      <c r="D11" s="127">
        <f>FR_0700_001_q</f>
        <v>1</v>
      </c>
      <c r="E11" s="71">
        <f t="shared" ref="E11:E17" si="0">C11*D11</f>
        <v>108.45400000000001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61">
        <v>30</v>
      </c>
      <c r="B12" s="172" t="s">
        <v>168</v>
      </c>
      <c r="C12" s="162">
        <f>FR_0700_002!N2</f>
        <v>108.45400000000001</v>
      </c>
      <c r="D12" s="127">
        <f>FR_0700_002_q</f>
        <v>1</v>
      </c>
      <c r="E12" s="71">
        <f t="shared" si="0"/>
        <v>108.45400000000001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x14ac:dyDescent="0.3">
      <c r="A13" s="169">
        <v>40</v>
      </c>
      <c r="B13" s="170" t="s">
        <v>184</v>
      </c>
      <c r="C13" s="171">
        <f>FR_0700_003!N2</f>
        <v>81.564000000000007</v>
      </c>
      <c r="D13" s="70">
        <f>FR_0700_003_q</f>
        <v>2</v>
      </c>
      <c r="E13" s="71">
        <f t="shared" si="0"/>
        <v>163.12800000000001</v>
      </c>
      <c r="F13" s="54"/>
      <c r="G13" s="54"/>
      <c r="H13" s="54"/>
      <c r="I13" s="54"/>
      <c r="J13" s="54"/>
      <c r="K13" s="54"/>
      <c r="L13" s="54"/>
      <c r="M13" s="54"/>
      <c r="N13" s="54"/>
      <c r="O13" s="62"/>
    </row>
    <row r="14" spans="1:15" x14ac:dyDescent="0.3">
      <c r="A14" s="14">
        <v>50</v>
      </c>
      <c r="B14" s="146" t="s">
        <v>185</v>
      </c>
      <c r="C14" s="126">
        <f>FR_0700_004!N2</f>
        <v>130.70400000000001</v>
      </c>
      <c r="D14" s="70">
        <f>FR_0700_004_q</f>
        <v>2</v>
      </c>
      <c r="E14" s="71">
        <f t="shared" si="0"/>
        <v>261.40800000000002</v>
      </c>
      <c r="F14" s="54"/>
      <c r="G14" s="54"/>
      <c r="H14" s="54"/>
      <c r="I14" s="54"/>
      <c r="J14" s="54"/>
      <c r="K14" s="54"/>
      <c r="L14" s="54"/>
      <c r="M14" s="54"/>
      <c r="N14" s="54"/>
      <c r="O14" s="62"/>
    </row>
    <row r="15" spans="1:15" x14ac:dyDescent="0.3">
      <c r="A15" s="14">
        <v>60</v>
      </c>
      <c r="B15" s="146" t="s">
        <v>167</v>
      </c>
      <c r="C15" s="126">
        <f>FR_0700_005!N2</f>
        <v>1.0759419618832944</v>
      </c>
      <c r="D15" s="70">
        <f>FR_0700_005_q</f>
        <v>2</v>
      </c>
      <c r="E15" s="71">
        <f t="shared" si="0"/>
        <v>2.1518839237665888</v>
      </c>
      <c r="F15" s="54"/>
      <c r="G15" s="54"/>
      <c r="H15" s="54"/>
      <c r="I15" s="54"/>
      <c r="J15" s="54"/>
      <c r="K15" s="54"/>
      <c r="L15" s="54"/>
      <c r="M15" s="54"/>
      <c r="N15" s="54"/>
      <c r="O15" s="62"/>
    </row>
    <row r="16" spans="1:15" x14ac:dyDescent="0.3">
      <c r="A16" s="14">
        <v>70</v>
      </c>
      <c r="B16" s="146" t="s">
        <v>170</v>
      </c>
      <c r="C16" s="126">
        <f>FR_0700_006!N2</f>
        <v>1.0788162660645444</v>
      </c>
      <c r="D16" s="70">
        <f>FR_0700_006_q</f>
        <v>2</v>
      </c>
      <c r="E16" s="71">
        <f t="shared" si="0"/>
        <v>2.1576325321290888</v>
      </c>
      <c r="F16" s="54"/>
      <c r="G16" s="54"/>
      <c r="H16" s="54"/>
      <c r="I16" s="54"/>
      <c r="J16" s="54"/>
      <c r="K16" s="54"/>
      <c r="L16" s="54"/>
      <c r="M16" s="54"/>
      <c r="N16" s="54"/>
      <c r="O16" s="62"/>
    </row>
    <row r="17" spans="1:15" x14ac:dyDescent="0.3">
      <c r="A17" s="14">
        <v>80</v>
      </c>
      <c r="B17" s="146" t="s">
        <v>187</v>
      </c>
      <c r="C17" s="126">
        <f>FR_0700_007!N2</f>
        <v>0.73773216315204448</v>
      </c>
      <c r="D17" s="70">
        <f>FR_0700_007_q</f>
        <v>4</v>
      </c>
      <c r="E17" s="71">
        <f t="shared" si="0"/>
        <v>2.9509286526081779</v>
      </c>
      <c r="F17" s="54"/>
      <c r="G17" s="54"/>
      <c r="H17" s="54"/>
      <c r="I17" s="54"/>
      <c r="J17" s="54"/>
      <c r="K17" s="54"/>
      <c r="L17" s="54"/>
      <c r="M17" s="54"/>
      <c r="N17" s="54"/>
      <c r="O17" s="62"/>
    </row>
    <row r="18" spans="1:15" ht="15" thickBot="1" x14ac:dyDescent="0.35">
      <c r="A18" s="60"/>
      <c r="B18" s="129"/>
      <c r="C18" s="53"/>
      <c r="D18" s="90" t="s">
        <v>18</v>
      </c>
      <c r="E18" s="91">
        <f>SUM(E10:E17)</f>
        <v>898.65644510850393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131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32" t="s">
        <v>14</v>
      </c>
      <c r="B20" s="132" t="s">
        <v>19</v>
      </c>
      <c r="C20" s="132" t="s">
        <v>20</v>
      </c>
      <c r="D20" s="130" t="s">
        <v>21</v>
      </c>
      <c r="E20" s="89" t="s">
        <v>22</v>
      </c>
      <c r="F20" s="89" t="s">
        <v>23</v>
      </c>
      <c r="G20" s="89" t="s">
        <v>24</v>
      </c>
      <c r="H20" s="89" t="s">
        <v>25</v>
      </c>
      <c r="I20" s="89" t="s">
        <v>26</v>
      </c>
      <c r="J20" s="89" t="s">
        <v>27</v>
      </c>
      <c r="K20" s="89" t="s">
        <v>28</v>
      </c>
      <c r="L20" s="89" t="s">
        <v>29</v>
      </c>
      <c r="M20" s="89" t="s">
        <v>17</v>
      </c>
      <c r="N20" s="89" t="s">
        <v>18</v>
      </c>
      <c r="O20" s="59"/>
    </row>
    <row r="21" spans="1:15" x14ac:dyDescent="0.3">
      <c r="A21" s="149">
        <v>10</v>
      </c>
      <c r="B21" s="160" t="s">
        <v>162</v>
      </c>
      <c r="C21" s="149" t="s">
        <v>186</v>
      </c>
      <c r="D21" s="173">
        <v>10</v>
      </c>
      <c r="E21" s="179">
        <f>0.001367374+2*0.001404596+0.001873451</f>
        <v>6.0500169999999995E-3</v>
      </c>
      <c r="F21" s="149" t="s">
        <v>144</v>
      </c>
      <c r="G21" s="149"/>
      <c r="H21" s="174"/>
      <c r="I21" s="175"/>
      <c r="J21" s="176"/>
      <c r="K21" s="174"/>
      <c r="L21" s="177"/>
      <c r="M21" s="178">
        <f>E21</f>
        <v>6.0500169999999995E-3</v>
      </c>
      <c r="N21" s="133">
        <f t="shared" ref="N21:N22" si="1">M21*D21</f>
        <v>6.0500169999999992E-2</v>
      </c>
      <c r="O21" s="59"/>
    </row>
    <row r="22" spans="1:15" x14ac:dyDescent="0.3">
      <c r="A22" s="161">
        <v>20</v>
      </c>
      <c r="B22" s="158" t="s">
        <v>162</v>
      </c>
      <c r="C22" s="161" t="s">
        <v>189</v>
      </c>
      <c r="D22" s="162">
        <v>10</v>
      </c>
      <c r="E22" s="161">
        <f>(1.38+0.47*2)/2</f>
        <v>1.1599999999999999</v>
      </c>
      <c r="F22" s="161" t="s">
        <v>144</v>
      </c>
      <c r="G22" s="161"/>
      <c r="H22" s="163"/>
      <c r="I22" s="164"/>
      <c r="J22" s="165"/>
      <c r="K22" s="163"/>
      <c r="L22" s="166"/>
      <c r="M22" s="163">
        <f>E22</f>
        <v>1.1599999999999999</v>
      </c>
      <c r="N22" s="133">
        <f t="shared" si="1"/>
        <v>11.6</v>
      </c>
      <c r="O22" s="59"/>
    </row>
    <row r="23" spans="1:15" x14ac:dyDescent="0.3">
      <c r="A23" s="6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59" t="s">
        <v>18</v>
      </c>
      <c r="N23" s="94">
        <f>SUM(N21:N22)</f>
        <v>11.660500169999999</v>
      </c>
      <c r="O23" s="59"/>
    </row>
    <row r="24" spans="1:15" x14ac:dyDescent="0.3">
      <c r="A24" s="6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9"/>
    </row>
    <row r="25" spans="1:15" s="21" customFormat="1" x14ac:dyDescent="0.3">
      <c r="A25" s="89" t="s">
        <v>14</v>
      </c>
      <c r="B25" s="89" t="s">
        <v>31</v>
      </c>
      <c r="C25" s="89" t="s">
        <v>20</v>
      </c>
      <c r="D25" s="89" t="s">
        <v>21</v>
      </c>
      <c r="E25" s="89" t="s">
        <v>32</v>
      </c>
      <c r="F25" s="89" t="s">
        <v>17</v>
      </c>
      <c r="G25" s="89" t="s">
        <v>33</v>
      </c>
      <c r="H25" s="89" t="s">
        <v>34</v>
      </c>
      <c r="I25" s="89" t="s">
        <v>18</v>
      </c>
      <c r="J25" s="20"/>
      <c r="K25" s="20"/>
      <c r="L25" s="20"/>
      <c r="M25" s="20"/>
      <c r="N25" s="20"/>
      <c r="O25" s="66"/>
    </row>
    <row r="26" spans="1:15" x14ac:dyDescent="0.3">
      <c r="A26" s="70">
        <v>10</v>
      </c>
      <c r="B26" s="70" t="s">
        <v>138</v>
      </c>
      <c r="C26" s="70" t="s">
        <v>196</v>
      </c>
      <c r="D26" s="71">
        <v>0.15</v>
      </c>
      <c r="E26" s="70" t="s">
        <v>47</v>
      </c>
      <c r="F26" s="72">
        <f>2*(2.769+2.5)</f>
        <v>10.538</v>
      </c>
      <c r="G26" s="72"/>
      <c r="H26" s="72"/>
      <c r="I26" s="71">
        <f t="shared" ref="I26:I30" si="2">IF(H26="",D26*F26,D26*F26*H26)</f>
        <v>1.5807</v>
      </c>
      <c r="J26" s="53"/>
      <c r="K26" s="53"/>
      <c r="L26" s="53"/>
      <c r="M26" s="53"/>
      <c r="N26" s="53"/>
      <c r="O26" s="59"/>
    </row>
    <row r="27" spans="1:15" x14ac:dyDescent="0.3">
      <c r="A27" s="70">
        <v>30</v>
      </c>
      <c r="B27" s="135" t="s">
        <v>142</v>
      </c>
      <c r="C27" s="70" t="s">
        <v>143</v>
      </c>
      <c r="D27" s="71">
        <v>5.25</v>
      </c>
      <c r="E27" s="73" t="s">
        <v>144</v>
      </c>
      <c r="F27" s="188">
        <f>E21</f>
        <v>6.0500169999999995E-3</v>
      </c>
      <c r="G27" s="70"/>
      <c r="H27" s="70"/>
      <c r="I27" s="187">
        <f t="shared" si="2"/>
        <v>3.1762589250000001E-2</v>
      </c>
      <c r="J27" s="53"/>
      <c r="K27" s="53"/>
      <c r="L27" s="53"/>
      <c r="M27" s="53"/>
      <c r="N27" s="53"/>
      <c r="O27" s="59"/>
    </row>
    <row r="28" spans="1:15" x14ac:dyDescent="0.3">
      <c r="A28" s="70">
        <v>40</v>
      </c>
      <c r="B28" s="73" t="s">
        <v>139</v>
      </c>
      <c r="C28" s="70"/>
      <c r="D28" s="71">
        <v>0.06</v>
      </c>
      <c r="E28" s="70"/>
      <c r="F28" s="72"/>
      <c r="G28" s="70"/>
      <c r="H28" s="70"/>
      <c r="I28" s="71">
        <f t="shared" si="2"/>
        <v>0</v>
      </c>
      <c r="J28" s="53"/>
      <c r="K28" s="53"/>
      <c r="L28" s="53"/>
      <c r="M28" s="53"/>
      <c r="N28" s="53"/>
      <c r="O28" s="59"/>
    </row>
    <row r="29" spans="1:15" x14ac:dyDescent="0.3">
      <c r="A29" s="70">
        <v>50</v>
      </c>
      <c r="B29" s="73" t="s">
        <v>141</v>
      </c>
      <c r="C29" s="70"/>
      <c r="D29" s="71">
        <v>0.75</v>
      </c>
      <c r="E29" s="70"/>
      <c r="F29" s="72"/>
      <c r="G29" s="70"/>
      <c r="H29" s="70"/>
      <c r="I29" s="71">
        <f t="shared" si="2"/>
        <v>0</v>
      </c>
      <c r="J29" s="53"/>
      <c r="K29" s="53"/>
      <c r="L29" s="53"/>
      <c r="M29" s="53"/>
      <c r="N29" s="53"/>
      <c r="O29" s="59"/>
    </row>
    <row r="30" spans="1:15" x14ac:dyDescent="0.3">
      <c r="A30" s="70">
        <v>60</v>
      </c>
      <c r="B30" s="73" t="s">
        <v>140</v>
      </c>
      <c r="C30" s="70"/>
      <c r="D30" s="71">
        <v>0.25</v>
      </c>
      <c r="E30" s="70"/>
      <c r="F30" s="72"/>
      <c r="G30" s="70"/>
      <c r="H30" s="70"/>
      <c r="I30" s="71">
        <f t="shared" si="2"/>
        <v>0</v>
      </c>
      <c r="J30" s="53"/>
      <c r="K30" s="53"/>
      <c r="L30" s="53"/>
      <c r="M30" s="53"/>
      <c r="N30" s="53"/>
      <c r="O30" s="59"/>
    </row>
    <row r="31" spans="1:15" x14ac:dyDescent="0.3">
      <c r="A31" s="65"/>
      <c r="B31" s="20"/>
      <c r="C31" s="20"/>
      <c r="D31" s="20"/>
      <c r="E31" s="20"/>
      <c r="F31" s="20"/>
      <c r="G31" s="20"/>
      <c r="H31" s="93" t="s">
        <v>18</v>
      </c>
      <c r="I31" s="91">
        <f>SUM(I26:I30)</f>
        <v>1.61246258925</v>
      </c>
      <c r="J31" s="53"/>
      <c r="K31" s="53"/>
      <c r="L31" s="53"/>
      <c r="M31" s="53"/>
      <c r="N31" s="53"/>
      <c r="O31" s="59"/>
    </row>
    <row r="32" spans="1:15" x14ac:dyDescent="0.3">
      <c r="A32" s="6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9"/>
    </row>
    <row r="33" spans="1:15" x14ac:dyDescent="0.3">
      <c r="A33" s="89" t="s">
        <v>14</v>
      </c>
      <c r="B33" s="89" t="s">
        <v>36</v>
      </c>
      <c r="C33" s="89" t="s">
        <v>20</v>
      </c>
      <c r="D33" s="89" t="s">
        <v>21</v>
      </c>
      <c r="E33" s="89" t="s">
        <v>22</v>
      </c>
      <c r="F33" s="89" t="s">
        <v>23</v>
      </c>
      <c r="G33" s="89" t="s">
        <v>24</v>
      </c>
      <c r="H33" s="89" t="s">
        <v>25</v>
      </c>
      <c r="I33" s="89" t="s">
        <v>17</v>
      </c>
      <c r="J33" s="89" t="s">
        <v>18</v>
      </c>
      <c r="K33" s="53"/>
      <c r="L33" s="53"/>
      <c r="M33" s="53"/>
      <c r="N33" s="53"/>
      <c r="O33" s="59"/>
    </row>
    <row r="34" spans="1:15" s="138" customFormat="1" x14ac:dyDescent="0.3">
      <c r="A34" s="140">
        <v>10</v>
      </c>
      <c r="B34" s="140" t="s">
        <v>145</v>
      </c>
      <c r="C34" s="140"/>
      <c r="D34" s="71">
        <f>0.8/105154*E34^2*G34*SQRT(G34)+(0.003*EXP(0.319*E34))</f>
        <v>3.0000000000000001E-3</v>
      </c>
      <c r="E34" s="140"/>
      <c r="F34" s="140" t="s">
        <v>30</v>
      </c>
      <c r="G34" s="140"/>
      <c r="H34" s="140" t="s">
        <v>30</v>
      </c>
      <c r="I34" s="140"/>
      <c r="J34" s="139">
        <f t="shared" ref="J34:J39" si="3">I34*D34</f>
        <v>0</v>
      </c>
      <c r="K34" s="136"/>
      <c r="L34" s="136"/>
      <c r="M34" s="136"/>
      <c r="N34" s="136"/>
      <c r="O34" s="137"/>
    </row>
    <row r="35" spans="1:15" s="138" customFormat="1" x14ac:dyDescent="0.3">
      <c r="A35" s="140">
        <v>20</v>
      </c>
      <c r="B35" s="140" t="s">
        <v>37</v>
      </c>
      <c r="C35" s="140"/>
      <c r="D35" s="71">
        <v>0.01</v>
      </c>
      <c r="E35" s="140"/>
      <c r="F35" s="140"/>
      <c r="G35" s="140"/>
      <c r="H35" s="140"/>
      <c r="I35" s="140"/>
      <c r="J35" s="139">
        <f t="shared" si="3"/>
        <v>0</v>
      </c>
      <c r="K35" s="136"/>
      <c r="L35" s="136"/>
      <c r="M35" s="136"/>
      <c r="N35" s="136"/>
      <c r="O35" s="137"/>
    </row>
    <row r="36" spans="1:15" s="138" customFormat="1" x14ac:dyDescent="0.3">
      <c r="A36" s="180">
        <v>30</v>
      </c>
      <c r="B36" s="180" t="s">
        <v>38</v>
      </c>
      <c r="C36" s="180"/>
      <c r="D36" s="133">
        <f>(0.009*EXP(0.2*E36))</f>
        <v>8.9999999999999993E-3</v>
      </c>
      <c r="E36" s="180"/>
      <c r="F36" s="180" t="s">
        <v>30</v>
      </c>
      <c r="G36" s="180"/>
      <c r="H36" s="180"/>
      <c r="I36" s="180"/>
      <c r="J36" s="181">
        <f t="shared" si="3"/>
        <v>0</v>
      </c>
      <c r="K36" s="136"/>
      <c r="L36" s="136"/>
      <c r="M36" s="136"/>
      <c r="N36" s="136"/>
      <c r="O36" s="137"/>
    </row>
    <row r="37" spans="1:15" s="138" customFormat="1" x14ac:dyDescent="0.3">
      <c r="A37" s="140">
        <v>40</v>
      </c>
      <c r="B37" s="182" t="s">
        <v>190</v>
      </c>
      <c r="C37" s="182" t="s">
        <v>191</v>
      </c>
      <c r="D37" s="162">
        <f>(0.001*E37^2*G37+14)</f>
        <v>16.559999999999999</v>
      </c>
      <c r="E37" s="182">
        <v>8</v>
      </c>
      <c r="F37" s="182"/>
      <c r="G37" s="182">
        <v>40</v>
      </c>
      <c r="H37" s="182"/>
      <c r="I37" s="182">
        <v>4</v>
      </c>
      <c r="J37" s="183">
        <f t="shared" si="3"/>
        <v>66.239999999999995</v>
      </c>
      <c r="K37" s="136"/>
      <c r="L37" s="136"/>
      <c r="M37" s="136"/>
      <c r="N37" s="136"/>
      <c r="O37" s="137"/>
    </row>
    <row r="38" spans="1:15" s="138" customFormat="1" x14ac:dyDescent="0.3">
      <c r="A38" s="140">
        <v>50</v>
      </c>
      <c r="B38" s="184" t="s">
        <v>192</v>
      </c>
      <c r="C38" s="185" t="s">
        <v>195</v>
      </c>
      <c r="D38" s="186">
        <v>3.0000000000000001E-3</v>
      </c>
      <c r="E38" s="184">
        <v>2000</v>
      </c>
      <c r="F38" s="182" t="s">
        <v>193</v>
      </c>
      <c r="G38" s="182"/>
      <c r="H38" s="182"/>
      <c r="I38" s="182">
        <v>1000</v>
      </c>
      <c r="J38" s="183">
        <f t="shared" si="3"/>
        <v>3</v>
      </c>
      <c r="K38" s="136"/>
      <c r="L38" s="136"/>
      <c r="M38" s="136"/>
      <c r="N38" s="136"/>
      <c r="O38" s="137"/>
    </row>
    <row r="39" spans="1:15" s="138" customFormat="1" x14ac:dyDescent="0.3">
      <c r="A39" s="180">
        <v>60</v>
      </c>
      <c r="B39" s="184" t="s">
        <v>194</v>
      </c>
      <c r="C39" s="185" t="s">
        <v>195</v>
      </c>
      <c r="D39" s="186">
        <v>2E-3</v>
      </c>
      <c r="E39" s="184">
        <v>2000</v>
      </c>
      <c r="F39" s="182" t="s">
        <v>193</v>
      </c>
      <c r="G39" s="182"/>
      <c r="H39" s="182"/>
      <c r="I39" s="182">
        <v>1000</v>
      </c>
      <c r="J39" s="183">
        <f t="shared" si="3"/>
        <v>2</v>
      </c>
      <c r="K39" s="136"/>
      <c r="L39" s="136"/>
      <c r="M39" s="136"/>
      <c r="N39" s="136"/>
      <c r="O39" s="137"/>
    </row>
    <row r="40" spans="1:15" x14ac:dyDescent="0.3">
      <c r="A40" s="65"/>
      <c r="B40" s="20"/>
      <c r="C40" s="20"/>
      <c r="D40" s="20"/>
      <c r="E40" s="20"/>
      <c r="F40" s="20"/>
      <c r="G40" s="20"/>
      <c r="H40" s="20"/>
      <c r="I40" s="93" t="s">
        <v>18</v>
      </c>
      <c r="J40" s="94">
        <f>SUM(J34:J36)</f>
        <v>0</v>
      </c>
      <c r="K40" s="53"/>
      <c r="L40" s="53"/>
      <c r="M40" s="53"/>
      <c r="N40" s="53"/>
      <c r="O40" s="59"/>
    </row>
    <row r="41" spans="1:15" x14ac:dyDescent="0.3">
      <c r="A41" s="6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9"/>
    </row>
    <row r="42" spans="1:15" x14ac:dyDescent="0.3">
      <c r="A42" s="89" t="s">
        <v>14</v>
      </c>
      <c r="B42" s="89" t="s">
        <v>39</v>
      </c>
      <c r="C42" s="89" t="s">
        <v>20</v>
      </c>
      <c r="D42" s="89" t="s">
        <v>21</v>
      </c>
      <c r="E42" s="89" t="s">
        <v>32</v>
      </c>
      <c r="F42" s="89" t="s">
        <v>17</v>
      </c>
      <c r="G42" s="89" t="s">
        <v>40</v>
      </c>
      <c r="H42" s="89" t="s">
        <v>41</v>
      </c>
      <c r="I42" s="89" t="s">
        <v>18</v>
      </c>
      <c r="J42" s="20"/>
      <c r="K42" s="53"/>
      <c r="L42" s="53"/>
      <c r="M42" s="53"/>
      <c r="N42" s="53"/>
      <c r="O42" s="59"/>
    </row>
    <row r="43" spans="1:15" x14ac:dyDescent="0.3">
      <c r="A43" s="70">
        <v>10</v>
      </c>
      <c r="B43" s="70" t="s">
        <v>42</v>
      </c>
      <c r="C43" s="70" t="s">
        <v>146</v>
      </c>
      <c r="D43" s="71">
        <v>500</v>
      </c>
      <c r="E43" s="70" t="s">
        <v>43</v>
      </c>
      <c r="F43" s="70">
        <v>16</v>
      </c>
      <c r="G43" s="70">
        <v>3000</v>
      </c>
      <c r="H43" s="70">
        <v>1</v>
      </c>
      <c r="I43" s="71">
        <f>D43*F43/G43*H43</f>
        <v>2.6666666666666665</v>
      </c>
      <c r="J43" s="20"/>
      <c r="K43" s="53"/>
      <c r="L43" s="53"/>
      <c r="M43" s="53"/>
      <c r="N43" s="53"/>
      <c r="O43" s="59"/>
    </row>
    <row r="44" spans="1:15" x14ac:dyDescent="0.3">
      <c r="A44" s="65"/>
      <c r="B44" s="20"/>
      <c r="C44" s="20"/>
      <c r="D44" s="20"/>
      <c r="E44" s="20"/>
      <c r="F44" s="20"/>
      <c r="G44" s="20"/>
      <c r="H44" s="93" t="s">
        <v>18</v>
      </c>
      <c r="I44" s="94">
        <f>SUM(I43:I43)</f>
        <v>2.6666666666666665</v>
      </c>
      <c r="J44" s="20"/>
      <c r="K44" s="53"/>
      <c r="L44" s="53"/>
      <c r="M44" s="53"/>
      <c r="N44" s="53"/>
      <c r="O44" s="59"/>
    </row>
    <row r="45" spans="1:15" ht="15" thickBot="1" x14ac:dyDescent="0.35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15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hyperlinks>
    <hyperlink ref="B10" location="FR_0700_000!A1" display="Nose" xr:uid="{00000000-0004-0000-0200-000000000000}"/>
    <hyperlink ref="B11" location="FR_0700_001!A1" display="Left Inlet" xr:uid="{00000000-0004-0000-0200-000001000000}"/>
    <hyperlink ref="B13" location="FR_0700_003!A1" display="Front Plate" xr:uid="{00000000-0004-0000-0200-000002000000}"/>
    <hyperlink ref="B12" location="FR_0700_002!A1" display="Right Inlet" xr:uid="{00000000-0004-0000-0200-000003000000}"/>
    <hyperlink ref="B14" location="FR_0700_004!A1" display="Back Plate" xr:uid="{00000000-0004-0000-0200-000004000000}"/>
    <hyperlink ref="B15" location="FR_0700_005!A1" display="Back Inlet Bracket" xr:uid="{00000000-0004-0000-0200-000005000000}"/>
    <hyperlink ref="B16" location="FR_0700_006!A1" display="Front Inlet Bracket" xr:uid="{00000000-0004-0000-0200-000006000000}"/>
    <hyperlink ref="B17" location="FR_0700_007!A1" display="Back Nose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7"/>
  <sheetViews>
    <sheetView topLeftCell="D1" zoomScale="75" zoomScaleNormal="75" workbookViewId="0">
      <selection activeCell="I22" sqref="I22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1.5546875" bestFit="1" customWidth="1"/>
    <col min="5" max="6" width="10.5546875"/>
    <col min="7" max="7" width="23.6640625" customWidth="1"/>
    <col min="8" max="8" width="16" customWidth="1"/>
    <col min="9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FR_0700_000_m+FR_0700_000_p</f>
        <v>249.95200000000006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166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249.95200000000006</v>
      </c>
      <c r="O5" s="59"/>
    </row>
    <row r="6" spans="1:15" x14ac:dyDescent="0.3">
      <c r="A6" s="116" t="s">
        <v>7</v>
      </c>
      <c r="B6" s="24" t="s">
        <v>147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16"/>
      <c r="F11" s="16"/>
      <c r="G11" s="16"/>
      <c r="H11" s="15"/>
      <c r="I11" s="17"/>
      <c r="J11" s="88">
        <v>1.38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82.8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82.8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296.8</v>
      </c>
      <c r="G15" s="196" t="s">
        <v>200</v>
      </c>
      <c r="H15" s="195">
        <v>2</v>
      </c>
      <c r="I15" s="197">
        <f>IF(H15="",D15*F15,D15*F15*H15)</f>
        <v>35.616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1.38</v>
      </c>
      <c r="G16" s="196" t="s">
        <v>200</v>
      </c>
      <c r="H16" s="196">
        <v>2</v>
      </c>
      <c r="I16" s="197">
        <f>IF(H16="",D16*F16,D16*F16*H16)</f>
        <v>96.6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1.38</v>
      </c>
      <c r="G17" s="196" t="s">
        <v>200</v>
      </c>
      <c r="H17" s="195">
        <v>2</v>
      </c>
      <c r="I17" s="201">
        <f t="shared" ref="I17:I20" si="0">IF(H17="",D17*F17,D17*F17*H17)</f>
        <v>13.799999999999999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1.38</v>
      </c>
      <c r="G18" s="195"/>
      <c r="H18" s="195"/>
      <c r="I18" s="201">
        <f t="shared" si="0"/>
        <v>13.799999999999999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4</v>
      </c>
      <c r="G19" s="199"/>
      <c r="H19" s="195"/>
      <c r="I19" s="201">
        <f t="shared" si="0"/>
        <v>1.4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204">
        <v>296.8</v>
      </c>
      <c r="G20" s="199" t="s">
        <v>208</v>
      </c>
      <c r="H20" s="195">
        <v>2</v>
      </c>
      <c r="I20" s="201">
        <f t="shared" si="0"/>
        <v>5.9359999999999999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167.15200000000004</v>
      </c>
      <c r="J21" s="20"/>
      <c r="K21" s="20"/>
      <c r="L21" s="20"/>
      <c r="M21" s="20"/>
      <c r="N21" s="20"/>
      <c r="O21" s="59"/>
    </row>
    <row r="22" spans="1:15" x14ac:dyDescent="0.3">
      <c r="A22" s="65"/>
      <c r="B22" s="20"/>
      <c r="C22" s="20"/>
      <c r="D22" s="20"/>
      <c r="E22" s="20"/>
      <c r="F22" s="20"/>
      <c r="G22" s="20"/>
      <c r="H22" s="193"/>
      <c r="I22" s="194"/>
      <c r="J22" s="20"/>
      <c r="K22" s="20"/>
      <c r="L22" s="20"/>
      <c r="M22" s="20"/>
      <c r="N22" s="20"/>
      <c r="O22" s="59"/>
    </row>
    <row r="23" spans="1:15" x14ac:dyDescent="0.3">
      <c r="A23" s="60"/>
      <c r="B23" s="53"/>
      <c r="C23" s="53"/>
      <c r="D23" s="53"/>
      <c r="E23" s="53"/>
      <c r="F23" s="53"/>
      <c r="G23" s="53"/>
      <c r="H23" s="53"/>
      <c r="I23" s="54"/>
      <c r="J23" s="53"/>
      <c r="K23" s="53"/>
      <c r="L23" s="53"/>
      <c r="M23" s="53"/>
      <c r="N23" s="53"/>
      <c r="O23" s="59"/>
    </row>
    <row r="24" spans="1:15" ht="15" thickBot="1" x14ac:dyDescent="0.35">
      <c r="A24" s="190" t="s">
        <v>14</v>
      </c>
      <c r="B24" s="190" t="s">
        <v>39</v>
      </c>
      <c r="C24" s="190" t="s">
        <v>20</v>
      </c>
      <c r="D24" s="190" t="s">
        <v>21</v>
      </c>
      <c r="E24" s="190" t="s">
        <v>32</v>
      </c>
      <c r="F24" s="190" t="s">
        <v>17</v>
      </c>
      <c r="G24" s="190" t="s">
        <v>40</v>
      </c>
      <c r="H24" s="190" t="s">
        <v>41</v>
      </c>
      <c r="I24" s="190" t="s">
        <v>18</v>
      </c>
      <c r="J24" s="68"/>
      <c r="K24" s="68"/>
      <c r="L24" s="68"/>
      <c r="M24" s="68"/>
      <c r="N24" s="68"/>
      <c r="O24" s="69"/>
    </row>
    <row r="25" spans="1:15" x14ac:dyDescent="0.3">
      <c r="A25" s="70">
        <v>10</v>
      </c>
      <c r="B25" s="70" t="s">
        <v>205</v>
      </c>
      <c r="C25" s="70"/>
      <c r="D25" s="71">
        <v>20000</v>
      </c>
      <c r="E25" s="70" t="s">
        <v>144</v>
      </c>
      <c r="F25" s="70">
        <f>F16*2</f>
        <v>2.76</v>
      </c>
      <c r="G25" s="70">
        <v>3000</v>
      </c>
      <c r="H25" s="70">
        <v>1</v>
      </c>
      <c r="I25" s="71">
        <f>D25*F25/G25*H25</f>
        <v>18.399999999999999</v>
      </c>
    </row>
    <row r="26" spans="1:15" x14ac:dyDescent="0.3">
      <c r="A26" s="65"/>
      <c r="B26" s="20"/>
      <c r="C26" s="20"/>
      <c r="D26" s="20"/>
      <c r="E26" s="20"/>
      <c r="F26" s="20"/>
      <c r="G26" s="20"/>
      <c r="H26" s="192" t="s">
        <v>18</v>
      </c>
      <c r="I26" s="191">
        <f>SUM(I25:I25)</f>
        <v>18.399999999999999</v>
      </c>
    </row>
    <row r="27" spans="1:15" ht="15" thickBot="1" x14ac:dyDescent="0.35">
      <c r="A27" s="67"/>
      <c r="B27" s="68"/>
      <c r="C27" s="68"/>
      <c r="D27" s="68"/>
      <c r="E27" s="68"/>
      <c r="F27" s="68"/>
      <c r="G27" s="68"/>
      <c r="H27" s="68"/>
      <c r="I27" s="68"/>
    </row>
  </sheetData>
  <hyperlinks>
    <hyperlink ref="B4" location="'FR A0700'!A1" display="'FR A0700'!A1" xr:uid="{00000000-0004-0000-0300-000000000000}"/>
    <hyperlink ref="E3" location="dFR_0700_000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L17" sqref="L17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38" t="s">
        <v>93</v>
      </c>
      <c r="B1" s="144" t="s">
        <v>178</v>
      </c>
    </row>
  </sheetData>
  <hyperlinks>
    <hyperlink ref="B1" location="FR_0700_000!A1" display="FR_07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22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27.2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FR_0700_001_m+FR_0700_001_p</f>
        <v>108.45400000000001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169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108.45400000000001</v>
      </c>
      <c r="O5" s="59"/>
    </row>
    <row r="6" spans="1:15" x14ac:dyDescent="0.3">
      <c r="A6" s="116" t="s">
        <v>7</v>
      </c>
      <c r="B6" s="24" t="s">
        <v>149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16"/>
      <c r="F11" s="16"/>
      <c r="G11" s="16"/>
      <c r="H11" s="15"/>
      <c r="I11" s="17"/>
      <c r="J11" s="88">
        <v>0.47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258.60000000000002</v>
      </c>
      <c r="G15" s="196" t="s">
        <v>200</v>
      </c>
      <c r="H15" s="195">
        <v>2</v>
      </c>
      <c r="I15" s="197">
        <f>IF(H15="",D15*F15,D15*F15*H15)</f>
        <v>31.032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0.47</v>
      </c>
      <c r="G16" s="196" t="s">
        <v>200</v>
      </c>
      <c r="H16" s="196">
        <v>2</v>
      </c>
      <c r="I16" s="197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0.47</v>
      </c>
      <c r="G17" s="196" t="s">
        <v>200</v>
      </c>
      <c r="H17" s="195">
        <v>2</v>
      </c>
      <c r="I17" s="201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0.47</v>
      </c>
      <c r="G18" s="195"/>
      <c r="H18" s="195"/>
      <c r="I18" s="201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5</v>
      </c>
      <c r="G19" s="199"/>
      <c r="H19" s="195"/>
      <c r="I19" s="201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500-000000000000}"/>
    <hyperlink ref="E3" location="dFR_07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38" t="s">
        <v>148</v>
      </c>
      <c r="B1" s="144" t="s">
        <v>177</v>
      </c>
    </row>
  </sheetData>
  <hyperlinks>
    <hyperlink ref="B1" location="FR_0700_001!A1" display="FR_07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22"/>
  <sheetViews>
    <sheetView zoomScale="85" zoomScaleNormal="85" workbookViewId="0">
      <selection activeCell="A11" sqref="A11:XFD11"/>
    </sheetView>
  </sheetViews>
  <sheetFormatPr baseColWidth="10" defaultColWidth="9.109375" defaultRowHeight="14.4" x14ac:dyDescent="0.3"/>
  <cols>
    <col min="2" max="2" width="33.44140625" bestFit="1" customWidth="1"/>
    <col min="7" max="7" width="23.777343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6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7" t="s">
        <v>1</v>
      </c>
      <c r="K2" s="75">
        <v>81</v>
      </c>
      <c r="L2" s="53"/>
      <c r="M2" s="116" t="s">
        <v>16</v>
      </c>
      <c r="N2" s="71">
        <f>FR_0700_002_m+FR_0700_002_p</f>
        <v>108.45400000000001</v>
      </c>
      <c r="O2" s="59"/>
    </row>
    <row r="3" spans="1:15" x14ac:dyDescent="0.3">
      <c r="A3" s="116" t="s">
        <v>3</v>
      </c>
      <c r="B3" s="11" t="str">
        <f>'FR A0700'!B3</f>
        <v>Frame and Body</v>
      </c>
      <c r="C3" s="53"/>
      <c r="D3" s="116" t="s">
        <v>6</v>
      </c>
      <c r="E3" s="81" t="s">
        <v>94</v>
      </c>
      <c r="F3" s="53"/>
      <c r="G3" s="53"/>
      <c r="H3" s="53"/>
      <c r="I3" s="53"/>
      <c r="J3" s="53"/>
      <c r="K3" s="53"/>
      <c r="L3" s="53"/>
      <c r="M3" s="116" t="s">
        <v>4</v>
      </c>
      <c r="N3" s="74">
        <v>1</v>
      </c>
      <c r="O3" s="59"/>
    </row>
    <row r="4" spans="1:15" x14ac:dyDescent="0.3">
      <c r="A4" s="116" t="s">
        <v>5</v>
      </c>
      <c r="B4" s="80" t="str">
        <f>'FR A0700'!B4</f>
        <v>Bodywork</v>
      </c>
      <c r="C4" s="53"/>
      <c r="D4" s="116" t="s">
        <v>8</v>
      </c>
      <c r="E4" s="53"/>
      <c r="F4" s="53"/>
      <c r="G4" s="53"/>
      <c r="H4" s="53"/>
      <c r="I4" s="53"/>
      <c r="J4" s="118" t="s">
        <v>6</v>
      </c>
      <c r="K4" s="53"/>
      <c r="L4" s="53"/>
      <c r="M4" s="53"/>
      <c r="N4" s="53"/>
      <c r="O4" s="59"/>
    </row>
    <row r="5" spans="1:15" x14ac:dyDescent="0.3">
      <c r="A5" s="116" t="s">
        <v>15</v>
      </c>
      <c r="B5" s="13" t="s">
        <v>168</v>
      </c>
      <c r="C5" s="53"/>
      <c r="D5" s="116" t="s">
        <v>12</v>
      </c>
      <c r="E5" s="53"/>
      <c r="F5" s="53"/>
      <c r="G5" s="53"/>
      <c r="H5" s="53"/>
      <c r="I5" s="53"/>
      <c r="J5" s="118" t="s">
        <v>8</v>
      </c>
      <c r="K5" s="53"/>
      <c r="L5" s="53"/>
      <c r="M5" s="116" t="s">
        <v>9</v>
      </c>
      <c r="N5" s="71">
        <f>N3*N2</f>
        <v>108.45400000000001</v>
      </c>
      <c r="O5" s="59"/>
    </row>
    <row r="6" spans="1:15" x14ac:dyDescent="0.3">
      <c r="A6" s="116" t="s">
        <v>7</v>
      </c>
      <c r="B6" s="24" t="s">
        <v>150</v>
      </c>
      <c r="C6" s="53"/>
      <c r="D6" s="53"/>
      <c r="E6" s="53"/>
      <c r="F6" s="53"/>
      <c r="G6" s="53"/>
      <c r="H6" s="53"/>
      <c r="I6" s="53"/>
      <c r="J6" s="118" t="s">
        <v>12</v>
      </c>
      <c r="K6" s="53"/>
      <c r="L6" s="53"/>
      <c r="M6" s="53"/>
      <c r="N6" s="53"/>
      <c r="O6" s="59"/>
    </row>
    <row r="7" spans="1:15" x14ac:dyDescent="0.3">
      <c r="A7" s="116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6" t="s">
        <v>13</v>
      </c>
      <c r="B8" s="11" t="s">
        <v>181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6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9" t="s">
        <v>14</v>
      </c>
      <c r="B10" s="120" t="s">
        <v>19</v>
      </c>
      <c r="C10" s="120" t="s">
        <v>20</v>
      </c>
      <c r="D10" s="120" t="s">
        <v>21</v>
      </c>
      <c r="E10" s="120" t="s">
        <v>22</v>
      </c>
      <c r="F10" s="121" t="s">
        <v>23</v>
      </c>
      <c r="G10" s="121" t="s">
        <v>24</v>
      </c>
      <c r="H10" s="121" t="s">
        <v>25</v>
      </c>
      <c r="I10" s="121" t="s">
        <v>26</v>
      </c>
      <c r="J10" s="121" t="s">
        <v>27</v>
      </c>
      <c r="K10" s="121" t="s">
        <v>28</v>
      </c>
      <c r="L10" s="121" t="s">
        <v>29</v>
      </c>
      <c r="M10" s="121" t="s">
        <v>17</v>
      </c>
      <c r="N10" s="121" t="s">
        <v>18</v>
      </c>
      <c r="O10" s="59"/>
    </row>
    <row r="11" spans="1:15" s="18" customFormat="1" x14ac:dyDescent="0.3">
      <c r="A11" s="77">
        <v>10</v>
      </c>
      <c r="B11" s="26" t="s">
        <v>198</v>
      </c>
      <c r="C11" s="16"/>
      <c r="D11" s="28">
        <v>100</v>
      </c>
      <c r="E11" s="16"/>
      <c r="F11" s="16"/>
      <c r="G11" s="16"/>
      <c r="H11" s="15"/>
      <c r="I11" s="17"/>
      <c r="J11" s="88">
        <v>0.47</v>
      </c>
      <c r="K11" s="189">
        <f>0.3/L11</f>
        <v>1.3636363636363637E-4</v>
      </c>
      <c r="L11" s="27">
        <v>2200</v>
      </c>
      <c r="M11" s="19">
        <v>2</v>
      </c>
      <c r="N11" s="28">
        <f>IF(J11="",D11*M11,D11*J11*K11*L11*M11)</f>
        <v>28.200000000000003</v>
      </c>
      <c r="O11" s="64"/>
    </row>
    <row r="12" spans="1:15" x14ac:dyDescent="0.3">
      <c r="A12" s="65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2" t="s">
        <v>18</v>
      </c>
      <c r="N12" s="123">
        <f>SUM(N11:N11)</f>
        <v>28.200000000000003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4" t="s">
        <v>14</v>
      </c>
      <c r="B14" s="121" t="s">
        <v>31</v>
      </c>
      <c r="C14" s="121" t="s">
        <v>20</v>
      </c>
      <c r="D14" s="121" t="s">
        <v>21</v>
      </c>
      <c r="E14" s="121" t="s">
        <v>32</v>
      </c>
      <c r="F14" s="121" t="s">
        <v>17</v>
      </c>
      <c r="G14" s="121" t="s">
        <v>33</v>
      </c>
      <c r="H14" s="121" t="s">
        <v>34</v>
      </c>
      <c r="I14" s="121" t="s">
        <v>18</v>
      </c>
      <c r="J14" s="20"/>
      <c r="K14" s="20"/>
      <c r="L14" s="20"/>
      <c r="M14" s="20"/>
      <c r="N14" s="20"/>
      <c r="O14" s="59"/>
    </row>
    <row r="15" spans="1:15" x14ac:dyDescent="0.3">
      <c r="A15" s="195">
        <v>10</v>
      </c>
      <c r="B15" s="195" t="s">
        <v>206</v>
      </c>
      <c r="C15" s="195"/>
      <c r="D15" s="195">
        <v>0.06</v>
      </c>
      <c r="E15" s="195" t="s">
        <v>47</v>
      </c>
      <c r="F15" s="195">
        <v>258.60000000000002</v>
      </c>
      <c r="G15" s="196" t="s">
        <v>200</v>
      </c>
      <c r="H15" s="195">
        <v>2</v>
      </c>
      <c r="I15" s="197">
        <f>IF(H15="",D15*F15,D15*F15*H15)</f>
        <v>31.032</v>
      </c>
    </row>
    <row r="16" spans="1:15" s="21" customFormat="1" x14ac:dyDescent="0.3">
      <c r="A16" s="196">
        <v>20</v>
      </c>
      <c r="B16" s="198" t="s">
        <v>199</v>
      </c>
      <c r="C16" s="196"/>
      <c r="D16" s="197">
        <v>35</v>
      </c>
      <c r="E16" s="199" t="s">
        <v>144</v>
      </c>
      <c r="F16" s="200">
        <f>J11</f>
        <v>0.47</v>
      </c>
      <c r="G16" s="196" t="s">
        <v>200</v>
      </c>
      <c r="H16" s="196">
        <v>2</v>
      </c>
      <c r="I16" s="197">
        <f>IF(H16="",D16*F16,D16*F16*H16)</f>
        <v>32.9</v>
      </c>
      <c r="J16" s="55"/>
      <c r="K16" s="55"/>
      <c r="L16" s="55"/>
      <c r="M16" s="55"/>
      <c r="N16" s="55"/>
      <c r="O16" s="66"/>
    </row>
    <row r="17" spans="1:15" x14ac:dyDescent="0.3">
      <c r="A17" s="195">
        <v>30</v>
      </c>
      <c r="B17" s="198" t="s">
        <v>201</v>
      </c>
      <c r="C17" s="195"/>
      <c r="D17" s="201">
        <v>5</v>
      </c>
      <c r="E17" s="195" t="s">
        <v>144</v>
      </c>
      <c r="F17" s="200">
        <f>J11</f>
        <v>0.47</v>
      </c>
      <c r="G17" s="196" t="s">
        <v>200</v>
      </c>
      <c r="H17" s="195">
        <v>2</v>
      </c>
      <c r="I17" s="201">
        <f t="shared" ref="I17:I20" si="0">IF(H17="",D17*F17,D17*F17*H17)</f>
        <v>4.6999999999999993</v>
      </c>
      <c r="J17" s="53"/>
      <c r="K17" s="53"/>
      <c r="L17" s="53"/>
      <c r="M17" s="53"/>
      <c r="N17" s="53"/>
      <c r="O17" s="59"/>
    </row>
    <row r="18" spans="1:15" s="12" customFormat="1" x14ac:dyDescent="0.3">
      <c r="A18" s="196">
        <v>40</v>
      </c>
      <c r="B18" s="198" t="s">
        <v>202</v>
      </c>
      <c r="C18" s="195"/>
      <c r="D18" s="201">
        <v>10</v>
      </c>
      <c r="E18" s="199" t="s">
        <v>144</v>
      </c>
      <c r="F18" s="202">
        <f>J11</f>
        <v>0.47</v>
      </c>
      <c r="G18" s="195"/>
      <c r="H18" s="195"/>
      <c r="I18" s="201">
        <f t="shared" si="0"/>
        <v>4.6999999999999993</v>
      </c>
      <c r="J18" s="54"/>
      <c r="K18" s="54"/>
      <c r="L18" s="54"/>
      <c r="M18" s="54"/>
      <c r="N18" s="54"/>
      <c r="O18" s="63"/>
    </row>
    <row r="19" spans="1:15" x14ac:dyDescent="0.3">
      <c r="A19" s="195">
        <v>50</v>
      </c>
      <c r="B19" s="198" t="s">
        <v>203</v>
      </c>
      <c r="C19" s="195"/>
      <c r="D19" s="201">
        <v>0.35</v>
      </c>
      <c r="E19" s="195" t="s">
        <v>204</v>
      </c>
      <c r="F19" s="203">
        <v>5</v>
      </c>
      <c r="G19" s="199"/>
      <c r="H19" s="195"/>
      <c r="I19" s="201">
        <f t="shared" si="0"/>
        <v>1.75</v>
      </c>
      <c r="J19" s="53"/>
      <c r="K19" s="53"/>
      <c r="L19" s="53"/>
      <c r="M19" s="53"/>
      <c r="N19" s="53"/>
      <c r="O19" s="59"/>
    </row>
    <row r="20" spans="1:15" x14ac:dyDescent="0.3">
      <c r="A20" s="195">
        <v>60</v>
      </c>
      <c r="B20" s="198" t="s">
        <v>207</v>
      </c>
      <c r="C20" s="195"/>
      <c r="D20" s="201">
        <v>0.01</v>
      </c>
      <c r="E20" s="195" t="s">
        <v>47</v>
      </c>
      <c r="F20" s="195">
        <v>258.60000000000002</v>
      </c>
      <c r="G20" s="199" t="s">
        <v>208</v>
      </c>
      <c r="H20" s="195">
        <v>2</v>
      </c>
      <c r="I20" s="201">
        <f t="shared" si="0"/>
        <v>5.1720000000000006</v>
      </c>
      <c r="J20" s="53"/>
      <c r="K20" s="53"/>
      <c r="L20" s="53"/>
      <c r="M20" s="53"/>
      <c r="N20" s="53"/>
      <c r="O20" s="59"/>
    </row>
    <row r="21" spans="1:15" x14ac:dyDescent="0.3">
      <c r="A21" s="65"/>
      <c r="B21" s="20"/>
      <c r="C21" s="20"/>
      <c r="D21" s="20"/>
      <c r="E21" s="20"/>
      <c r="F21" s="20"/>
      <c r="G21" s="20"/>
      <c r="H21" s="125" t="s">
        <v>18</v>
      </c>
      <c r="I21" s="123">
        <f>SUM(I15:I20)</f>
        <v>80.254000000000005</v>
      </c>
      <c r="J21" s="20"/>
      <c r="K21" s="20"/>
      <c r="L21" s="20"/>
      <c r="M21" s="20"/>
      <c r="N21" s="20"/>
      <c r="O21" s="59"/>
    </row>
    <row r="22" spans="1:15" ht="15" thickBot="1" x14ac:dyDescent="0.35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</row>
  </sheetData>
  <hyperlinks>
    <hyperlink ref="B4" location="'FR A0700'!A1" display="'FR A0700'!A1" xr:uid="{00000000-0004-0000-0700-000000000000}"/>
    <hyperlink ref="E3" location="dFR_07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158</v>
      </c>
      <c r="B1" s="81" t="s">
        <v>176</v>
      </c>
    </row>
  </sheetData>
  <hyperlinks>
    <hyperlink ref="B1" location="FR_0700_002!A1" display="FR_07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BOM!Car</vt:lpstr>
      <vt:lpstr>BOM!CompCode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2018-04-04T15:09:26Z</dcterms:modified>
  <dc:language>fr-FR</dc:language>
</cp:coreProperties>
</file>