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quette_EPSA\EN - Engine &amp; Powertrain\Cost\"/>
    </mc:Choice>
  </mc:AlternateContent>
  <bookViews>
    <workbookView xWindow="0" yWindow="0" windowWidth="23040" windowHeight="10452" activeTab="5"/>
  </bookViews>
  <sheets>
    <sheet name="EN A0004" sheetId="1" r:id="rId1"/>
    <sheet name="EN 04001" sheetId="2" r:id="rId2"/>
    <sheet name="EN 04002" sheetId="3" r:id="rId3"/>
    <sheet name="EN 04003" sheetId="4" r:id="rId4"/>
    <sheet name="EN 04003 Drawing" sheetId="5" r:id="rId5"/>
    <sheet name="EN 04004" sheetId="6" r:id="rId6"/>
    <sheet name="EN 04004 Drawing" sheetId="7" r:id="rId7"/>
  </sheets>
  <externalReferences>
    <externalReference r:id="rId8"/>
    <externalReference r:id="rId9"/>
  </externalReferences>
  <definedNames>
    <definedName name="a">#REF!</definedName>
    <definedName name="EL_A0003_f">#REF!</definedName>
    <definedName name="EL_A0003_m">#REF!</definedName>
    <definedName name="EL_A0003_p">#REF!</definedName>
    <definedName name="EL_A0003_t">#REF!</definedName>
    <definedName name="EN_04001_q">'[1]EN Parts'!$N$541</definedName>
    <definedName name="EN_04002_q">'[1]EN Parts'!$N$572</definedName>
    <definedName name="EN_04003_q">'[1]EN Parts'!$N$594</definedName>
    <definedName name="EN_04004_q">'[1]EN Parts'!$N$616</definedName>
    <definedName name="EN_04005_q">'[1]EN Parts'!$N$637</definedName>
    <definedName name="EN_04006_q">'[1]EN Parts'!$N$658</definedName>
    <definedName name="Process_P1">#REF!</definedName>
    <definedName name="Processes">#REF!</definedName>
    <definedName name="Uni">[2]BOM!#REF!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7" i="1" l="1"/>
  <c r="J66" i="1"/>
  <c r="J65" i="1"/>
  <c r="J64" i="1"/>
  <c r="I50" i="1"/>
  <c r="I51" i="1"/>
  <c r="I39" i="1"/>
  <c r="N31" i="1"/>
  <c r="D31" i="1"/>
  <c r="I36" i="1"/>
  <c r="I37" i="1"/>
  <c r="I38" i="1"/>
  <c r="I40" i="1"/>
  <c r="I41" i="1"/>
  <c r="I42" i="1"/>
  <c r="I43" i="1"/>
  <c r="I44" i="1"/>
  <c r="I45" i="1"/>
  <c r="I46" i="1"/>
  <c r="I47" i="1"/>
  <c r="I48" i="1"/>
  <c r="I49" i="1"/>
  <c r="I52" i="1"/>
  <c r="I53" i="1"/>
  <c r="I54" i="1"/>
  <c r="I55" i="1"/>
  <c r="I56" i="1"/>
  <c r="D28" i="1"/>
  <c r="D25" i="1"/>
  <c r="D24" i="1"/>
  <c r="D23" i="1"/>
  <c r="D22" i="1"/>
  <c r="N22" i="1"/>
  <c r="N20" i="1"/>
  <c r="D21" i="1"/>
  <c r="J10" i="6"/>
  <c r="J10" i="4"/>
  <c r="K10" i="4"/>
  <c r="I14" i="6"/>
  <c r="I15" i="6"/>
  <c r="I16" i="6"/>
  <c r="K10" i="6"/>
  <c r="N10" i="6"/>
  <c r="N11" i="6"/>
  <c r="E10" i="6"/>
  <c r="N1" i="6"/>
  <c r="N4" i="6"/>
  <c r="I14" i="4"/>
  <c r="I15" i="4"/>
  <c r="I16" i="4"/>
  <c r="N10" i="4"/>
  <c r="N11" i="4"/>
  <c r="E10" i="4"/>
  <c r="N1" i="4"/>
  <c r="N4" i="4"/>
  <c r="I14" i="3"/>
  <c r="I15" i="3"/>
  <c r="I16" i="3"/>
  <c r="I17" i="3"/>
  <c r="J10" i="3"/>
  <c r="K10" i="3"/>
  <c r="N10" i="3"/>
  <c r="N11" i="3"/>
  <c r="E10" i="3"/>
  <c r="N1" i="3"/>
  <c r="N4" i="3"/>
  <c r="I23" i="2"/>
  <c r="I24" i="2"/>
  <c r="I15" i="2"/>
  <c r="I16" i="2"/>
  <c r="I17" i="2"/>
  <c r="I18" i="2"/>
  <c r="I19" i="2"/>
  <c r="I20" i="2"/>
  <c r="J10" i="2"/>
  <c r="N10" i="2"/>
  <c r="J11" i="2"/>
  <c r="N11" i="2"/>
  <c r="N12" i="2"/>
  <c r="E11" i="2"/>
  <c r="E10" i="2"/>
  <c r="N1" i="2"/>
  <c r="N4" i="2"/>
  <c r="I71" i="1"/>
  <c r="I72" i="1"/>
  <c r="J59" i="1"/>
  <c r="J60" i="1"/>
  <c r="J61" i="1"/>
  <c r="J62" i="1"/>
  <c r="J63" i="1"/>
  <c r="J68" i="1"/>
  <c r="F37" i="1"/>
  <c r="N16" i="1"/>
  <c r="N17" i="1"/>
  <c r="N18" i="1"/>
  <c r="N19" i="1"/>
  <c r="N21" i="1"/>
  <c r="N23" i="1"/>
  <c r="N24" i="1"/>
  <c r="N25" i="1"/>
  <c r="N26" i="1"/>
  <c r="N27" i="1"/>
  <c r="N28" i="1"/>
  <c r="N29" i="1"/>
  <c r="N30" i="1"/>
  <c r="N32" i="1"/>
  <c r="N33" i="1"/>
  <c r="C9" i="1"/>
  <c r="E9" i="1"/>
  <c r="C10" i="1"/>
  <c r="E10" i="1"/>
  <c r="C11" i="1"/>
  <c r="E11" i="1"/>
  <c r="C12" i="1"/>
  <c r="E12" i="1"/>
  <c r="E13" i="1"/>
  <c r="N1" i="1"/>
  <c r="N4" i="1"/>
</calcChain>
</file>

<file path=xl/sharedStrings.xml><?xml version="1.0" encoding="utf-8"?>
<sst xmlns="http://schemas.openxmlformats.org/spreadsheetml/2006/main" count="483" uniqueCount="160">
  <si>
    <t>University</t>
  </si>
  <si>
    <t>Ecole Centrale de Lyon</t>
  </si>
  <si>
    <t>Back to BOM</t>
  </si>
  <si>
    <t>Car #</t>
  </si>
  <si>
    <t>Asm Cost</t>
  </si>
  <si>
    <t>System</t>
  </si>
  <si>
    <t>Engine &amp; Drivetrain</t>
  </si>
  <si>
    <t>Qty</t>
  </si>
  <si>
    <t>Assembly</t>
  </si>
  <si>
    <t>Fuel System</t>
  </si>
  <si>
    <t>FileLink1</t>
  </si>
  <si>
    <t>P/N Base</t>
  </si>
  <si>
    <t>EN A0004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</si>
  <si>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</si>
  <si>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</si>
  <si>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</si>
  <si>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</si>
  <si>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</si>
  <si>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</si>
  <si>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</si>
  <si>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</si>
  <si>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</si>
  <si>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</si>
  <si>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</si>
  <si>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Fuel Rail</t>
  </si>
  <si>
    <t>Fuel Pump Collar</t>
  </si>
  <si>
    <t>Pressure Regulator Tab</t>
  </si>
  <si>
    <t>Fuel Pump Tab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</si>
  <si>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</si>
  <si>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</si>
  <si>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</si>
  <si>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</si>
  <si>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</si>
  <si>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</si>
  <si>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</si>
  <si>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</si>
  <si>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</si>
  <si>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</si>
  <si>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</si>
  <si>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Fuel filter</t>
  </si>
  <si>
    <t>Fuel Pump, Fuel Injected, Gasoline</t>
  </si>
  <si>
    <t>Fuel Pressure Regulator, Gasoline</t>
  </si>
  <si>
    <t>Fuel Injector, Gasoline</t>
  </si>
  <si>
    <t>Hose, Low Pressure, Stainless Steel Braided Outer</t>
  </si>
  <si>
    <t>mm</t>
  </si>
  <si>
    <t>Fitting/L.P./Elbow/90 deg./Aluminum/Anodized</t>
  </si>
  <si>
    <t>Fitting/L.P./Straight/Aluminum/Anodized</t>
  </si>
  <si>
    <t>Banjo Fitting, Aluminum</t>
  </si>
  <si>
    <t>Fuel rail alimentation</t>
  </si>
  <si>
    <t>Fitting/L.P./Tube Nut//Steel/</t>
  </si>
  <si>
    <t>Banjo fitting on rail</t>
  </si>
  <si>
    <t>Adapter/L.P./Union/FeMale Flare//Aluminum/Anodized</t>
  </si>
  <si>
    <t>Adapter/L.P./Union Reducer//Aluminum/Anodized</t>
  </si>
  <si>
    <t>Seal, O-Ring, Elastomer</t>
  </si>
  <si>
    <t>Injector seals</t>
  </si>
  <si>
    <t>Paint</t>
  </si>
  <si>
    <t>Tabs painting</t>
  </si>
  <si>
    <t>m^2</t>
  </si>
  <si>
    <t>Process</t>
  </si>
  <si>
    <t>Unit</t>
  </si>
  <si>
    <t>Multiplier</t>
  </si>
  <si>
    <t>Mult. Val.</t>
  </si>
  <si>
    <t>Weld</t>
  </si>
  <si>
    <t>Pump collar tab on frame  (regulator tab only pointed)</t>
  </si>
  <si>
    <t>cm</t>
  </si>
  <si>
    <t>Aerosol apply</t>
  </si>
  <si>
    <t>Assemble, 1 kg, Interference</t>
  </si>
  <si>
    <t>Assemble fittings on hose</t>
  </si>
  <si>
    <t>Assemble, 1 kg, Loose</t>
  </si>
  <si>
    <t>Assemble Pump on Collar</t>
  </si>
  <si>
    <t>Assemble Pump + Collar on Pump tab</t>
  </si>
  <si>
    <t>Ratchet &lt;= 6.35 mm</t>
  </si>
  <si>
    <t>Tighten M6 bolt between Pump Collar and Tab</t>
  </si>
  <si>
    <t>Reaction Tool &lt;= 6.35 mm</t>
  </si>
  <si>
    <t>Reaction tool for M6 nut</t>
  </si>
  <si>
    <t>Assemble Fuel pressure regulator on Tab</t>
  </si>
  <si>
    <t>Tighten M6 bolt between Fuel pressure regulator and Tab</t>
  </si>
  <si>
    <t>Assemble, 1 kg, Line-on-Line</t>
  </si>
  <si>
    <t>Assemble Injectors seal O Ring</t>
  </si>
  <si>
    <t>Assemble Injectors on Fuel rail</t>
  </si>
  <si>
    <t>Assemble Rail on Admission pipe</t>
  </si>
  <si>
    <t>Safety Wire, Install</t>
  </si>
  <si>
    <t>Safety wire installation between fuel rail and intake pipe</t>
  </si>
  <si>
    <t>Assemble banjo on fuel rail</t>
  </si>
  <si>
    <t>Ratchet &lt;= 25.4 mm</t>
  </si>
  <si>
    <t>Tighten Tube nut</t>
  </si>
  <si>
    <t>Wrench &lt;= 25.4 mm</t>
  </si>
  <si>
    <t>Tighten fittings + adapters</t>
  </si>
  <si>
    <t>Fastener</t>
  </si>
  <si>
    <t>Bolt, Grade 8.8 (SAE 5)</t>
  </si>
  <si>
    <t>M6 bolt for Pump collar on Tab</t>
  </si>
  <si>
    <t>Nut, Grade 8.8 (SAE 5)</t>
  </si>
  <si>
    <t>M6 nut for collar on collar mount</t>
  </si>
  <si>
    <t>Washer, Grade 8.8 (SAE 5)</t>
  </si>
  <si>
    <t>M6 washer for collar on collar mount</t>
  </si>
  <si>
    <t>Tooling</t>
  </si>
  <si>
    <t>PVF</t>
  </si>
  <si>
    <t>FractionIncluded</t>
  </si>
  <si>
    <t>Welds - Welding Fixture</t>
  </si>
  <si>
    <t>Welding fixture from tabs (Fuel pump + Pressure regulator) on frame</t>
  </si>
  <si>
    <t>point</t>
  </si>
  <si>
    <t>EN 04001</t>
  </si>
  <si>
    <t>Steel, Mild</t>
  </si>
  <si>
    <t>Main + injectors tube material</t>
  </si>
  <si>
    <t>kg</t>
  </si>
  <si>
    <t>Round tube 16mm x 3mm</t>
  </si>
  <si>
    <t>Fitting tabs material</t>
  </si>
  <si>
    <t>Rectangular area 100mm x 30mm</t>
  </si>
  <si>
    <t>Tube cut</t>
  </si>
  <si>
    <t>Main + injectors  tube cut</t>
  </si>
  <si>
    <t>Machining Setup, Install and Remove</t>
  </si>
  <si>
    <t>Setup and remove for tube machining</t>
  </si>
  <si>
    <t>Threading, External (machining)</t>
  </si>
  <si>
    <t>Tube end threading for Banjo nut</t>
  </si>
  <si>
    <t>Material- Steel</t>
  </si>
  <si>
    <t>Laser cut</t>
  </si>
  <si>
    <t>Weld main tube + tabs</t>
  </si>
  <si>
    <t>FracIncld</t>
  </si>
  <si>
    <t>EN 04002</t>
  </si>
  <si>
    <t>Aluminum - Normal</t>
  </si>
  <si>
    <t>Collar material</t>
  </si>
  <si>
    <t>Rectangular area 230x20 mm</t>
  </si>
  <si>
    <t>Machining Setup, Install and remove</t>
  </si>
  <si>
    <t>Setup for laser cut</t>
  </si>
  <si>
    <t>Material - Aluminum</t>
  </si>
  <si>
    <t>Sheet metal bends</t>
  </si>
  <si>
    <t xml:space="preserve">Rolling at 90° </t>
  </si>
  <si>
    <t>bend</t>
  </si>
  <si>
    <t xml:space="preserve">Drawing : </t>
  </si>
  <si>
    <t>EN 04003</t>
  </si>
  <si>
    <t>Steel - Mild</t>
  </si>
  <si>
    <t>Tab material</t>
  </si>
  <si>
    <t>Setup for machining</t>
  </si>
  <si>
    <t>Tab cut</t>
  </si>
  <si>
    <t>Material, Steel</t>
  </si>
  <si>
    <t>EN 04004</t>
  </si>
  <si>
    <t>Rectangular area 20x42 mm</t>
  </si>
  <si>
    <t>Rectangular area 13x20 mm</t>
  </si>
  <si>
    <t>Fitting, Fuel Pressure Gauge</t>
  </si>
  <si>
    <t>On the Fuel pressure regulator</t>
  </si>
  <si>
    <t>Return fuel tank, inlet pump, outlet pump, outlet tee</t>
  </si>
  <si>
    <t>Outlet fuel tank</t>
  </si>
  <si>
    <t>Fitting/L.P./Elbow/45 deg./Aluminum/Anodized</t>
  </si>
  <si>
    <t>Tee inlet, return fuel pressure regulator</t>
  </si>
  <si>
    <t>Adaptater for Pump inlet/outlet and regulator conical threading</t>
  </si>
  <si>
    <t>Tee out, pump inlet</t>
  </si>
  <si>
    <t>Adapter/L.P./Union Tee//Aluminum/Anodized</t>
  </si>
  <si>
    <t>Regulator in</t>
  </si>
  <si>
    <t>M6 nut for regulator on tab</t>
  </si>
  <si>
    <t>M6 bolt for regulator on tab</t>
  </si>
  <si>
    <t>M6 washer for regulator on tab</t>
  </si>
  <si>
    <t>Crush Washer</t>
  </si>
  <si>
    <t>Copper, to ensure the sealing between ramp and banjo</t>
  </si>
  <si>
    <t>Tighten fittings male part on female part</t>
  </si>
  <si>
    <t>Reaction Tool &lt;= 25.4 mm</t>
  </si>
  <si>
    <t>Tighten M6 bolts between Rail and admission pipe</t>
  </si>
  <si>
    <t>Reaction tool for M6 nut between Rail and adm. pipe</t>
  </si>
  <si>
    <t>M6 washer for rail on admission pipe</t>
  </si>
  <si>
    <t>M6 nut for rail on admission pipe</t>
  </si>
  <si>
    <t>M6 bolt for rail on admission pipe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</si>
</sst>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\ _€_-;\-* #,##0.00\ _€_-;_-* &quot;-&quot;??\ _€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\$#,##0.00_);&quot;($&quot;#,##0.00\)"/>
    <numFmt numFmtId="168" formatCode="_(\$* #,##0.00_);_(\$* \(#,##0.00\);_(\$* \-??_);_(@_)"/>
    <numFmt numFmtId="169" formatCode="_-[$$-409]* #,##0.00_ ;_-[$$-409]* \-#,##0.00\ ;_-[$$-409]* &quot;-&quot;??_ ;_-@_ "/>
    <numFmt numFmtId="170" formatCode="0.000"/>
    <numFmt numFmtId="171" formatCode="_(* #,##0.000_);_(* \(#,##0.00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  <charset val="1"/>
    </font>
    <font>
      <sz val="10"/>
      <color indexed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4D79B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">
    <xf numFmtId="0" fontId="0" fillId="0" borderId="0"/>
    <xf numFmtId="164" fontId="4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0" fontId="6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7" fontId="6" fillId="0" borderId="4">
      <alignment vertical="center" wrapText="1"/>
    </xf>
    <xf numFmtId="0" fontId="7" fillId="0" borderId="0"/>
    <xf numFmtId="43" fontId="6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 applyFill="1" applyBorder="1"/>
    <xf numFmtId="0" fontId="3" fillId="0" borderId="0" xfId="2" applyFill="1" applyBorder="1"/>
    <xf numFmtId="0" fontId="2" fillId="0" borderId="0" xfId="0" quotePrefix="1" applyFont="1" applyFill="1" applyBorder="1" applyAlignment="1">
      <alignment horizontal="right"/>
    </xf>
    <xf numFmtId="164" fontId="2" fillId="0" borderId="0" xfId="1" applyNumberFormat="1" applyFont="1" applyFill="1" applyBorder="1"/>
    <xf numFmtId="37" fontId="2" fillId="0" borderId="0" xfId="3" applyNumberFormat="1" applyFont="1" applyFill="1" applyBorder="1"/>
    <xf numFmtId="0" fontId="2" fillId="0" borderId="0" xfId="0" applyFont="1" applyFill="1" applyBorder="1" applyAlignment="1">
      <alignment horizontal="left"/>
    </xf>
    <xf numFmtId="0" fontId="2" fillId="0" borderId="2" xfId="0" applyFont="1" applyFill="1" applyBorder="1"/>
    <xf numFmtId="0" fontId="3" fillId="0" borderId="2" xfId="2" applyFill="1" applyBorder="1"/>
    <xf numFmtId="164" fontId="2" fillId="0" borderId="2" xfId="1" applyFont="1" applyFill="1" applyBorder="1"/>
    <xf numFmtId="0" fontId="2" fillId="0" borderId="2" xfId="0" applyNumberFormat="1" applyFont="1" applyFill="1" applyBorder="1"/>
    <xf numFmtId="164" fontId="2" fillId="0" borderId="2" xfId="1" applyNumberFormat="1" applyFont="1" applyFill="1" applyBorder="1"/>
    <xf numFmtId="0" fontId="3" fillId="0" borderId="3" xfId="2" applyFill="1" applyBorder="1"/>
    <xf numFmtId="0" fontId="3" fillId="0" borderId="2" xfId="2" applyBorder="1" applyAlignment="1">
      <alignment horizontal="left"/>
    </xf>
    <xf numFmtId="0" fontId="5" fillId="0" borderId="0" xfId="0" applyFont="1" applyFill="1" applyBorder="1"/>
    <xf numFmtId="0" fontId="2" fillId="0" borderId="2" xfId="4" applyFont="1" applyFill="1" applyBorder="1"/>
    <xf numFmtId="164" fontId="2" fillId="0" borderId="2" xfId="5" applyFont="1" applyFill="1" applyBorder="1"/>
    <xf numFmtId="165" fontId="2" fillId="0" borderId="2" xfId="3" applyFont="1" applyFill="1" applyBorder="1"/>
    <xf numFmtId="11" fontId="2" fillId="0" borderId="2" xfId="0" applyNumberFormat="1" applyFont="1" applyFill="1" applyBorder="1"/>
    <xf numFmtId="166" fontId="2" fillId="0" borderId="2" xfId="3" applyNumberFormat="1" applyFont="1" applyFill="1" applyBorder="1"/>
    <xf numFmtId="0" fontId="2" fillId="0" borderId="2" xfId="3" applyNumberFormat="1" applyFont="1" applyFill="1" applyBorder="1"/>
    <xf numFmtId="0" fontId="2" fillId="0" borderId="2" xfId="4" applyFont="1" applyFill="1" applyBorder="1" applyAlignment="1">
      <alignment wrapText="1"/>
    </xf>
    <xf numFmtId="164" fontId="2" fillId="0" borderId="2" xfId="6" applyFont="1" applyFill="1" applyBorder="1" applyAlignment="1"/>
    <xf numFmtId="0" fontId="2" fillId="0" borderId="2" xfId="4" applyFont="1" applyFill="1" applyBorder="1" applyAlignment="1"/>
    <xf numFmtId="165" fontId="2" fillId="0" borderId="2" xfId="3" applyFont="1" applyFill="1" applyBorder="1" applyAlignment="1"/>
    <xf numFmtId="2" fontId="2" fillId="0" borderId="2" xfId="1" applyNumberFormat="1" applyFont="1" applyFill="1" applyBorder="1"/>
    <xf numFmtId="11" fontId="2" fillId="0" borderId="2" xfId="3" applyNumberFormat="1" applyFont="1" applyFill="1" applyBorder="1"/>
    <xf numFmtId="0" fontId="1" fillId="0" borderId="0" xfId="0" applyFont="1" applyFill="1" applyBorder="1"/>
    <xf numFmtId="164" fontId="2" fillId="0" borderId="2" xfId="6" applyFont="1" applyFill="1" applyBorder="1"/>
    <xf numFmtId="0" fontId="2" fillId="0" borderId="2" xfId="4" applyFont="1" applyBorder="1"/>
    <xf numFmtId="168" fontId="2" fillId="0" borderId="5" xfId="7" applyNumberFormat="1" applyFont="1" applyBorder="1" applyAlignment="1" applyProtection="1"/>
    <xf numFmtId="0" fontId="2" fillId="0" borderId="2" xfId="8" applyFont="1" applyFill="1" applyBorder="1" applyAlignment="1">
      <alignment wrapText="1"/>
    </xf>
    <xf numFmtId="0" fontId="2" fillId="0" borderId="2" xfId="4" applyNumberFormat="1" applyFont="1" applyFill="1" applyBorder="1"/>
    <xf numFmtId="0" fontId="2" fillId="0" borderId="2" xfId="4" applyNumberFormat="1" applyFont="1" applyFill="1" applyBorder="1" applyAlignment="1">
      <alignment wrapText="1"/>
    </xf>
    <xf numFmtId="39" fontId="2" fillId="0" borderId="2" xfId="5" applyNumberFormat="1" applyFont="1" applyFill="1" applyBorder="1"/>
    <xf numFmtId="37" fontId="2" fillId="0" borderId="2" xfId="6" applyNumberFormat="1" applyFont="1" applyFill="1" applyBorder="1"/>
    <xf numFmtId="39" fontId="2" fillId="0" borderId="2" xfId="6" applyNumberFormat="1" applyFont="1" applyFill="1" applyBorder="1" applyAlignment="1">
      <alignment wrapText="1"/>
    </xf>
    <xf numFmtId="37" fontId="2" fillId="0" borderId="2" xfId="6" applyNumberFormat="1" applyFont="1" applyFill="1" applyBorder="1" applyAlignment="1"/>
    <xf numFmtId="0" fontId="2" fillId="0" borderId="0" xfId="0" applyFont="1" applyFill="1" applyBorder="1" applyAlignment="1">
      <alignment horizontal="right"/>
    </xf>
    <xf numFmtId="164" fontId="2" fillId="0" borderId="0" xfId="0" applyNumberFormat="1" applyFont="1" applyFill="1" applyBorder="1"/>
    <xf numFmtId="0" fontId="9" fillId="0" borderId="0" xfId="0" applyFont="1"/>
    <xf numFmtId="0" fontId="9" fillId="0" borderId="0" xfId="0" applyFont="1" applyAlignment="1">
      <alignment horizontal="right"/>
    </xf>
    <xf numFmtId="164" fontId="9" fillId="0" borderId="0" xfId="0" applyNumberFormat="1" applyFont="1"/>
    <xf numFmtId="37" fontId="9" fillId="0" borderId="0" xfId="0" applyNumberFormat="1" applyFont="1"/>
    <xf numFmtId="0" fontId="3" fillId="0" borderId="0" xfId="2"/>
    <xf numFmtId="0" fontId="9" fillId="0" borderId="0" xfId="0" applyFont="1" applyAlignment="1">
      <alignment horizontal="left"/>
    </xf>
    <xf numFmtId="0" fontId="2" fillId="0" borderId="9" xfId="4" applyFont="1" applyFill="1" applyBorder="1"/>
    <xf numFmtId="0" fontId="2" fillId="0" borderId="9" xfId="4" applyFont="1" applyFill="1" applyBorder="1" applyAlignment="1">
      <alignment wrapText="1"/>
    </xf>
    <xf numFmtId="170" fontId="2" fillId="0" borderId="9" xfId="4" applyNumberFormat="1" applyFont="1" applyFill="1" applyBorder="1"/>
    <xf numFmtId="11" fontId="2" fillId="0" borderId="2" xfId="4" applyNumberFormat="1" applyFont="1" applyFill="1" applyBorder="1"/>
    <xf numFmtId="170" fontId="2" fillId="0" borderId="2" xfId="4" applyNumberFormat="1" applyFont="1" applyFill="1" applyBorder="1"/>
    <xf numFmtId="0" fontId="2" fillId="0" borderId="2" xfId="9" applyNumberFormat="1" applyFont="1" applyFill="1" applyBorder="1"/>
    <xf numFmtId="168" fontId="2" fillId="0" borderId="2" xfId="7" applyNumberFormat="1" applyFont="1" applyBorder="1" applyAlignment="1" applyProtection="1"/>
    <xf numFmtId="11" fontId="2" fillId="0" borderId="2" xfId="4" applyNumberFormat="1" applyFont="1" applyFill="1" applyBorder="1" applyAlignment="1">
      <alignment wrapText="1"/>
    </xf>
    <xf numFmtId="11" fontId="2" fillId="0" borderId="2" xfId="9" applyNumberFormat="1" applyFont="1" applyFill="1" applyBorder="1" applyAlignment="1"/>
    <xf numFmtId="0" fontId="2" fillId="0" borderId="2" xfId="3" applyNumberFormat="1" applyFont="1" applyFill="1" applyBorder="1" applyAlignment="1"/>
    <xf numFmtId="0" fontId="6" fillId="0" borderId="2" xfId="4" applyNumberFormat="1" applyBorder="1" applyAlignment="1"/>
    <xf numFmtId="0" fontId="2" fillId="0" borderId="2" xfId="9" applyNumberFormat="1" applyFont="1" applyFill="1" applyBorder="1" applyAlignment="1"/>
    <xf numFmtId="0" fontId="8" fillId="0" borderId="0" xfId="0" applyFont="1"/>
    <xf numFmtId="0" fontId="2" fillId="0" borderId="2" xfId="4" applyFont="1" applyBorder="1" applyAlignment="1">
      <alignment wrapText="1"/>
    </xf>
    <xf numFmtId="1" fontId="2" fillId="0" borderId="2" xfId="4" applyNumberFormat="1" applyFont="1" applyFill="1" applyBorder="1"/>
    <xf numFmtId="0" fontId="2" fillId="0" borderId="2" xfId="4" applyFont="1" applyBorder="1" applyAlignment="1"/>
    <xf numFmtId="169" fontId="9" fillId="0" borderId="0" xfId="0" applyNumberFormat="1" applyFont="1"/>
    <xf numFmtId="171" fontId="2" fillId="0" borderId="2" xfId="3" applyNumberFormat="1" applyFont="1" applyFill="1" applyBorder="1"/>
    <xf numFmtId="0" fontId="2" fillId="0" borderId="11" xfId="8" applyFont="1" applyFill="1" applyBorder="1" applyAlignment="1">
      <alignment wrapText="1"/>
    </xf>
    <xf numFmtId="0" fontId="0" fillId="0" borderId="2" xfId="0" applyBorder="1"/>
    <xf numFmtId="0" fontId="2" fillId="0" borderId="0" xfId="4" applyFont="1" applyBorder="1" applyAlignment="1">
      <alignment horizontal="left"/>
    </xf>
    <xf numFmtId="0" fontId="2" fillId="0" borderId="2" xfId="4" applyFont="1" applyFill="1" applyBorder="1" applyAlignment="1" applyProtection="1">
      <alignment wrapText="1"/>
    </xf>
    <xf numFmtId="0" fontId="2" fillId="0" borderId="2" xfId="4" applyFont="1" applyFill="1" applyBorder="1" applyAlignment="1">
      <alignment horizontal="left"/>
    </xf>
    <xf numFmtId="0" fontId="8" fillId="0" borderId="0" xfId="0" applyFont="1" applyAlignment="1"/>
    <xf numFmtId="0" fontId="9" fillId="0" borderId="9" xfId="0" applyFont="1" applyBorder="1"/>
    <xf numFmtId="169" fontId="2" fillId="0" borderId="9" xfId="4" applyNumberFormat="1" applyFont="1" applyFill="1" applyBorder="1"/>
    <xf numFmtId="1" fontId="2" fillId="0" borderId="2" xfId="3" applyNumberFormat="1" applyFont="1" applyFill="1" applyBorder="1"/>
    <xf numFmtId="0" fontId="2" fillId="0" borderId="0" xfId="0" applyFont="1" applyFill="1" applyBorder="1" applyAlignment="1" applyProtection="1">
      <alignment vertical="center" wrapText="1"/>
    </xf>
    <xf numFmtId="0" fontId="1" fillId="2" borderId="1" xfId="0" applyFont="1" applyFill="1" applyBorder="1"/>
    <xf numFmtId="0" fontId="1" fillId="2" borderId="2" xfId="0" applyFont="1" applyFill="1" applyBorder="1"/>
    <xf numFmtId="164" fontId="1" fillId="2" borderId="2" xfId="0" applyNumberFormat="1" applyFont="1" applyFill="1" applyBorder="1"/>
    <xf numFmtId="0" fontId="1" fillId="2" borderId="2" xfId="0" applyFont="1" applyFill="1" applyBorder="1" applyAlignment="1">
      <alignment horizontal="right"/>
    </xf>
    <xf numFmtId="169" fontId="1" fillId="2" borderId="2" xfId="0" applyNumberFormat="1" applyFont="1" applyFill="1" applyBorder="1"/>
    <xf numFmtId="0" fontId="8" fillId="3" borderId="6" xfId="0" applyFont="1" applyFill="1" applyBorder="1"/>
    <xf numFmtId="0" fontId="8" fillId="3" borderId="7" xfId="0" applyFont="1" applyFill="1" applyBorder="1"/>
    <xf numFmtId="0" fontId="8" fillId="3" borderId="6" xfId="0" applyFont="1" applyFill="1" applyBorder="1" applyAlignment="1">
      <alignment horizontal="left"/>
    </xf>
    <xf numFmtId="0" fontId="8" fillId="3" borderId="2" xfId="0" applyFont="1" applyFill="1" applyBorder="1"/>
    <xf numFmtId="0" fontId="8" fillId="3" borderId="8" xfId="0" applyFont="1" applyFill="1" applyBorder="1"/>
    <xf numFmtId="164" fontId="8" fillId="3" borderId="10" xfId="0" applyNumberFormat="1" applyFont="1" applyFill="1" applyBorder="1"/>
    <xf numFmtId="0" fontId="8" fillId="3" borderId="9" xfId="0" applyFont="1" applyFill="1" applyBorder="1" applyAlignment="1">
      <alignment horizontal="right"/>
    </xf>
    <xf numFmtId="168" fontId="8" fillId="3" borderId="10" xfId="0" applyNumberFormat="1" applyFont="1" applyFill="1" applyBorder="1"/>
    <xf numFmtId="0" fontId="2" fillId="4" borderId="2" xfId="4" applyFont="1" applyFill="1" applyBorder="1" applyAlignment="1">
      <alignment wrapText="1"/>
    </xf>
    <xf numFmtId="0" fontId="2" fillId="4" borderId="2" xfId="8" applyFont="1" applyFill="1" applyBorder="1" applyAlignment="1">
      <alignment wrapText="1"/>
    </xf>
    <xf numFmtId="164" fontId="2" fillId="4" borderId="2" xfId="6" applyFont="1" applyFill="1" applyBorder="1" applyAlignment="1">
      <alignment wrapText="1"/>
    </xf>
    <xf numFmtId="168" fontId="2" fillId="4" borderId="2" xfId="7" applyNumberFormat="1" applyFont="1" applyFill="1" applyBorder="1" applyAlignment="1" applyProtection="1"/>
    <xf numFmtId="0" fontId="3" fillId="3" borderId="6" xfId="2" applyFill="1" applyBorder="1"/>
  </cellXfs>
  <cellStyles count="10">
    <cellStyle name="Lien hypertexte" xfId="2" builtinId="8"/>
    <cellStyle name="Milliers 2" xfId="3"/>
    <cellStyle name="Milliers 3" xfId="9"/>
    <cellStyle name="Monétaire" xfId="1" builtinId="4"/>
    <cellStyle name="Monétaire 10" xfId="5"/>
    <cellStyle name="Monétaire 2" xfId="6"/>
    <cellStyle name="Normal" xfId="0" builtinId="0"/>
    <cellStyle name="Normal 4" xfId="4"/>
    <cellStyle name="Normal_Sheet1" xfId="8"/>
    <cellStyle name="TableStyleLight1" xfId="7"/>
  </cellStyles>
  <dxfs count="0"/>
  <tableStyles count="0" defaultTableStyle="TableStyleMedium2" defaultPivotStyle="PivotStyleLight16"/>
  <colors>
    <mruColors>
      <color rgb="FFD8E4BC"/>
      <color rgb="FFC4D79B"/>
      <color rgb="FFC4D73C"/>
      <color rgb="FF76933C"/>
      <color rgb="FF7693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251460</xdr:colOff>
      <xdr:row>12</xdr:row>
      <xdr:rowOff>114300</xdr:rowOff>
    </xdr:from>
    <xdr:to>
      <xdr:col>13</xdr:col>
      <xdr:colOff>689930</xdr:colOff>
      <xdr:row>25</xdr:row>
      <xdr:rowOff>83820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7960" y="2400300"/>
          <a:ext cx="3501710" cy="26212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489231</xdr:colOff>
      <xdr:row>23</xdr:row>
      <xdr:rowOff>143934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6267"/>
          <a:ext cx="6060298" cy="4241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8</xdr:col>
      <xdr:colOff>619976</xdr:colOff>
      <xdr:row>28</xdr:row>
      <xdr:rowOff>46653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3224"/>
          <a:ext cx="6964792" cy="48985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&#239;c\Dropbox\EPSA\Cost\Cost_annees_precedentes\Cost-Atomix-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urelien/Centrale/Epsa/Exemples%20livrables%20FS%20+%20template/Cost/Cost_Olympix_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 Par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able of Contents"/>
      <sheetName val="Cost Summary"/>
      <sheetName val="BOM"/>
      <sheetName val="BR"/>
      <sheetName val="BR A0001"/>
      <sheetName val="BR 01001"/>
      <sheetName val="BR 01002"/>
      <sheetName val="BR 01002 Drawing"/>
      <sheetName val="BR 01003"/>
      <sheetName val="BR 01004"/>
      <sheetName val="BR 01004 Drawing"/>
      <sheetName val="BR A0002"/>
      <sheetName val="BR 02001"/>
      <sheetName val="BR 02002"/>
      <sheetName val="BR 02002 Drawing"/>
      <sheetName val="BR 02003"/>
      <sheetName val="BR A0003"/>
      <sheetName val="BR 03001"/>
      <sheetName val="BR 03001 Drawing"/>
      <sheetName val="BR 03002"/>
      <sheetName val="BR 03002 Drawing"/>
      <sheetName val="EN"/>
      <sheetName val="EN A0001"/>
      <sheetName val="EN 01001"/>
      <sheetName val="EN 01002"/>
      <sheetName val="EN 01002 Drawing"/>
      <sheetName val="EN 01003"/>
      <sheetName val="EN 01003 Drawing"/>
      <sheetName val="EN A0002"/>
      <sheetName val="EN 02001"/>
      <sheetName val="EN 02001 Drawing"/>
      <sheetName val="EN 02002"/>
      <sheetName val="EN 02002 Drawing"/>
      <sheetName val="EN 02003"/>
      <sheetName val="EN 02004"/>
      <sheetName val="EN 02005"/>
      <sheetName val="EN 02006"/>
      <sheetName val="EN 02007"/>
      <sheetName val="EN 02008"/>
      <sheetName val="EN A0003"/>
      <sheetName val="EN 03001"/>
      <sheetName val="EN 03001 Drawing"/>
      <sheetName val="EN 03001 Drawing 2"/>
      <sheetName val="EN 03002"/>
      <sheetName val="EN 03003"/>
      <sheetName val="EN 03004"/>
      <sheetName val="EN 03005"/>
      <sheetName val="EN 03005 Drawing"/>
      <sheetName val="EN 03006"/>
      <sheetName val="EN 03006 Drawing"/>
      <sheetName val="EN 03007"/>
      <sheetName val="EN 03007 Drawing"/>
      <sheetName val="EN 03008"/>
      <sheetName val="EN 03008 Drawing"/>
      <sheetName val="EN A0004"/>
      <sheetName val="EN 04001"/>
      <sheetName val="EN 04002"/>
      <sheetName val="EN 04003"/>
      <sheetName val="EN 04003 Drawing"/>
      <sheetName val="EN 04004"/>
      <sheetName val="EN 04004 Drawing"/>
      <sheetName val="EN A0005"/>
      <sheetName val="EN 05001"/>
      <sheetName val="EN 05002"/>
      <sheetName val="EN 05003"/>
      <sheetName val="EN 05003 Drawing"/>
      <sheetName val="EN 05004"/>
      <sheetName val="EN 05004 Drawing"/>
      <sheetName val="EN 05005"/>
      <sheetName val="EN 05005 Drawing"/>
      <sheetName val="EN 05006"/>
      <sheetName val="EN A0006"/>
      <sheetName val="EN 06001"/>
      <sheetName val="EN 06002"/>
      <sheetName val="EN 06003"/>
      <sheetName val="EN 06004"/>
      <sheetName val="EN 06005"/>
      <sheetName val="EN 06006"/>
      <sheetName val="EN 06007"/>
      <sheetName val="EN 06008"/>
      <sheetName val="EN 06009"/>
      <sheetName val="EN 06010"/>
      <sheetName val="EN 06010 Drawing"/>
      <sheetName val="EN 06011"/>
      <sheetName val="EN 06011 Drawing"/>
      <sheetName val="EN 06012"/>
      <sheetName val="EN 06012 Drawing"/>
      <sheetName val="EN 06013"/>
      <sheetName val="EN 06013 Drawing"/>
      <sheetName val="EN A0007"/>
      <sheetName val="EN A0008"/>
      <sheetName val="EN 08001"/>
      <sheetName val="EN 08002"/>
      <sheetName val="EN 08002 Drawing"/>
      <sheetName val="EN 08003"/>
      <sheetName val="EN 08003 Drawing"/>
      <sheetName val="EN 08004"/>
      <sheetName val="EN 08004 Drawing"/>
      <sheetName val="EN 08005"/>
      <sheetName val="EN 08006"/>
      <sheetName val="EN 08007"/>
      <sheetName val="EN 08007 Drawing"/>
      <sheetName val="EN 08008"/>
      <sheetName val="EN 08008 Drawing"/>
      <sheetName val="EN 08009"/>
      <sheetName val="EN 08009 Drawing"/>
      <sheetName val="EN 08010"/>
      <sheetName val="EN 08011"/>
      <sheetName val="EN A0009"/>
      <sheetName val="EN 09001"/>
      <sheetName val="EN 09002"/>
      <sheetName val="EN 09002 Drawing"/>
      <sheetName val="EN 09003"/>
      <sheetName val="EN 09003 Drawing"/>
      <sheetName val="EN 09004"/>
      <sheetName val="EN 09004-5-6-7 Drawing"/>
      <sheetName val="EN 09005"/>
      <sheetName val="EN 09006"/>
      <sheetName val="EN 09007"/>
      <sheetName val="EN 09008"/>
      <sheetName val="EN 09008 Drawing"/>
      <sheetName val="EN 09009"/>
      <sheetName val="EN 09009 Drawing"/>
      <sheetName val="EN A0010"/>
      <sheetName val="EN 10001"/>
      <sheetName val="EN 10002"/>
      <sheetName val="EN 10003"/>
      <sheetName val="EN 10004"/>
      <sheetName val="EN A0011"/>
      <sheetName val="EN 11001"/>
      <sheetName val="EN 11002"/>
      <sheetName val="EN 11003"/>
      <sheetName val="EN 11003 Drawing"/>
      <sheetName val="EN 11004"/>
      <sheetName val="EN 11004 Drawing"/>
      <sheetName val="EN 11005"/>
      <sheetName val="EN 11005 Drawing"/>
      <sheetName val="FR"/>
      <sheetName val="FR A0001"/>
      <sheetName val="FR 01001"/>
      <sheetName val="FR 01002"/>
      <sheetName val="FR 01003"/>
      <sheetName val="FR A0002"/>
      <sheetName val="FR 02001"/>
      <sheetName val="FR A0003"/>
      <sheetName val="FR 03001"/>
      <sheetName val="FR 03001 Drawing"/>
      <sheetName val="FR 03002"/>
      <sheetName val="FR 03002 Drawing"/>
      <sheetName val="FR 03003"/>
      <sheetName val="FR 03003 Drawing"/>
      <sheetName val="FR 03004"/>
      <sheetName val="FR 03004 Drawing"/>
      <sheetName val="FR 03005"/>
      <sheetName val="FR 03005 Drawing"/>
      <sheetName val="FR 03006"/>
      <sheetName val="FR 03006 Drawing"/>
      <sheetName val="FR 03007"/>
      <sheetName val="FR 03007 Drawing"/>
      <sheetName val="FR 03008"/>
      <sheetName val="FR 03008 Drawing"/>
      <sheetName val="FR 03009"/>
      <sheetName val="FR 03009 Drawing"/>
      <sheetName val="FR 03010"/>
      <sheetName val="FR 03010 Drawing"/>
      <sheetName val="FR 03011"/>
      <sheetName val="FR 03011 Drawing"/>
      <sheetName val="FR 03012"/>
      <sheetName val="FR 03012 Drawing"/>
      <sheetName val="FR 03013"/>
      <sheetName val="FR 03013 Drawing"/>
      <sheetName val="FR 03014"/>
      <sheetName val="FR 03014 Drawing"/>
      <sheetName val="FR 03015"/>
      <sheetName val="FR 03015 Drawing"/>
      <sheetName val="FR 03016"/>
      <sheetName val="FR 03016 Drawing"/>
      <sheetName val="FR 03017"/>
      <sheetName val="FR 03017 Drawing"/>
      <sheetName val="FR A0004"/>
      <sheetName val="FR 04001"/>
      <sheetName val="FR 04002"/>
      <sheetName val="FR 04003"/>
      <sheetName val="FR 04003 Drawing"/>
      <sheetName val="FR 04004"/>
      <sheetName val="FR 04004 Drawing"/>
      <sheetName val="FR 04005"/>
      <sheetName val="FR 04005 Drawing"/>
      <sheetName val="FR A0005"/>
      <sheetName val="FR 05001"/>
      <sheetName val="FR 05001 Drawing"/>
      <sheetName val="FR 05002"/>
      <sheetName val="FR 05003"/>
      <sheetName val="FR 05003 Drawing"/>
      <sheetName val="FR 05004"/>
      <sheetName val="FR 05005"/>
      <sheetName val="FR A0006"/>
      <sheetName val="FR 06001"/>
      <sheetName val="FR 06002"/>
      <sheetName val="FR 06003"/>
      <sheetName val="FR 06003 Drawing"/>
      <sheetName val="FR 06004"/>
      <sheetName val="FR 06004 Drawing"/>
      <sheetName val="FR 06005"/>
      <sheetName val="FR 06005 Drawing"/>
      <sheetName val="FR 06006"/>
      <sheetName val="FR A0007"/>
      <sheetName val="FR 07001"/>
      <sheetName val="FR 07002"/>
      <sheetName val="FR 07003"/>
      <sheetName val="FR 07004"/>
      <sheetName val="FR 07005"/>
      <sheetName val="FR 07005 Drawing"/>
      <sheetName val="FR 07006"/>
      <sheetName val="EL"/>
      <sheetName val="EL A0001"/>
      <sheetName val="EL 01001"/>
      <sheetName val="EL 01002"/>
      <sheetName val="EL 01002 Drawing"/>
      <sheetName val="EL A0002"/>
      <sheetName val="EL 02001"/>
      <sheetName val="EL 02001 Drawing"/>
      <sheetName val="EL 02002"/>
      <sheetName val="EL 02002 Drawing"/>
      <sheetName val="EL 02003"/>
      <sheetName val="EL 02003 Drawing"/>
      <sheetName val="EL 02004"/>
      <sheetName val="EL 02004 Drawing"/>
      <sheetName val="EL A0003"/>
      <sheetName val="EL 03001"/>
      <sheetName val="EL A0004"/>
      <sheetName val="EL 04001"/>
      <sheetName val="EL 04001 Drawing"/>
      <sheetName val="EL 04002"/>
      <sheetName val="EL 04002 Drawing"/>
      <sheetName val="EL 04003"/>
      <sheetName val="EL 04003 Drawing"/>
      <sheetName val="EL 04004"/>
      <sheetName val="EL 04004 Drawing"/>
      <sheetName val="EL A0005"/>
      <sheetName val="EL 05001"/>
      <sheetName val="MS"/>
      <sheetName val="MS A0001"/>
      <sheetName val="MS 01001"/>
      <sheetName val="MS 01001 Drawing"/>
      <sheetName val="MS 01002"/>
      <sheetName val="MS 01002 Drawing"/>
      <sheetName val="MS 01003"/>
      <sheetName val="MS 01003 Drawing"/>
      <sheetName val="MS 01004"/>
      <sheetName val="MS 01004-5 Drawing"/>
      <sheetName val="MS 01005"/>
      <sheetName val="MS 01006"/>
      <sheetName val="MS 01006 Drawing"/>
      <sheetName val="MS 01007"/>
      <sheetName val="MS 01007 Drawing"/>
      <sheetName val="MS 01008"/>
      <sheetName val="MS 01008-9 Drawing"/>
      <sheetName val="MS 01009"/>
      <sheetName val="MS 01010"/>
      <sheetName val="MS 01010-11 Drawing"/>
      <sheetName val="MS 01011"/>
      <sheetName val="MS 01012"/>
      <sheetName val="MS01012 Drawing"/>
      <sheetName val="MS 01013"/>
      <sheetName val="MS 01013 Drawing"/>
      <sheetName val="MS 01014"/>
      <sheetName val="MS 01014 Drawing"/>
      <sheetName val="MS A0002"/>
      <sheetName val="MS 02001"/>
      <sheetName val="MS A0003"/>
      <sheetName val="MS 03001"/>
      <sheetName val="MS 03001 Drawing"/>
      <sheetName val="MS 03002"/>
      <sheetName val="MS 03002 Drawing"/>
      <sheetName val="MS 03003"/>
      <sheetName val="MS 03003 Drawing"/>
      <sheetName val="MS A0004"/>
      <sheetName val="MS 04001"/>
      <sheetName val="MS 04002"/>
      <sheetName val="MS 04002 Drawing"/>
      <sheetName val="MS 04003"/>
      <sheetName val="MS A0005"/>
      <sheetName val="MS 05001"/>
      <sheetName val="MS 05001 Drawing"/>
      <sheetName val="ST"/>
      <sheetName val="ST A0001"/>
      <sheetName val="ST 01001"/>
      <sheetName val="ST 01001 Drawing"/>
      <sheetName val="ST 01002"/>
      <sheetName val="ST 01003"/>
      <sheetName val="ST 01003 Drawing"/>
      <sheetName val="ST 01004"/>
      <sheetName val="ST 01004 Drawing"/>
      <sheetName val="ST A0002"/>
      <sheetName val="ST 02001"/>
      <sheetName val="ST 02001 Drawing"/>
      <sheetName val="ST 02002"/>
      <sheetName val="ST 02003"/>
      <sheetName val="ST 02004"/>
      <sheetName val="ST 02004 Drawing"/>
      <sheetName val="ST 02005"/>
      <sheetName val="ST 02005 Drawing"/>
      <sheetName val="ST 02006"/>
      <sheetName val="ST 02006 Drawing"/>
      <sheetName val="ST 02007"/>
      <sheetName val="ST 02007 Drawing"/>
      <sheetName val="ST A0003"/>
      <sheetName val="ST 03001"/>
      <sheetName val="ST 03002"/>
      <sheetName val="ST 03003"/>
      <sheetName val="ST A0004"/>
      <sheetName val="ST 04001"/>
      <sheetName val="ST 04002"/>
      <sheetName val="ST 04002 Drawing"/>
      <sheetName val="ST 04003"/>
      <sheetName val="ST 04003 Drawing"/>
      <sheetName val="ST 04004"/>
      <sheetName val="ST 04004 Drawing"/>
      <sheetName val="ST 04005"/>
      <sheetName val="ST 04005 Drawing"/>
      <sheetName val="ST 04006"/>
      <sheetName val="ST 04006 Drawing"/>
      <sheetName val="ST A0005"/>
      <sheetName val="ST 05001"/>
      <sheetName val="ST 05002"/>
      <sheetName val="SU"/>
      <sheetName val="SU A0001"/>
      <sheetName val="SU 01001"/>
      <sheetName val="SU 01-2-3-4001 Drawing"/>
      <sheetName val="SU 01002"/>
      <sheetName val="SU 01002 Drawing"/>
      <sheetName val="SU 01003"/>
      <sheetName val="SU tubes drawings"/>
      <sheetName val="SU 01004"/>
      <sheetName val="SU 01005"/>
      <sheetName val="SU 01005 -026-035-046 Drawing"/>
      <sheetName val="SU 01006"/>
      <sheetName val="SU 01-03006 Drawing"/>
      <sheetName val="SU 01007"/>
      <sheetName val="SU 01008"/>
      <sheetName val="SU 01009"/>
      <sheetName val="SU 01010"/>
      <sheetName val="SU A0002"/>
      <sheetName val="SU 02001"/>
      <sheetName val="SU 02002"/>
      <sheetName val="SU 02002 Drawing"/>
      <sheetName val="SU 02003"/>
      <sheetName val="SU 02004"/>
      <sheetName val="SU 02005"/>
      <sheetName val="SU 02005 Drawing"/>
      <sheetName val="SU 02006"/>
      <sheetName val="SU 02007"/>
      <sheetName val="SU 02007-04007 Drawing"/>
      <sheetName val="SU 02008"/>
      <sheetName val="SU 02008 Drawing"/>
      <sheetName val="SU 02009"/>
      <sheetName val="SU 02009 Drawing"/>
      <sheetName val="SU 02010"/>
      <sheetName val="SU 02010 Drawing"/>
      <sheetName val="SU 02011"/>
      <sheetName val="SU 02011 Drawing"/>
      <sheetName val="SU A0003"/>
      <sheetName val="SU 03001"/>
      <sheetName val="SU 03002"/>
      <sheetName val="SU 03002 Drawing"/>
      <sheetName val="SU 03003"/>
      <sheetName val="SU 03004"/>
      <sheetName val="SU 03005"/>
      <sheetName val="SU 03006"/>
      <sheetName val="SU 03007"/>
      <sheetName val="SU 03008"/>
      <sheetName val="SU 03009"/>
      <sheetName val="SU 03010"/>
      <sheetName val="SU A0004"/>
      <sheetName val="SU 04001"/>
      <sheetName val="SU 04002"/>
      <sheetName val="SU 04002 Drawing"/>
      <sheetName val="SU 04003"/>
      <sheetName val="SU 04004"/>
      <sheetName val="SU 04005"/>
      <sheetName val="SU 04005 Drawing"/>
      <sheetName val="SU 04006"/>
      <sheetName val="SU 04007"/>
      <sheetName val="SU 04008"/>
      <sheetName val="SU 04008 Drawing"/>
      <sheetName val="SU 04009"/>
      <sheetName val="SU 04009 Drawing"/>
      <sheetName val="SU 04010"/>
      <sheetName val="SU 04010 Drawing"/>
      <sheetName val="SU 04011"/>
      <sheetName val="SU 04011 Drawing"/>
      <sheetName val="SU A0005"/>
      <sheetName val="SU 05001"/>
      <sheetName val="SU 05001 Drawing"/>
      <sheetName val="SU 05002"/>
      <sheetName val="SU 05003"/>
      <sheetName val="SU A0006"/>
      <sheetName val="SU 06001"/>
      <sheetName val="SU 06001 Drawing"/>
      <sheetName val="SU 06002"/>
      <sheetName val="SU 06002 Drawing"/>
      <sheetName val="SU 06003"/>
      <sheetName val="SU 06004"/>
      <sheetName val="SU 06005"/>
      <sheetName val="SU 06006"/>
      <sheetName val="SU 06007"/>
      <sheetName val="SU 06007 - 08007 Drawing"/>
      <sheetName val="SU A0007"/>
      <sheetName val="SU 07001"/>
      <sheetName val="SU 07001 Drawing"/>
      <sheetName val="SU 07002"/>
      <sheetName val="SU 07003"/>
      <sheetName val="SU A0008"/>
      <sheetName val="SU 08001"/>
      <sheetName val="SU 08001 Drawing"/>
      <sheetName val="SU 08002"/>
      <sheetName val="SU 08002 Drawing"/>
      <sheetName val="SU 08003"/>
      <sheetName val="SU 08004"/>
      <sheetName val="SU 08005"/>
      <sheetName val="SU 08006"/>
      <sheetName val="SU 08007"/>
      <sheetName val="SU A0009"/>
      <sheetName val="SU 09001"/>
      <sheetName val="SU 09002"/>
      <sheetName val="SU A0010"/>
      <sheetName val="SU 10001"/>
      <sheetName val="SU 10001 Drawing"/>
      <sheetName val="SU 10002"/>
      <sheetName val="SU 10002 Drawing"/>
      <sheetName val="SU 10003"/>
      <sheetName val="SU 10003 Drawing"/>
      <sheetName val="SU 10004"/>
      <sheetName val="SU 10004 Drawing"/>
      <sheetName val="SU 10005"/>
      <sheetName val="SU 10005 Drawing"/>
      <sheetName val="SU 10006"/>
      <sheetName val="SU 10006 Drawing"/>
      <sheetName val="SU 10007"/>
      <sheetName val="SU 10007 Drawing"/>
      <sheetName val="SU A0011"/>
      <sheetName val="SU 11001"/>
      <sheetName val="SU 11001 Drawing"/>
      <sheetName val="SU 11002"/>
      <sheetName val="SU 11002 Drawing"/>
      <sheetName val="SU 11003"/>
      <sheetName val="SU 11003 Drawing"/>
      <sheetName val="SU 11004"/>
      <sheetName val="SU 11004 Drawing"/>
      <sheetName val="SU 11005"/>
      <sheetName val="SU 11005 Drawing"/>
      <sheetName val="SU 11006"/>
      <sheetName val="WT"/>
      <sheetName val="WT A0001"/>
      <sheetName val="WT A0002"/>
      <sheetName val="WT 02001"/>
      <sheetName val="WT 02001 Drawing"/>
      <sheetName val="WT 02002"/>
      <sheetName val="WT 02002 Drawing"/>
      <sheetName val="WT 02003"/>
      <sheetName val="WT 02003-03003 Drawing"/>
      <sheetName val="WT A0003"/>
      <sheetName val="WT 03001"/>
      <sheetName val="WT 03001 Drawing"/>
      <sheetName val="WT 03002"/>
      <sheetName val="WT 03002 Drawing"/>
      <sheetName val="WT 030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6933C"/>
    <pageSetUpPr fitToPage="1"/>
  </sheetPr>
  <dimension ref="A1:P72"/>
  <sheetViews>
    <sheetView topLeftCell="A10" workbookViewId="0">
      <selection activeCell="C65" sqref="C65"/>
    </sheetView>
  </sheetViews>
  <sheetFormatPr baseColWidth="10" defaultColWidth="10.77734375" defaultRowHeight="14.4" x14ac:dyDescent="0.3"/>
  <cols>
    <col min="1" max="1" width="9" style="1" bestFit="1" customWidth="1"/>
    <col min="2" max="2" width="43.109375" style="1" bestFit="1" customWidth="1"/>
    <col min="3" max="3" width="45.109375" style="1" customWidth="1"/>
    <col min="4" max="4" width="9.33203125" style="1" customWidth="1"/>
    <col min="5" max="5" width="7.6640625" style="1" bestFit="1" customWidth="1"/>
    <col min="6" max="6" width="7.33203125" style="1" bestFit="1" customWidth="1"/>
    <col min="7" max="7" width="8.33203125" style="1" bestFit="1" customWidth="1"/>
    <col min="8" max="8" width="13.109375" style="1" bestFit="1" customWidth="1"/>
    <col min="9" max="9" width="10.77734375" style="1" customWidth="1"/>
    <col min="10" max="10" width="7.6640625" style="1" bestFit="1" customWidth="1"/>
    <col min="11" max="11" width="6" style="1" bestFit="1" customWidth="1"/>
    <col min="12" max="12" width="6.44140625" style="1" bestFit="1" customWidth="1"/>
    <col min="13" max="13" width="11.6640625" style="1" bestFit="1" customWidth="1"/>
    <col min="14" max="14" width="8.6640625" style="1" bestFit="1" customWidth="1"/>
    <col min="15" max="16384" width="10.77734375" style="1"/>
  </cols>
  <sheetData>
    <row r="1" spans="1:14" x14ac:dyDescent="0.3">
      <c r="A1" s="74" t="s">
        <v>0</v>
      </c>
      <c r="B1" s="1" t="s">
        <v>1</v>
      </c>
      <c r="D1" s="2" t="s">
        <v>2</v>
      </c>
      <c r="J1" s="74" t="s">
        <v>3</v>
      </c>
      <c r="K1" s="3">
        <v>81</v>
      </c>
      <c r="M1" s="74" t="s">
        <v>4</v>
      </c>
      <c r="N1" s="4">
        <f>E13+N33+I56+J68+I72</f>
        <v>342.70606852109233</v>
      </c>
    </row>
    <row r="2" spans="1:14" x14ac:dyDescent="0.3">
      <c r="A2" s="74" t="s">
        <v>5</v>
      </c>
      <c r="B2" s="1" t="s">
        <v>6</v>
      </c>
      <c r="M2" s="74" t="s">
        <v>7</v>
      </c>
      <c r="N2" s="5">
        <v>1</v>
      </c>
    </row>
    <row r="3" spans="1:14" x14ac:dyDescent="0.3">
      <c r="A3" s="74" t="s">
        <v>8</v>
      </c>
      <c r="B3" s="1" t="s">
        <v>9</v>
      </c>
      <c r="J3" s="74" t="s">
        <v>10</v>
      </c>
    </row>
    <row r="4" spans="1:14" x14ac:dyDescent="0.3">
      <c r="A4" s="74" t="s">
        <v>11</v>
      </c>
      <c r="B4" s="6" t="s">
        <v>12</v>
      </c>
      <c r="J4" s="74" t="s">
        <v>13</v>
      </c>
      <c r="M4" s="74" t="s">
        <v>14</v>
      </c>
      <c r="N4" s="4">
        <f>N1*N2</f>
        <v>342.70606852109233</v>
      </c>
    </row>
    <row r="5" spans="1:14" x14ac:dyDescent="0.3">
      <c r="A5" s="74" t="s">
        <v>15</v>
      </c>
      <c r="B5" s="1" t="s">
        <v>16</v>
      </c>
      <c r="J5" s="74" t="s">
        <v>17</v>
      </c>
    </row>
    <row r="6" spans="1:14" x14ac:dyDescent="0.3">
      <c r="A6" s="74" t="s">
        <v>18</v>
      </c>
    </row>
    <row r="8" spans="1:14" x14ac:dyDescent="0.3">
      <c r="A8" s="75" t="s">
        <v>19</v>
      </c>
      <c r="B8" s="75" t="s">
        <v>20</v>
      </c>
      <c r="C8" s="75" t="s">
        <v>21</v>
      </c>
      <c r="D8" s="75" t="s">
        <v>22</v>
      </c>
      <c r="E8" s="75" t="s">
        <v>23</v>
      </c>
    </row>
    <row r="9" spans="1:14" x14ac:dyDescent="0.3">
      <c r="A9" s="7">
        <v>10</v>
      </c>
      <c r="B9" s="8" t="s">
        <v>24</v>
      </c>
      <c r="C9" s="9">
        <f>'EN 04001'!N1</f>
        <v>7.6413700144256271</v>
      </c>
      <c r="D9" s="10">
        <v>1</v>
      </c>
      <c r="E9" s="11">
        <f>C9*D9</f>
        <v>7.6413700144256271</v>
      </c>
    </row>
    <row r="10" spans="1:14" x14ac:dyDescent="0.3">
      <c r="A10" s="7">
        <v>20</v>
      </c>
      <c r="B10" s="12" t="s">
        <v>25</v>
      </c>
      <c r="C10" s="9">
        <f>'EN 04002'!N1</f>
        <v>3.3523958399999998</v>
      </c>
      <c r="D10" s="10">
        <v>1</v>
      </c>
      <c r="E10" s="11">
        <f>C10*D10</f>
        <v>3.3523958399999998</v>
      </c>
    </row>
    <row r="11" spans="1:14" x14ac:dyDescent="0.3">
      <c r="A11" s="7">
        <v>30</v>
      </c>
      <c r="B11" s="13" t="s">
        <v>26</v>
      </c>
      <c r="C11" s="9">
        <f>'EN 04003'!N1</f>
        <v>1.8305095</v>
      </c>
      <c r="D11" s="10">
        <v>1</v>
      </c>
      <c r="E11" s="11">
        <f>C11*D11</f>
        <v>1.8305095</v>
      </c>
      <c r="H11" s="14"/>
    </row>
    <row r="12" spans="1:14" x14ac:dyDescent="0.3">
      <c r="A12" s="7">
        <v>40</v>
      </c>
      <c r="B12" s="13" t="s">
        <v>27</v>
      </c>
      <c r="C12" s="9">
        <f>'EN 04004'!N1</f>
        <v>1.5539844999999999</v>
      </c>
      <c r="D12" s="10">
        <v>1</v>
      </c>
      <c r="E12" s="11">
        <f>C12*D12</f>
        <v>1.5539844999999999</v>
      </c>
    </row>
    <row r="13" spans="1:14" x14ac:dyDescent="0.3">
      <c r="D13" s="77" t="s">
        <v>23</v>
      </c>
      <c r="E13" s="76">
        <f>SUM(E9:E12)</f>
        <v>14.378259854425627</v>
      </c>
    </row>
    <row r="15" spans="1:14" x14ac:dyDescent="0.3">
      <c r="A15" s="75" t="s">
        <v>19</v>
      </c>
      <c r="B15" s="75" t="s">
        <v>28</v>
      </c>
      <c r="C15" s="75" t="s">
        <v>29</v>
      </c>
      <c r="D15" s="75" t="s">
        <v>30</v>
      </c>
      <c r="E15" s="75" t="s">
        <v>31</v>
      </c>
      <c r="F15" s="75" t="s">
        <v>32</v>
      </c>
      <c r="G15" s="75" t="s">
        <v>33</v>
      </c>
      <c r="H15" s="75" t="s">
        <v>34</v>
      </c>
      <c r="I15" s="75" t="s">
        <v>35</v>
      </c>
      <c r="J15" s="75" t="s">
        <v>36</v>
      </c>
      <c r="K15" s="75" t="s">
        <v>37</v>
      </c>
      <c r="L15" s="75" t="s">
        <v>38</v>
      </c>
      <c r="M15" s="75" t="s">
        <v>22</v>
      </c>
      <c r="N15" s="75" t="s">
        <v>23</v>
      </c>
    </row>
    <row r="16" spans="1:14" x14ac:dyDescent="0.3">
      <c r="A16" s="15">
        <v>10</v>
      </c>
      <c r="B16" s="15" t="s">
        <v>39</v>
      </c>
      <c r="C16" s="15"/>
      <c r="D16" s="16">
        <v>8</v>
      </c>
      <c r="E16" s="15"/>
      <c r="F16" s="15"/>
      <c r="G16" s="15"/>
      <c r="H16" s="17"/>
      <c r="I16" s="18"/>
      <c r="J16" s="19"/>
      <c r="K16" s="17"/>
      <c r="L16" s="17"/>
      <c r="M16" s="20">
        <v>1</v>
      </c>
      <c r="N16" s="11">
        <f t="shared" ref="N16:N32" si="0">D16*M16</f>
        <v>8</v>
      </c>
    </row>
    <row r="17" spans="1:16" x14ac:dyDescent="0.3">
      <c r="A17" s="15">
        <v>20</v>
      </c>
      <c r="B17" s="21" t="s">
        <v>40</v>
      </c>
      <c r="C17" s="21"/>
      <c r="D17" s="22">
        <v>35</v>
      </c>
      <c r="E17" s="23"/>
      <c r="F17" s="23"/>
      <c r="G17" s="23"/>
      <c r="H17" s="24"/>
      <c r="I17" s="18"/>
      <c r="J17" s="19"/>
      <c r="K17" s="17"/>
      <c r="L17" s="17"/>
      <c r="M17" s="20">
        <v>1</v>
      </c>
      <c r="N17" s="11">
        <f t="shared" si="0"/>
        <v>35</v>
      </c>
    </row>
    <row r="18" spans="1:16" x14ac:dyDescent="0.3">
      <c r="A18" s="15">
        <v>30</v>
      </c>
      <c r="B18" s="21" t="s">
        <v>41</v>
      </c>
      <c r="C18" s="15"/>
      <c r="D18" s="16">
        <v>15</v>
      </c>
      <c r="E18" s="15"/>
      <c r="F18" s="15"/>
      <c r="G18" s="15"/>
      <c r="H18" s="17"/>
      <c r="I18" s="25"/>
      <c r="J18" s="19"/>
      <c r="K18" s="17"/>
      <c r="L18" s="26"/>
      <c r="M18" s="20">
        <v>1</v>
      </c>
      <c r="N18" s="11">
        <f t="shared" si="0"/>
        <v>15</v>
      </c>
      <c r="P18" s="14"/>
    </row>
    <row r="19" spans="1:16" x14ac:dyDescent="0.3">
      <c r="A19" s="15">
        <v>40</v>
      </c>
      <c r="B19" s="15" t="s">
        <v>42</v>
      </c>
      <c r="C19" s="15"/>
      <c r="D19" s="16">
        <v>10</v>
      </c>
      <c r="E19" s="15"/>
      <c r="F19" s="15"/>
      <c r="G19" s="15"/>
      <c r="H19" s="17"/>
      <c r="I19" s="25"/>
      <c r="J19" s="19"/>
      <c r="K19" s="17"/>
      <c r="L19" s="17"/>
      <c r="M19" s="20">
        <v>4</v>
      </c>
      <c r="N19" s="11">
        <f t="shared" si="0"/>
        <v>40</v>
      </c>
    </row>
    <row r="20" spans="1:16" x14ac:dyDescent="0.3">
      <c r="A20" s="15">
        <v>50</v>
      </c>
      <c r="B20" s="15" t="s">
        <v>138</v>
      </c>
      <c r="C20" s="15" t="s">
        <v>139</v>
      </c>
      <c r="D20" s="16">
        <v>3</v>
      </c>
      <c r="E20" s="15"/>
      <c r="F20" s="15"/>
      <c r="G20" s="15"/>
      <c r="H20" s="17"/>
      <c r="I20" s="25"/>
      <c r="J20" s="19"/>
      <c r="K20" s="17"/>
      <c r="L20" s="17"/>
      <c r="M20" s="20">
        <v>1</v>
      </c>
      <c r="N20" s="11">
        <f t="shared" si="0"/>
        <v>3</v>
      </c>
    </row>
    <row r="21" spans="1:16" x14ac:dyDescent="0.3">
      <c r="A21" s="15">
        <v>60</v>
      </c>
      <c r="B21" s="21" t="s">
        <v>43</v>
      </c>
      <c r="C21" s="15"/>
      <c r="D21" s="16">
        <f>2.23*K21+3.52</f>
        <v>5.4824000000000002</v>
      </c>
      <c r="E21" s="15">
        <v>880</v>
      </c>
      <c r="F21" s="15" t="s">
        <v>44</v>
      </c>
      <c r="G21" s="15"/>
      <c r="H21" s="17"/>
      <c r="I21" s="25"/>
      <c r="J21" s="19"/>
      <c r="K21" s="17">
        <v>0.88</v>
      </c>
      <c r="L21" s="17"/>
      <c r="M21" s="20">
        <v>1</v>
      </c>
      <c r="N21" s="11">
        <f t="shared" si="0"/>
        <v>5.4824000000000002</v>
      </c>
    </row>
    <row r="22" spans="1:16" x14ac:dyDescent="0.3">
      <c r="A22" s="15">
        <v>70</v>
      </c>
      <c r="B22" s="21" t="s">
        <v>142</v>
      </c>
      <c r="C22" s="15" t="s">
        <v>141</v>
      </c>
      <c r="D22" s="16">
        <f>2.11*E22-2.68</f>
        <v>27.281999999999996</v>
      </c>
      <c r="E22" s="15">
        <v>14.2</v>
      </c>
      <c r="F22" s="15" t="s">
        <v>44</v>
      </c>
      <c r="G22" s="15"/>
      <c r="H22" s="17"/>
      <c r="I22" s="25"/>
      <c r="J22" s="19"/>
      <c r="K22" s="17"/>
      <c r="L22" s="17"/>
      <c r="M22" s="19">
        <v>1</v>
      </c>
      <c r="N22" s="11">
        <f t="shared" ref="N22" si="1">D22*M22</f>
        <v>27.281999999999996</v>
      </c>
    </row>
    <row r="23" spans="1:16" x14ac:dyDescent="0.3">
      <c r="A23" s="15">
        <v>80</v>
      </c>
      <c r="B23" s="21" t="s">
        <v>45</v>
      </c>
      <c r="C23" s="15" t="s">
        <v>143</v>
      </c>
      <c r="D23" s="16">
        <f>1.46*E23+5.85</f>
        <v>26.582000000000001</v>
      </c>
      <c r="E23" s="15">
        <v>14.2</v>
      </c>
      <c r="F23" s="15" t="s">
        <v>44</v>
      </c>
      <c r="G23" s="15"/>
      <c r="H23" s="17"/>
      <c r="I23" s="25"/>
      <c r="J23" s="19"/>
      <c r="K23" s="17"/>
      <c r="L23" s="17"/>
      <c r="M23" s="19">
        <v>2</v>
      </c>
      <c r="N23" s="11">
        <f t="shared" si="0"/>
        <v>53.164000000000001</v>
      </c>
    </row>
    <row r="24" spans="1:16" x14ac:dyDescent="0.3">
      <c r="A24" s="15">
        <v>90</v>
      </c>
      <c r="B24" s="21" t="s">
        <v>46</v>
      </c>
      <c r="C24" s="21" t="s">
        <v>140</v>
      </c>
      <c r="D24" s="16">
        <f>1.32*E24-6.08</f>
        <v>12.664</v>
      </c>
      <c r="E24" s="15">
        <v>14.2</v>
      </c>
      <c r="F24" s="15" t="s">
        <v>44</v>
      </c>
      <c r="G24" s="15"/>
      <c r="H24" s="17"/>
      <c r="I24" s="25"/>
      <c r="J24" s="19"/>
      <c r="K24" s="17"/>
      <c r="L24" s="17"/>
      <c r="M24" s="19">
        <v>4</v>
      </c>
      <c r="N24" s="11">
        <f t="shared" si="0"/>
        <v>50.655999999999999</v>
      </c>
    </row>
    <row r="25" spans="1:16" x14ac:dyDescent="0.3">
      <c r="A25" s="15">
        <v>100</v>
      </c>
      <c r="B25" s="15" t="s">
        <v>47</v>
      </c>
      <c r="C25" s="15" t="s">
        <v>48</v>
      </c>
      <c r="D25" s="16">
        <f>1*E25+1.2</f>
        <v>15.399999999999999</v>
      </c>
      <c r="E25" s="15">
        <v>14.2</v>
      </c>
      <c r="F25" s="15" t="s">
        <v>44</v>
      </c>
      <c r="G25" s="15"/>
      <c r="H25" s="17"/>
      <c r="I25" s="25"/>
      <c r="J25" s="19"/>
      <c r="K25" s="17"/>
      <c r="L25" s="17"/>
      <c r="M25" s="19">
        <v>1</v>
      </c>
      <c r="N25" s="11">
        <f t="shared" si="0"/>
        <v>15.399999999999999</v>
      </c>
    </row>
    <row r="26" spans="1:16" x14ac:dyDescent="0.3">
      <c r="A26" s="15">
        <v>110</v>
      </c>
      <c r="B26" s="15" t="s">
        <v>49</v>
      </c>
      <c r="C26" s="15" t="s">
        <v>50</v>
      </c>
      <c r="D26" s="16">
        <v>3.2719999999999998</v>
      </c>
      <c r="E26" s="15">
        <v>14.2</v>
      </c>
      <c r="F26" s="15" t="s">
        <v>44</v>
      </c>
      <c r="G26" s="15"/>
      <c r="H26" s="17"/>
      <c r="I26" s="25"/>
      <c r="J26" s="19"/>
      <c r="K26" s="17"/>
      <c r="L26" s="17"/>
      <c r="M26" s="19">
        <v>1</v>
      </c>
      <c r="N26" s="11">
        <f t="shared" si="0"/>
        <v>3.2719999999999998</v>
      </c>
    </row>
    <row r="27" spans="1:16" x14ac:dyDescent="0.3">
      <c r="A27" s="15">
        <v>120</v>
      </c>
      <c r="B27" s="15" t="s">
        <v>146</v>
      </c>
      <c r="C27" s="15" t="s">
        <v>147</v>
      </c>
      <c r="D27" s="16">
        <v>3.86</v>
      </c>
      <c r="E27" s="15">
        <v>14.2</v>
      </c>
      <c r="F27" s="15" t="s">
        <v>44</v>
      </c>
      <c r="G27" s="15">
        <v>14.2</v>
      </c>
      <c r="H27" s="17" t="s">
        <v>44</v>
      </c>
      <c r="I27" s="25"/>
      <c r="J27" s="19"/>
      <c r="K27" s="17"/>
      <c r="L27" s="17"/>
      <c r="M27" s="19">
        <v>1</v>
      </c>
      <c r="N27" s="11">
        <f t="shared" si="0"/>
        <v>3.86</v>
      </c>
    </row>
    <row r="28" spans="1:16" ht="28.8" x14ac:dyDescent="0.3">
      <c r="A28" s="15">
        <v>130</v>
      </c>
      <c r="B28" s="21" t="s">
        <v>51</v>
      </c>
      <c r="C28" s="15" t="s">
        <v>145</v>
      </c>
      <c r="D28" s="16">
        <f>0.0089*E28*G28+4.2</f>
        <v>5.9945959999999996</v>
      </c>
      <c r="E28" s="15">
        <v>14.2</v>
      </c>
      <c r="F28" s="15" t="s">
        <v>44</v>
      </c>
      <c r="G28" s="15">
        <v>14.2</v>
      </c>
      <c r="H28" s="17" t="s">
        <v>44</v>
      </c>
      <c r="I28" s="25"/>
      <c r="J28" s="19"/>
      <c r="K28" s="17"/>
      <c r="L28" s="17"/>
      <c r="M28" s="19">
        <v>2</v>
      </c>
      <c r="N28" s="11">
        <f t="shared" si="0"/>
        <v>11.989191999999999</v>
      </c>
    </row>
    <row r="29" spans="1:16" ht="28.8" x14ac:dyDescent="0.3">
      <c r="A29" s="15">
        <v>140</v>
      </c>
      <c r="B29" s="21" t="s">
        <v>52</v>
      </c>
      <c r="C29" s="21" t="s">
        <v>144</v>
      </c>
      <c r="D29" s="16">
        <v>2.64</v>
      </c>
      <c r="E29" s="15">
        <v>14.2</v>
      </c>
      <c r="F29" s="15" t="s">
        <v>44</v>
      </c>
      <c r="G29" s="15">
        <v>10</v>
      </c>
      <c r="H29" s="17" t="s">
        <v>44</v>
      </c>
      <c r="I29" s="25"/>
      <c r="J29" s="19"/>
      <c r="K29" s="17"/>
      <c r="L29" s="17"/>
      <c r="M29" s="19">
        <v>4</v>
      </c>
      <c r="N29" s="11">
        <f t="shared" si="0"/>
        <v>10.56</v>
      </c>
    </row>
    <row r="30" spans="1:16" x14ac:dyDescent="0.3">
      <c r="A30" s="15">
        <v>150</v>
      </c>
      <c r="B30" s="15" t="s">
        <v>53</v>
      </c>
      <c r="C30" s="15" t="s">
        <v>54</v>
      </c>
      <c r="D30" s="16">
        <v>0.05</v>
      </c>
      <c r="E30" s="15"/>
      <c r="F30" s="15"/>
      <c r="G30" s="15"/>
      <c r="H30" s="17"/>
      <c r="I30" s="25"/>
      <c r="J30" s="19"/>
      <c r="K30" s="17"/>
      <c r="L30" s="17"/>
      <c r="M30" s="19">
        <v>4</v>
      </c>
      <c r="N30" s="11">
        <f t="shared" si="0"/>
        <v>0.2</v>
      </c>
    </row>
    <row r="31" spans="1:16" x14ac:dyDescent="0.3">
      <c r="A31" s="15">
        <v>160</v>
      </c>
      <c r="B31" s="73" t="s">
        <v>151</v>
      </c>
      <c r="C31" s="15" t="s">
        <v>152</v>
      </c>
      <c r="D31" s="16">
        <f>0.027*E31+0.12</f>
        <v>0.47099999999999997</v>
      </c>
      <c r="E31" s="15">
        <v>13</v>
      </c>
      <c r="F31" s="15" t="s">
        <v>44</v>
      </c>
      <c r="G31" s="15"/>
      <c r="H31" s="17"/>
      <c r="I31" s="25"/>
      <c r="J31" s="19"/>
      <c r="K31" s="17"/>
      <c r="L31" s="17"/>
      <c r="M31" s="19">
        <v>2</v>
      </c>
      <c r="N31" s="11">
        <f t="shared" si="0"/>
        <v>0.94199999999999995</v>
      </c>
    </row>
    <row r="32" spans="1:16" x14ac:dyDescent="0.3">
      <c r="A32" s="15">
        <v>170</v>
      </c>
      <c r="B32" s="15" t="s">
        <v>55</v>
      </c>
      <c r="C32" s="15" t="s">
        <v>56</v>
      </c>
      <c r="D32" s="16">
        <v>10</v>
      </c>
      <c r="E32" s="15">
        <v>2.2000000000000001E-3</v>
      </c>
      <c r="F32" s="15" t="s">
        <v>57</v>
      </c>
      <c r="G32" s="15"/>
      <c r="H32" s="17"/>
      <c r="I32" s="25"/>
      <c r="J32" s="19"/>
      <c r="K32" s="17"/>
      <c r="L32" s="17"/>
      <c r="M32" s="20">
        <v>2.2000000000000001E-3</v>
      </c>
      <c r="N32" s="11">
        <f t="shared" si="0"/>
        <v>2.2000000000000002E-2</v>
      </c>
    </row>
    <row r="33" spans="1:14" s="27" customFormat="1" x14ac:dyDescent="0.3">
      <c r="M33" s="77" t="s">
        <v>23</v>
      </c>
      <c r="N33" s="76">
        <f>SUM(N16:N32)</f>
        <v>283.82959200000005</v>
      </c>
    </row>
    <row r="35" spans="1:14" s="27" customFormat="1" x14ac:dyDescent="0.3">
      <c r="A35" s="75" t="s">
        <v>19</v>
      </c>
      <c r="B35" s="75" t="s">
        <v>58</v>
      </c>
      <c r="C35" s="75" t="s">
        <v>29</v>
      </c>
      <c r="D35" s="75" t="s">
        <v>30</v>
      </c>
      <c r="E35" s="75" t="s">
        <v>59</v>
      </c>
      <c r="F35" s="75" t="s">
        <v>22</v>
      </c>
      <c r="G35" s="75" t="s">
        <v>60</v>
      </c>
      <c r="H35" s="75" t="s">
        <v>61</v>
      </c>
      <c r="I35" s="75" t="s">
        <v>23</v>
      </c>
    </row>
    <row r="36" spans="1:14" ht="28.8" x14ac:dyDescent="0.3">
      <c r="A36" s="15">
        <v>10</v>
      </c>
      <c r="B36" s="15" t="s">
        <v>62</v>
      </c>
      <c r="C36" s="21" t="s">
        <v>63</v>
      </c>
      <c r="D36" s="28">
        <v>0.15</v>
      </c>
      <c r="E36" s="15" t="s">
        <v>64</v>
      </c>
      <c r="F36" s="29">
        <v>2</v>
      </c>
      <c r="G36" s="29"/>
      <c r="H36" s="29">
        <v>1</v>
      </c>
      <c r="I36" s="30">
        <f t="shared" ref="I36:I55" si="2">H36*F36*D36</f>
        <v>0.3</v>
      </c>
    </row>
    <row r="37" spans="1:14" x14ac:dyDescent="0.3">
      <c r="A37" s="15">
        <v>20</v>
      </c>
      <c r="B37" s="15" t="s">
        <v>65</v>
      </c>
      <c r="C37" s="15" t="s">
        <v>56</v>
      </c>
      <c r="D37" s="28">
        <v>5.25</v>
      </c>
      <c r="E37" s="15" t="s">
        <v>57</v>
      </c>
      <c r="F37" s="15">
        <f>0.0022</f>
        <v>2.2000000000000001E-3</v>
      </c>
      <c r="G37" s="29"/>
      <c r="H37" s="29">
        <v>1</v>
      </c>
      <c r="I37" s="30">
        <f t="shared" si="2"/>
        <v>1.1550000000000001E-2</v>
      </c>
    </row>
    <row r="38" spans="1:14" x14ac:dyDescent="0.3">
      <c r="A38" s="15">
        <v>30</v>
      </c>
      <c r="B38" s="31" t="s">
        <v>66</v>
      </c>
      <c r="C38" s="32" t="s">
        <v>67</v>
      </c>
      <c r="D38" s="28">
        <v>0.19</v>
      </c>
      <c r="E38" s="31" t="s">
        <v>59</v>
      </c>
      <c r="F38" s="29">
        <v>8</v>
      </c>
      <c r="G38" s="15"/>
      <c r="H38" s="15">
        <v>1</v>
      </c>
      <c r="I38" s="30">
        <f t="shared" si="2"/>
        <v>1.52</v>
      </c>
    </row>
    <row r="39" spans="1:14" x14ac:dyDescent="0.3">
      <c r="A39" s="15">
        <v>40</v>
      </c>
      <c r="B39" s="31" t="s">
        <v>86</v>
      </c>
      <c r="C39" s="32" t="s">
        <v>153</v>
      </c>
      <c r="D39" s="28">
        <v>1.5</v>
      </c>
      <c r="E39" s="31" t="s">
        <v>59</v>
      </c>
      <c r="F39" s="29">
        <v>8</v>
      </c>
      <c r="G39" s="15"/>
      <c r="H39" s="15">
        <v>1</v>
      </c>
      <c r="I39" s="30">
        <f t="shared" ref="I39" si="3">H39*F39*D39</f>
        <v>12</v>
      </c>
    </row>
    <row r="40" spans="1:14" x14ac:dyDescent="0.3">
      <c r="A40" s="15">
        <v>50</v>
      </c>
      <c r="B40" s="31" t="s">
        <v>68</v>
      </c>
      <c r="C40" s="32" t="s">
        <v>69</v>
      </c>
      <c r="D40" s="28">
        <v>0.06</v>
      </c>
      <c r="E40" s="31" t="s">
        <v>59</v>
      </c>
      <c r="F40" s="29">
        <v>1</v>
      </c>
      <c r="G40" s="15"/>
      <c r="H40" s="29">
        <v>1</v>
      </c>
      <c r="I40" s="30">
        <f t="shared" si="2"/>
        <v>0.06</v>
      </c>
    </row>
    <row r="41" spans="1:14" x14ac:dyDescent="0.3">
      <c r="A41" s="15">
        <v>60</v>
      </c>
      <c r="B41" s="31" t="s">
        <v>68</v>
      </c>
      <c r="C41" s="32" t="s">
        <v>70</v>
      </c>
      <c r="D41" s="28">
        <v>0.06</v>
      </c>
      <c r="E41" s="31" t="s">
        <v>59</v>
      </c>
      <c r="F41" s="29">
        <v>1</v>
      </c>
      <c r="G41" s="15"/>
      <c r="H41" s="15">
        <v>1</v>
      </c>
      <c r="I41" s="30">
        <f t="shared" si="2"/>
        <v>0.06</v>
      </c>
    </row>
    <row r="42" spans="1:14" x14ac:dyDescent="0.3">
      <c r="A42" s="15">
        <v>70</v>
      </c>
      <c r="B42" s="15" t="s">
        <v>71</v>
      </c>
      <c r="C42" s="33" t="s">
        <v>72</v>
      </c>
      <c r="D42" s="28">
        <v>0.5</v>
      </c>
      <c r="E42" s="15" t="s">
        <v>59</v>
      </c>
      <c r="F42" s="29">
        <v>1</v>
      </c>
      <c r="G42" s="15"/>
      <c r="H42" s="29">
        <v>1</v>
      </c>
      <c r="I42" s="30">
        <f t="shared" si="2"/>
        <v>0.5</v>
      </c>
    </row>
    <row r="43" spans="1:14" x14ac:dyDescent="0.3">
      <c r="A43" s="15">
        <v>80</v>
      </c>
      <c r="B43" s="15" t="s">
        <v>73</v>
      </c>
      <c r="C43" s="33" t="s">
        <v>74</v>
      </c>
      <c r="D43" s="28">
        <v>0.25</v>
      </c>
      <c r="E43" s="15" t="s">
        <v>59</v>
      </c>
      <c r="F43" s="29">
        <v>1</v>
      </c>
      <c r="G43" s="15"/>
      <c r="H43" s="15">
        <v>1</v>
      </c>
      <c r="I43" s="30">
        <f t="shared" si="2"/>
        <v>0.25</v>
      </c>
    </row>
    <row r="44" spans="1:14" x14ac:dyDescent="0.3">
      <c r="A44" s="15">
        <v>90</v>
      </c>
      <c r="B44" s="31" t="s">
        <v>68</v>
      </c>
      <c r="C44" s="33" t="s">
        <v>75</v>
      </c>
      <c r="D44" s="28">
        <v>0.06</v>
      </c>
      <c r="E44" s="31" t="s">
        <v>59</v>
      </c>
      <c r="F44" s="29">
        <v>1</v>
      </c>
      <c r="G44" s="15"/>
      <c r="H44" s="29">
        <v>1</v>
      </c>
      <c r="I44" s="30">
        <f t="shared" si="2"/>
        <v>0.06</v>
      </c>
    </row>
    <row r="45" spans="1:14" ht="28.8" x14ac:dyDescent="0.3">
      <c r="A45" s="15">
        <v>100</v>
      </c>
      <c r="B45" s="15" t="s">
        <v>71</v>
      </c>
      <c r="C45" s="33" t="s">
        <v>76</v>
      </c>
      <c r="D45" s="28">
        <v>0.5</v>
      </c>
      <c r="E45" s="15" t="s">
        <v>59</v>
      </c>
      <c r="F45" s="29">
        <v>2</v>
      </c>
      <c r="G45" s="15"/>
      <c r="H45" s="15">
        <v>1</v>
      </c>
      <c r="I45" s="30">
        <f t="shared" si="2"/>
        <v>1</v>
      </c>
      <c r="K45" s="14"/>
    </row>
    <row r="46" spans="1:14" x14ac:dyDescent="0.3">
      <c r="A46" s="15">
        <v>110</v>
      </c>
      <c r="B46" s="15" t="s">
        <v>73</v>
      </c>
      <c r="C46" s="33" t="s">
        <v>74</v>
      </c>
      <c r="D46" s="28">
        <v>0.25</v>
      </c>
      <c r="E46" s="15" t="s">
        <v>59</v>
      </c>
      <c r="F46" s="29">
        <v>2</v>
      </c>
      <c r="G46" s="15"/>
      <c r="H46" s="29">
        <v>1</v>
      </c>
      <c r="I46" s="30">
        <f t="shared" si="2"/>
        <v>0.5</v>
      </c>
    </row>
    <row r="47" spans="1:14" x14ac:dyDescent="0.3">
      <c r="A47" s="15">
        <v>120</v>
      </c>
      <c r="B47" s="31" t="s">
        <v>77</v>
      </c>
      <c r="C47" s="32" t="s">
        <v>78</v>
      </c>
      <c r="D47" s="28">
        <v>0.13</v>
      </c>
      <c r="E47" s="31" t="s">
        <v>59</v>
      </c>
      <c r="F47" s="29">
        <v>4</v>
      </c>
      <c r="G47" s="15"/>
      <c r="H47" s="15">
        <v>1</v>
      </c>
      <c r="I47" s="30">
        <f t="shared" si="2"/>
        <v>0.52</v>
      </c>
    </row>
    <row r="48" spans="1:14" x14ac:dyDescent="0.3">
      <c r="A48" s="15">
        <v>130</v>
      </c>
      <c r="B48" s="31" t="s">
        <v>77</v>
      </c>
      <c r="C48" s="32" t="s">
        <v>79</v>
      </c>
      <c r="D48" s="28">
        <v>0.13</v>
      </c>
      <c r="E48" s="31" t="s">
        <v>59</v>
      </c>
      <c r="F48" s="29">
        <v>4</v>
      </c>
      <c r="G48" s="15"/>
      <c r="H48" s="29">
        <v>1</v>
      </c>
      <c r="I48" s="30">
        <f t="shared" si="2"/>
        <v>0.52</v>
      </c>
    </row>
    <row r="49" spans="1:10" x14ac:dyDescent="0.3">
      <c r="A49" s="15">
        <v>140</v>
      </c>
      <c r="B49" s="31" t="s">
        <v>77</v>
      </c>
      <c r="C49" s="15" t="s">
        <v>80</v>
      </c>
      <c r="D49" s="28">
        <v>0.13</v>
      </c>
      <c r="E49" s="15" t="s">
        <v>59</v>
      </c>
      <c r="F49" s="29">
        <v>1</v>
      </c>
      <c r="G49" s="15"/>
      <c r="H49" s="15">
        <v>1</v>
      </c>
      <c r="I49" s="30">
        <f t="shared" si="2"/>
        <v>0.13</v>
      </c>
    </row>
    <row r="50" spans="1:10" x14ac:dyDescent="0.3">
      <c r="A50" s="15">
        <v>150</v>
      </c>
      <c r="B50" s="31" t="s">
        <v>84</v>
      </c>
      <c r="C50" s="15" t="s">
        <v>155</v>
      </c>
      <c r="D50" s="28">
        <v>0.25</v>
      </c>
      <c r="E50" s="15" t="s">
        <v>59</v>
      </c>
      <c r="F50" s="29">
        <v>3</v>
      </c>
      <c r="G50" s="15"/>
      <c r="H50" s="15">
        <v>1</v>
      </c>
      <c r="I50" s="30">
        <f t="shared" si="2"/>
        <v>0.75</v>
      </c>
    </row>
    <row r="51" spans="1:10" x14ac:dyDescent="0.3">
      <c r="A51" s="15">
        <v>160</v>
      </c>
      <c r="B51" s="31" t="s">
        <v>154</v>
      </c>
      <c r="C51" s="15" t="s">
        <v>156</v>
      </c>
      <c r="D51" s="28">
        <v>0.25</v>
      </c>
      <c r="E51" s="15" t="s">
        <v>59</v>
      </c>
      <c r="F51" s="29">
        <v>3</v>
      </c>
      <c r="G51" s="15"/>
      <c r="H51" s="15">
        <v>1</v>
      </c>
      <c r="I51" s="30">
        <f t="shared" si="2"/>
        <v>0.75</v>
      </c>
    </row>
    <row r="52" spans="1:10" ht="28.8" x14ac:dyDescent="0.3">
      <c r="A52" s="15">
        <v>170</v>
      </c>
      <c r="B52" s="15" t="s">
        <v>81</v>
      </c>
      <c r="C52" s="21" t="s">
        <v>82</v>
      </c>
      <c r="D52" s="28">
        <v>0.6</v>
      </c>
      <c r="E52" s="15" t="s">
        <v>59</v>
      </c>
      <c r="F52" s="29">
        <v>4</v>
      </c>
      <c r="G52" s="29"/>
      <c r="H52" s="29">
        <v>1</v>
      </c>
      <c r="I52" s="30">
        <f t="shared" si="2"/>
        <v>2.4</v>
      </c>
    </row>
    <row r="53" spans="1:10" x14ac:dyDescent="0.3">
      <c r="A53" s="15">
        <v>180</v>
      </c>
      <c r="B53" s="31" t="s">
        <v>68</v>
      </c>
      <c r="C53" s="21" t="s">
        <v>83</v>
      </c>
      <c r="D53" s="28">
        <v>0.06</v>
      </c>
      <c r="E53" s="15" t="s">
        <v>59</v>
      </c>
      <c r="F53" s="29">
        <v>1</v>
      </c>
      <c r="G53" s="29"/>
      <c r="H53" s="15">
        <v>1</v>
      </c>
      <c r="I53" s="30">
        <f t="shared" si="2"/>
        <v>0.06</v>
      </c>
    </row>
    <row r="54" spans="1:10" x14ac:dyDescent="0.3">
      <c r="A54" s="15">
        <v>190</v>
      </c>
      <c r="B54" s="15" t="s">
        <v>84</v>
      </c>
      <c r="C54" s="21" t="s">
        <v>85</v>
      </c>
      <c r="D54" s="28">
        <v>0.75</v>
      </c>
      <c r="E54" s="15" t="s">
        <v>59</v>
      </c>
      <c r="F54" s="29">
        <v>1</v>
      </c>
      <c r="G54" s="29"/>
      <c r="H54" s="29">
        <v>1</v>
      </c>
      <c r="I54" s="30">
        <f t="shared" si="2"/>
        <v>0.75</v>
      </c>
    </row>
    <row r="55" spans="1:10" x14ac:dyDescent="0.3">
      <c r="A55" s="15">
        <v>200</v>
      </c>
      <c r="B55" s="15" t="s">
        <v>86</v>
      </c>
      <c r="C55" s="21" t="s">
        <v>87</v>
      </c>
      <c r="D55" s="28">
        <v>1.5</v>
      </c>
      <c r="E55" s="15" t="s">
        <v>59</v>
      </c>
      <c r="F55" s="29">
        <v>14</v>
      </c>
      <c r="G55" s="29"/>
      <c r="H55" s="15">
        <v>1</v>
      </c>
      <c r="I55" s="30">
        <f t="shared" si="2"/>
        <v>21</v>
      </c>
    </row>
    <row r="56" spans="1:10" s="27" customFormat="1" x14ac:dyDescent="0.3">
      <c r="H56" s="77" t="s">
        <v>23</v>
      </c>
      <c r="I56" s="78">
        <f>SUM(I36:I55)</f>
        <v>43.141549999999995</v>
      </c>
    </row>
    <row r="58" spans="1:10" s="27" customFormat="1" x14ac:dyDescent="0.3">
      <c r="A58" s="75" t="s">
        <v>19</v>
      </c>
      <c r="B58" s="75" t="s">
        <v>88</v>
      </c>
      <c r="C58" s="75" t="s">
        <v>29</v>
      </c>
      <c r="D58" s="75" t="s">
        <v>30</v>
      </c>
      <c r="E58" s="75" t="s">
        <v>31</v>
      </c>
      <c r="F58" s="75" t="s">
        <v>32</v>
      </c>
      <c r="G58" s="75" t="s">
        <v>33</v>
      </c>
      <c r="H58" s="75" t="s">
        <v>34</v>
      </c>
      <c r="I58" s="75" t="s">
        <v>22</v>
      </c>
      <c r="J58" s="75" t="s">
        <v>23</v>
      </c>
    </row>
    <row r="59" spans="1:10" x14ac:dyDescent="0.3">
      <c r="A59" s="15">
        <v>10</v>
      </c>
      <c r="B59" s="15" t="s">
        <v>89</v>
      </c>
      <c r="C59" s="15" t="s">
        <v>90</v>
      </c>
      <c r="D59" s="28">
        <v>0.04</v>
      </c>
      <c r="E59" s="15">
        <v>6</v>
      </c>
      <c r="F59" s="34" t="s">
        <v>44</v>
      </c>
      <c r="G59" s="15">
        <v>20</v>
      </c>
      <c r="H59" s="32" t="s">
        <v>44</v>
      </c>
      <c r="I59" s="35">
        <v>1</v>
      </c>
      <c r="J59" s="30">
        <f t="shared" ref="J59:J63" si="4">I59*D59</f>
        <v>0.04</v>
      </c>
    </row>
    <row r="60" spans="1:10" x14ac:dyDescent="0.3">
      <c r="A60" s="15">
        <v>20</v>
      </c>
      <c r="B60" s="15" t="s">
        <v>91</v>
      </c>
      <c r="C60" s="15" t="s">
        <v>92</v>
      </c>
      <c r="D60" s="28">
        <v>0.03</v>
      </c>
      <c r="E60" s="15">
        <v>6</v>
      </c>
      <c r="F60" s="34" t="s">
        <v>44</v>
      </c>
      <c r="G60" s="15"/>
      <c r="H60" s="32"/>
      <c r="I60" s="35">
        <v>1</v>
      </c>
      <c r="J60" s="30">
        <f t="shared" si="4"/>
        <v>0.03</v>
      </c>
    </row>
    <row r="61" spans="1:10" x14ac:dyDescent="0.3">
      <c r="A61" s="15">
        <v>30</v>
      </c>
      <c r="B61" s="15" t="s">
        <v>93</v>
      </c>
      <c r="C61" s="15" t="s">
        <v>94</v>
      </c>
      <c r="D61" s="28">
        <v>0.01</v>
      </c>
      <c r="E61" s="15">
        <v>6</v>
      </c>
      <c r="F61" s="34" t="s">
        <v>44</v>
      </c>
      <c r="G61" s="15"/>
      <c r="H61" s="32"/>
      <c r="I61" s="35">
        <v>2</v>
      </c>
      <c r="J61" s="30">
        <f t="shared" si="4"/>
        <v>0.02</v>
      </c>
    </row>
    <row r="62" spans="1:10" x14ac:dyDescent="0.3">
      <c r="A62" s="15">
        <v>40</v>
      </c>
      <c r="B62" s="15" t="s">
        <v>89</v>
      </c>
      <c r="C62" s="15" t="s">
        <v>149</v>
      </c>
      <c r="D62" s="28">
        <v>7.0000000000000007E-2</v>
      </c>
      <c r="E62" s="21">
        <v>6</v>
      </c>
      <c r="F62" s="36" t="s">
        <v>44</v>
      </c>
      <c r="G62" s="21">
        <v>30</v>
      </c>
      <c r="H62" s="33" t="s">
        <v>44</v>
      </c>
      <c r="I62" s="37">
        <v>2</v>
      </c>
      <c r="J62" s="30">
        <f t="shared" si="4"/>
        <v>0.14000000000000001</v>
      </c>
    </row>
    <row r="63" spans="1:10" x14ac:dyDescent="0.3">
      <c r="A63" s="15">
        <v>50</v>
      </c>
      <c r="B63" s="15" t="s">
        <v>91</v>
      </c>
      <c r="C63" s="15" t="s">
        <v>148</v>
      </c>
      <c r="D63" s="28">
        <v>0.03</v>
      </c>
      <c r="E63" s="15">
        <v>6</v>
      </c>
      <c r="F63" s="34" t="s">
        <v>44</v>
      </c>
      <c r="G63" s="21"/>
      <c r="H63" s="33"/>
      <c r="I63" s="37">
        <v>2</v>
      </c>
      <c r="J63" s="30">
        <f t="shared" si="4"/>
        <v>0.06</v>
      </c>
    </row>
    <row r="64" spans="1:10" x14ac:dyDescent="0.3">
      <c r="A64" s="15">
        <v>60</v>
      </c>
      <c r="B64" s="15" t="s">
        <v>93</v>
      </c>
      <c r="C64" s="15" t="s">
        <v>150</v>
      </c>
      <c r="D64" s="28">
        <v>0.01</v>
      </c>
      <c r="E64" s="15">
        <v>6</v>
      </c>
      <c r="F64" s="34" t="s">
        <v>44</v>
      </c>
      <c r="G64" s="15"/>
      <c r="H64" s="32"/>
      <c r="I64" s="35">
        <v>4</v>
      </c>
      <c r="J64" s="30">
        <f t="shared" ref="J64:J66" si="5">I64*D64</f>
        <v>0.04</v>
      </c>
    </row>
    <row r="65" spans="1:10" x14ac:dyDescent="0.3">
      <c r="A65" s="15">
        <v>70</v>
      </c>
      <c r="B65" s="15" t="s">
        <v>89</v>
      </c>
      <c r="C65" s="15" t="s">
        <v>159</v>
      </c>
      <c r="D65" s="28">
        <v>7.0000000000000007E-2</v>
      </c>
      <c r="E65" s="21">
        <v>6</v>
      </c>
      <c r="F65" s="36" t="s">
        <v>44</v>
      </c>
      <c r="G65" s="21">
        <v>30</v>
      </c>
      <c r="H65" s="33" t="s">
        <v>44</v>
      </c>
      <c r="I65" s="37">
        <v>3</v>
      </c>
      <c r="J65" s="30">
        <f t="shared" si="5"/>
        <v>0.21000000000000002</v>
      </c>
    </row>
    <row r="66" spans="1:10" x14ac:dyDescent="0.3">
      <c r="A66" s="15">
        <v>80</v>
      </c>
      <c r="B66" s="15" t="s">
        <v>91</v>
      </c>
      <c r="C66" s="15" t="s">
        <v>158</v>
      </c>
      <c r="D66" s="28">
        <v>0.03</v>
      </c>
      <c r="E66" s="15">
        <v>6</v>
      </c>
      <c r="F66" s="34" t="s">
        <v>44</v>
      </c>
      <c r="G66" s="21"/>
      <c r="H66" s="33"/>
      <c r="I66" s="37">
        <v>3</v>
      </c>
      <c r="J66" s="30">
        <f t="shared" si="5"/>
        <v>0.09</v>
      </c>
    </row>
    <row r="67" spans="1:10" x14ac:dyDescent="0.3">
      <c r="A67" s="15">
        <v>90</v>
      </c>
      <c r="B67" s="15" t="s">
        <v>93</v>
      </c>
      <c r="C67" s="15" t="s">
        <v>157</v>
      </c>
      <c r="D67" s="28">
        <v>0.01</v>
      </c>
      <c r="E67" s="15">
        <v>6</v>
      </c>
      <c r="F67" s="34" t="s">
        <v>44</v>
      </c>
      <c r="G67" s="15"/>
      <c r="H67" s="32"/>
      <c r="I67" s="35">
        <v>6</v>
      </c>
      <c r="J67" s="30">
        <f t="shared" ref="J67" si="6">I67*D67</f>
        <v>0.06</v>
      </c>
    </row>
    <row r="68" spans="1:10" s="27" customFormat="1" x14ac:dyDescent="0.3">
      <c r="I68" s="77" t="s">
        <v>23</v>
      </c>
      <c r="J68" s="76">
        <f>SUM(J59:J67)</f>
        <v>0.69</v>
      </c>
    </row>
    <row r="69" spans="1:10" x14ac:dyDescent="0.3">
      <c r="H69" s="38"/>
      <c r="I69" s="39"/>
    </row>
    <row r="70" spans="1:10" s="27" customFormat="1" x14ac:dyDescent="0.3">
      <c r="A70" s="75" t="s">
        <v>19</v>
      </c>
      <c r="B70" s="75" t="s">
        <v>95</v>
      </c>
      <c r="C70" s="75" t="s">
        <v>29</v>
      </c>
      <c r="D70" s="75" t="s">
        <v>30</v>
      </c>
      <c r="E70" s="75" t="s">
        <v>59</v>
      </c>
      <c r="F70" s="75" t="s">
        <v>22</v>
      </c>
      <c r="G70" s="75" t="s">
        <v>96</v>
      </c>
      <c r="H70" s="75" t="s">
        <v>97</v>
      </c>
      <c r="I70" s="75" t="s">
        <v>23</v>
      </c>
    </row>
    <row r="71" spans="1:10" ht="28.8" x14ac:dyDescent="0.3">
      <c r="A71" s="15">
        <v>10</v>
      </c>
      <c r="B71" s="15" t="s">
        <v>98</v>
      </c>
      <c r="C71" s="21" t="s">
        <v>99</v>
      </c>
      <c r="D71" s="16">
        <v>500</v>
      </c>
      <c r="E71" s="15" t="s">
        <v>100</v>
      </c>
      <c r="F71" s="15">
        <v>4</v>
      </c>
      <c r="G71" s="15">
        <v>3000</v>
      </c>
      <c r="H71" s="15">
        <v>1</v>
      </c>
      <c r="I71" s="30">
        <f>D71*F71/G71*H71</f>
        <v>0.66666666666666663</v>
      </c>
    </row>
    <row r="72" spans="1:10" s="27" customFormat="1" x14ac:dyDescent="0.3">
      <c r="H72" s="77" t="s">
        <v>23</v>
      </c>
      <c r="I72" s="78">
        <f>SUM(I71:I71)</f>
        <v>0.66666666666666663</v>
      </c>
    </row>
  </sheetData>
  <hyperlinks>
    <hyperlink ref="D1" location="BOM!A1" display="Back to BOM"/>
    <hyperlink ref="B9" location="'EN 04001'!A1" display="Fuel Rail"/>
    <hyperlink ref="B10" location="'EN 04002'!A1" display="Fuel Pump Collar"/>
    <hyperlink ref="B11" location="'EN 04003'!A1" display="Pressure Regulator Tab"/>
    <hyperlink ref="B12" location="'EN 04004'!A1" display="Fuel Pump Tab"/>
  </hyperlinks>
  <printOptions horizontalCentered="1"/>
  <pageMargins left="0.3" right="0.3" top="0.3" bottom="0.4" header="0.2" footer="0.2"/>
  <pageSetup paperSize="9" scale="68" fitToHeight="2" orientation="landscape"/>
  <headerFoot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:N25"/>
  <sheetViews>
    <sheetView zoomScale="90" zoomScaleNormal="90" workbookViewId="0">
      <selection activeCell="C32" sqref="C32"/>
    </sheetView>
  </sheetViews>
  <sheetFormatPr baseColWidth="10" defaultRowHeight="15" customHeight="1" x14ac:dyDescent="0.3"/>
  <cols>
    <col min="2" max="2" width="24.6640625" customWidth="1"/>
    <col min="3" max="3" width="30.44140625" bestFit="1" customWidth="1"/>
    <col min="4" max="4" width="11.33203125" customWidth="1"/>
    <col min="5" max="5" width="9.33203125" customWidth="1"/>
    <col min="6" max="6" width="7.33203125" bestFit="1" customWidth="1"/>
    <col min="7" max="7" width="14.109375" customWidth="1"/>
    <col min="8" max="8" width="9.21875" customWidth="1"/>
    <col min="9" max="9" width="30.33203125" bestFit="1" customWidth="1"/>
    <col min="10" max="10" width="10" bestFit="1" customWidth="1"/>
  </cols>
  <sheetData>
    <row r="1" spans="1:14" ht="15" customHeight="1" x14ac:dyDescent="0.3">
      <c r="A1" s="79" t="s">
        <v>0</v>
      </c>
      <c r="B1" s="40" t="s">
        <v>1</v>
      </c>
      <c r="C1" s="40"/>
      <c r="D1" s="40"/>
      <c r="E1" s="40"/>
      <c r="F1" s="2" t="s">
        <v>2</v>
      </c>
      <c r="G1" s="40"/>
      <c r="H1" s="40"/>
      <c r="I1" s="40"/>
      <c r="J1" s="81" t="s">
        <v>3</v>
      </c>
      <c r="K1" s="41">
        <v>81</v>
      </c>
      <c r="L1" s="40"/>
      <c r="M1" s="79" t="s">
        <v>21</v>
      </c>
      <c r="N1" s="42">
        <f>N12+I20+I24</f>
        <v>7.6413700144256271</v>
      </c>
    </row>
    <row r="2" spans="1:14" ht="15" customHeight="1" x14ac:dyDescent="0.3">
      <c r="A2" s="80" t="s">
        <v>5</v>
      </c>
      <c r="B2" s="40" t="s">
        <v>6</v>
      </c>
      <c r="C2" s="40"/>
      <c r="D2" s="79" t="s">
        <v>10</v>
      </c>
      <c r="E2" s="40"/>
      <c r="F2" s="40"/>
      <c r="G2" s="40"/>
      <c r="H2" s="40"/>
      <c r="I2" s="40"/>
      <c r="J2" s="40"/>
      <c r="K2" s="40"/>
      <c r="L2" s="40"/>
      <c r="M2" s="80" t="s">
        <v>7</v>
      </c>
      <c r="N2" s="43">
        <v>1</v>
      </c>
    </row>
    <row r="3" spans="1:14" ht="15" customHeight="1" x14ac:dyDescent="0.3">
      <c r="A3" s="80" t="s">
        <v>8</v>
      </c>
      <c r="B3" s="44" t="s">
        <v>9</v>
      </c>
      <c r="C3" s="40"/>
      <c r="D3" s="80" t="s">
        <v>13</v>
      </c>
      <c r="E3" s="40"/>
      <c r="F3" s="40"/>
      <c r="G3" s="40"/>
      <c r="H3" s="40"/>
      <c r="I3" s="40"/>
      <c r="J3" s="79" t="s">
        <v>10</v>
      </c>
      <c r="K3" s="40"/>
      <c r="L3" s="40"/>
      <c r="M3" s="40"/>
      <c r="N3" s="40"/>
    </row>
    <row r="4" spans="1:14" ht="15" customHeight="1" x14ac:dyDescent="0.3">
      <c r="A4" s="80" t="s">
        <v>20</v>
      </c>
      <c r="B4" s="1" t="s">
        <v>24</v>
      </c>
      <c r="C4" s="40"/>
      <c r="D4" s="80" t="s">
        <v>17</v>
      </c>
      <c r="E4" s="40"/>
      <c r="F4" s="40"/>
      <c r="G4" s="40"/>
      <c r="H4" s="40"/>
      <c r="I4" s="40"/>
      <c r="J4" s="80" t="s">
        <v>13</v>
      </c>
      <c r="K4" s="40"/>
      <c r="L4" s="40"/>
      <c r="M4" s="79" t="s">
        <v>14</v>
      </c>
      <c r="N4" s="42">
        <f>N1*N2</f>
        <v>7.6413700144256271</v>
      </c>
    </row>
    <row r="5" spans="1:14" ht="15" customHeight="1" x14ac:dyDescent="0.3">
      <c r="A5" s="80" t="s">
        <v>11</v>
      </c>
      <c r="B5" s="45" t="s">
        <v>101</v>
      </c>
      <c r="C5" s="40"/>
      <c r="D5" s="40"/>
      <c r="E5" s="40"/>
      <c r="F5" s="40"/>
      <c r="G5" s="40"/>
      <c r="H5" s="40"/>
      <c r="I5" s="40"/>
      <c r="J5" s="80" t="s">
        <v>17</v>
      </c>
      <c r="K5" s="40"/>
      <c r="L5" s="40"/>
      <c r="M5" s="40"/>
      <c r="N5" s="40"/>
    </row>
    <row r="6" spans="1:14" ht="15" customHeight="1" x14ac:dyDescent="0.3">
      <c r="A6" s="80" t="s">
        <v>15</v>
      </c>
      <c r="B6" s="40" t="s">
        <v>16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</row>
    <row r="7" spans="1:14" ht="15" customHeight="1" x14ac:dyDescent="0.3">
      <c r="A7" s="80" t="s">
        <v>18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</row>
    <row r="8" spans="1:14" ht="15" customHeight="1" x14ac:dyDescent="0.3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</row>
    <row r="9" spans="1:14" ht="15" customHeight="1" x14ac:dyDescent="0.3">
      <c r="A9" s="82" t="s">
        <v>19</v>
      </c>
      <c r="B9" s="83" t="s">
        <v>28</v>
      </c>
      <c r="C9" s="83" t="s">
        <v>29</v>
      </c>
      <c r="D9" s="83" t="s">
        <v>30</v>
      </c>
      <c r="E9" s="83" t="s">
        <v>31</v>
      </c>
      <c r="F9" s="83" t="s">
        <v>32</v>
      </c>
      <c r="G9" s="83" t="s">
        <v>33</v>
      </c>
      <c r="H9" s="83" t="s">
        <v>34</v>
      </c>
      <c r="I9" s="83" t="s">
        <v>35</v>
      </c>
      <c r="J9" s="83" t="s">
        <v>36</v>
      </c>
      <c r="K9" s="83" t="s">
        <v>37</v>
      </c>
      <c r="L9" s="83" t="s">
        <v>38</v>
      </c>
      <c r="M9" s="83" t="s">
        <v>22</v>
      </c>
      <c r="N9" s="83" t="s">
        <v>23</v>
      </c>
    </row>
    <row r="10" spans="1:14" ht="15" customHeight="1" x14ac:dyDescent="0.3">
      <c r="A10" s="46">
        <v>10</v>
      </c>
      <c r="B10" s="46" t="s">
        <v>102</v>
      </c>
      <c r="C10" s="47" t="s">
        <v>103</v>
      </c>
      <c r="D10" s="22">
        <v>2.25</v>
      </c>
      <c r="E10" s="48">
        <f>J10*K10*L10</f>
        <v>0.16091630270768617</v>
      </c>
      <c r="F10" s="15" t="s">
        <v>104</v>
      </c>
      <c r="G10" s="15"/>
      <c r="H10" s="15"/>
      <c r="I10" s="21" t="s">
        <v>105</v>
      </c>
      <c r="J10" s="49">
        <f>(PI()*8*8-PI()*6.5*6.5)/1000000</f>
        <v>6.8329640215577996E-5</v>
      </c>
      <c r="K10" s="50">
        <v>0.3</v>
      </c>
      <c r="L10" s="32">
        <v>7850</v>
      </c>
      <c r="M10" s="51">
        <v>1</v>
      </c>
      <c r="N10" s="52">
        <f>IF(J10="",D10*M10,D10*J10*K10*L10*M10)</f>
        <v>0.36206168109229392</v>
      </c>
    </row>
    <row r="11" spans="1:14" ht="15" customHeight="1" x14ac:dyDescent="0.3">
      <c r="A11" s="23">
        <v>20</v>
      </c>
      <c r="B11" s="46" t="s">
        <v>102</v>
      </c>
      <c r="C11" s="23" t="s">
        <v>106</v>
      </c>
      <c r="D11" s="22">
        <v>2.25</v>
      </c>
      <c r="E11" s="48">
        <f>J11*K11*L11</f>
        <v>4.7100000000000003E-2</v>
      </c>
      <c r="F11" s="23" t="s">
        <v>104</v>
      </c>
      <c r="G11" s="23"/>
      <c r="H11" s="24"/>
      <c r="I11" s="53" t="s">
        <v>107</v>
      </c>
      <c r="J11" s="54">
        <f>100*30/1000000</f>
        <v>3.0000000000000001E-3</v>
      </c>
      <c r="K11" s="55">
        <v>2E-3</v>
      </c>
      <c r="L11" s="56">
        <v>7850</v>
      </c>
      <c r="M11" s="57">
        <v>1</v>
      </c>
      <c r="N11" s="52">
        <f>IF(J11="",D11*M11,D11*J11*K11*L11*M11)</f>
        <v>0.105975</v>
      </c>
    </row>
    <row r="12" spans="1:14" ht="15" customHeight="1" x14ac:dyDescent="0.3">
      <c r="A12" s="58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85" t="s">
        <v>23</v>
      </c>
      <c r="N12" s="84">
        <f>SUM(N10:N11)</f>
        <v>0.4680366810922939</v>
      </c>
    </row>
    <row r="13" spans="1:14" ht="15" customHeight="1" x14ac:dyDescent="0.3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</row>
    <row r="14" spans="1:14" ht="15" customHeight="1" x14ac:dyDescent="0.3">
      <c r="A14" s="82" t="s">
        <v>19</v>
      </c>
      <c r="B14" s="83" t="s">
        <v>58</v>
      </c>
      <c r="C14" s="83" t="s">
        <v>29</v>
      </c>
      <c r="D14" s="83" t="s">
        <v>30</v>
      </c>
      <c r="E14" s="83" t="s">
        <v>59</v>
      </c>
      <c r="F14" s="83" t="s">
        <v>22</v>
      </c>
      <c r="G14" s="83" t="s">
        <v>60</v>
      </c>
      <c r="H14" s="83" t="s">
        <v>61</v>
      </c>
      <c r="I14" s="83" t="s">
        <v>23</v>
      </c>
      <c r="J14" s="58"/>
      <c r="K14" s="58"/>
      <c r="L14" s="58"/>
      <c r="M14" s="58"/>
      <c r="N14" s="58"/>
    </row>
    <row r="15" spans="1:14" ht="15" customHeight="1" x14ac:dyDescent="0.3">
      <c r="A15" s="87">
        <v>10</v>
      </c>
      <c r="B15" s="88" t="s">
        <v>108</v>
      </c>
      <c r="C15" s="87" t="s">
        <v>109</v>
      </c>
      <c r="D15" s="89">
        <v>0.15</v>
      </c>
      <c r="E15" s="88" t="s">
        <v>64</v>
      </c>
      <c r="F15" s="87">
        <v>5</v>
      </c>
      <c r="G15" s="87"/>
      <c r="H15" s="87"/>
      <c r="I15" s="90">
        <f>IF(H15="",D15*F15,D15*F15*H15)</f>
        <v>0.75</v>
      </c>
      <c r="J15" s="40"/>
      <c r="K15" s="40"/>
      <c r="L15" s="40"/>
      <c r="M15" s="40"/>
      <c r="N15" s="40"/>
    </row>
    <row r="16" spans="1:14" ht="28.8" x14ac:dyDescent="0.3">
      <c r="A16" s="15">
        <v>20</v>
      </c>
      <c r="B16" s="31" t="s">
        <v>110</v>
      </c>
      <c r="C16" s="21" t="s">
        <v>111</v>
      </c>
      <c r="D16" s="28">
        <v>1.3</v>
      </c>
      <c r="E16" s="15" t="s">
        <v>59</v>
      </c>
      <c r="F16" s="60">
        <v>1</v>
      </c>
      <c r="G16" s="31"/>
      <c r="H16" s="29"/>
      <c r="I16" s="52">
        <f>IF(H16="",D16*F16,D16*F16*H16)</f>
        <v>1.3</v>
      </c>
      <c r="J16" s="40"/>
      <c r="K16" s="40"/>
      <c r="L16" s="40"/>
      <c r="M16" s="40"/>
      <c r="N16" s="40"/>
    </row>
    <row r="17" spans="1:14" ht="15" customHeight="1" x14ac:dyDescent="0.3">
      <c r="A17" s="29">
        <v>30</v>
      </c>
      <c r="B17" s="31" t="s">
        <v>112</v>
      </c>
      <c r="C17" s="59" t="s">
        <v>113</v>
      </c>
      <c r="D17" s="28">
        <v>0.1</v>
      </c>
      <c r="E17" s="31" t="s">
        <v>64</v>
      </c>
      <c r="F17" s="29">
        <v>1.5</v>
      </c>
      <c r="G17" s="61" t="s">
        <v>114</v>
      </c>
      <c r="H17" s="29">
        <v>3</v>
      </c>
      <c r="I17" s="52">
        <f>IF(H17="",D17*F17,D17*F17*H17)</f>
        <v>0.45000000000000007</v>
      </c>
      <c r="J17" s="40"/>
      <c r="K17" s="40"/>
      <c r="L17" s="40"/>
      <c r="M17" s="40"/>
      <c r="N17" s="40"/>
    </row>
    <row r="18" spans="1:14" ht="15" customHeight="1" x14ac:dyDescent="0.3">
      <c r="A18" s="15">
        <v>40</v>
      </c>
      <c r="B18" s="31" t="s">
        <v>115</v>
      </c>
      <c r="C18" s="59"/>
      <c r="D18" s="28">
        <v>0.01</v>
      </c>
      <c r="E18" s="31" t="s">
        <v>64</v>
      </c>
      <c r="F18" s="29">
        <v>18</v>
      </c>
      <c r="G18" s="61" t="s">
        <v>114</v>
      </c>
      <c r="H18" s="29">
        <v>3</v>
      </c>
      <c r="I18" s="52">
        <f>IF(H18="",D18*F18,D18*F18*H18)</f>
        <v>0.54</v>
      </c>
      <c r="J18" s="40"/>
      <c r="K18" s="40"/>
      <c r="L18" s="40"/>
      <c r="M18" s="40"/>
      <c r="N18" s="40"/>
    </row>
    <row r="19" spans="1:14" ht="15" customHeight="1" x14ac:dyDescent="0.3">
      <c r="A19" s="29">
        <v>50</v>
      </c>
      <c r="B19" s="31" t="s">
        <v>62</v>
      </c>
      <c r="C19" s="21" t="s">
        <v>116</v>
      </c>
      <c r="D19" s="28">
        <v>0.15</v>
      </c>
      <c r="E19" s="15" t="s">
        <v>64</v>
      </c>
      <c r="F19" s="60">
        <v>12</v>
      </c>
      <c r="G19" s="31"/>
      <c r="H19" s="29"/>
      <c r="I19" s="52">
        <f>IF(H19="",D19*F19,D19*F19*H19)</f>
        <v>1.7999999999999998</v>
      </c>
      <c r="J19" s="40"/>
      <c r="K19" s="40"/>
      <c r="L19" s="40"/>
      <c r="M19" s="40"/>
      <c r="N19" s="40"/>
    </row>
    <row r="20" spans="1:14" ht="15" customHeight="1" x14ac:dyDescent="0.3">
      <c r="A20" s="58"/>
      <c r="B20" s="58"/>
      <c r="C20" s="58"/>
      <c r="D20" s="58"/>
      <c r="E20" s="58"/>
      <c r="F20" s="58"/>
      <c r="G20" s="58"/>
      <c r="H20" s="85" t="s">
        <v>23</v>
      </c>
      <c r="I20" s="84">
        <f>SUM(I15:I19)</f>
        <v>4.84</v>
      </c>
      <c r="J20" s="58"/>
      <c r="K20" s="58"/>
      <c r="L20" s="58"/>
      <c r="M20" s="58"/>
      <c r="N20" s="58"/>
    </row>
    <row r="21" spans="1:14" ht="15" customHeight="1" x14ac:dyDescent="0.3">
      <c r="A21" s="40"/>
      <c r="B21" s="40"/>
      <c r="C21" s="40"/>
      <c r="D21" s="40"/>
      <c r="E21" s="40"/>
      <c r="F21" s="40"/>
      <c r="G21" s="40"/>
      <c r="H21" s="41"/>
      <c r="I21" s="42"/>
      <c r="J21" s="40"/>
      <c r="K21" s="40"/>
      <c r="L21" s="40"/>
      <c r="M21" s="40"/>
      <c r="N21" s="40"/>
    </row>
    <row r="22" spans="1:14" ht="15" customHeight="1" x14ac:dyDescent="0.3">
      <c r="A22" s="82" t="s">
        <v>19</v>
      </c>
      <c r="B22" s="83" t="s">
        <v>95</v>
      </c>
      <c r="C22" s="83" t="s">
        <v>29</v>
      </c>
      <c r="D22" s="83" t="s">
        <v>30</v>
      </c>
      <c r="E22" s="83" t="s">
        <v>59</v>
      </c>
      <c r="F22" s="83" t="s">
        <v>22</v>
      </c>
      <c r="G22" s="83" t="s">
        <v>96</v>
      </c>
      <c r="H22" s="83" t="s">
        <v>117</v>
      </c>
      <c r="I22" s="83" t="s">
        <v>23</v>
      </c>
      <c r="J22" s="58"/>
      <c r="K22" s="58"/>
      <c r="L22" s="58"/>
      <c r="M22" s="58"/>
      <c r="N22" s="58"/>
    </row>
    <row r="23" spans="1:14" ht="15" customHeight="1" x14ac:dyDescent="0.3">
      <c r="A23" s="15">
        <v>10</v>
      </c>
      <c r="B23" s="15" t="s">
        <v>98</v>
      </c>
      <c r="C23" s="15" t="s">
        <v>116</v>
      </c>
      <c r="D23" s="16">
        <v>500</v>
      </c>
      <c r="E23" s="15" t="s">
        <v>100</v>
      </c>
      <c r="F23" s="15">
        <v>14</v>
      </c>
      <c r="G23" s="15">
        <v>3000</v>
      </c>
      <c r="H23" s="15">
        <v>1</v>
      </c>
      <c r="I23" s="52">
        <f>D23*F23/G23*H23</f>
        <v>2.3333333333333335</v>
      </c>
      <c r="J23" s="40"/>
      <c r="K23" s="40"/>
      <c r="L23" s="40"/>
      <c r="M23" s="40"/>
      <c r="N23" s="40"/>
    </row>
    <row r="24" spans="1:14" ht="15" customHeight="1" x14ac:dyDescent="0.3">
      <c r="A24" s="58"/>
      <c r="B24" s="58"/>
      <c r="C24" s="58"/>
      <c r="D24" s="58"/>
      <c r="E24" s="58"/>
      <c r="F24" s="58"/>
      <c r="G24" s="58"/>
      <c r="H24" s="85" t="s">
        <v>23</v>
      </c>
      <c r="I24" s="86">
        <f>I23</f>
        <v>2.3333333333333335</v>
      </c>
      <c r="J24" s="58"/>
      <c r="K24" s="58"/>
      <c r="L24" s="58"/>
      <c r="M24" s="58"/>
      <c r="N24" s="58"/>
    </row>
    <row r="25" spans="1:14" ht="15" customHeight="1" x14ac:dyDescent="0.3">
      <c r="A25" s="40"/>
      <c r="B25" s="40"/>
      <c r="C25" s="40"/>
      <c r="D25" s="40"/>
      <c r="E25" s="40"/>
      <c r="F25" s="40"/>
      <c r="G25" s="40"/>
      <c r="H25" s="41"/>
      <c r="I25" s="42"/>
      <c r="J25" s="40"/>
      <c r="K25" s="40"/>
      <c r="L25" s="40"/>
      <c r="M25" s="40"/>
      <c r="N25" s="40"/>
    </row>
  </sheetData>
  <hyperlinks>
    <hyperlink ref="F1" location="BOM!A1" display="Back to BOM"/>
    <hyperlink ref="B3" location="'EN A0004'!A1" display="Fuel System"/>
  </hyperlinks>
  <printOptions horizontalCentered="1"/>
  <pageMargins left="0.3" right="0.3" top="0.3" bottom="0.4" header="0.2" footer="0.2"/>
  <pageSetup paperSize="9" scale="70" orientation="landscape" horizontalDpi="0" verticalDpi="0"/>
  <headerFooter>
    <oddFooter>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:N18"/>
  <sheetViews>
    <sheetView zoomScale="80" zoomScaleNormal="80" zoomScalePageLayoutView="49" workbookViewId="0">
      <selection activeCell="F36" sqref="F36"/>
    </sheetView>
  </sheetViews>
  <sheetFormatPr baseColWidth="10" defaultRowHeight="15" customHeight="1" x14ac:dyDescent="0.3"/>
  <cols>
    <col min="1" max="1" width="15.33203125" bestFit="1" customWidth="1"/>
    <col min="2" max="2" width="36.33203125" bestFit="1" customWidth="1"/>
    <col min="3" max="3" width="19.109375" bestFit="1" customWidth="1"/>
    <col min="4" max="4" width="13.77734375" bestFit="1" customWidth="1"/>
    <col min="6" max="6" width="13.44140625" bestFit="1" customWidth="1"/>
    <col min="7" max="7" width="20.77734375" bestFit="1" customWidth="1"/>
    <col min="8" max="8" width="14.109375" bestFit="1" customWidth="1"/>
    <col min="9" max="9" width="29.44140625" bestFit="1" customWidth="1"/>
    <col min="10" max="10" width="13.77734375" bestFit="1" customWidth="1"/>
    <col min="11" max="11" width="11" bestFit="1" customWidth="1"/>
    <col min="12" max="12" width="11.77734375" bestFit="1" customWidth="1"/>
    <col min="13" max="13" width="20.33203125" bestFit="1" customWidth="1"/>
    <col min="14" max="14" width="14.109375" bestFit="1" customWidth="1"/>
  </cols>
  <sheetData>
    <row r="1" spans="1:14" ht="15" customHeight="1" x14ac:dyDescent="0.3">
      <c r="A1" s="79" t="s">
        <v>0</v>
      </c>
      <c r="B1" s="40" t="s">
        <v>1</v>
      </c>
      <c r="C1" s="40"/>
      <c r="D1" s="40"/>
      <c r="E1" s="40"/>
      <c r="F1" s="2" t="s">
        <v>2</v>
      </c>
      <c r="G1" s="40"/>
      <c r="H1" s="40"/>
      <c r="I1" s="40"/>
      <c r="J1" s="81" t="s">
        <v>3</v>
      </c>
      <c r="K1" s="41">
        <v>81</v>
      </c>
      <c r="L1" s="40"/>
      <c r="M1" s="79" t="s">
        <v>21</v>
      </c>
      <c r="N1" s="62">
        <f>N11+I17</f>
        <v>3.3523958399999998</v>
      </c>
    </row>
    <row r="2" spans="1:14" ht="15" customHeight="1" x14ac:dyDescent="0.3">
      <c r="A2" s="80" t="s">
        <v>5</v>
      </c>
      <c r="B2" s="40" t="s">
        <v>6</v>
      </c>
      <c r="C2" s="40"/>
      <c r="D2" s="79" t="s">
        <v>10</v>
      </c>
      <c r="E2" s="40"/>
      <c r="F2" s="40"/>
      <c r="G2" s="40"/>
      <c r="H2" s="40"/>
      <c r="I2" s="40"/>
      <c r="J2" s="40"/>
      <c r="K2" s="40"/>
      <c r="L2" s="40"/>
      <c r="M2" s="80" t="s">
        <v>7</v>
      </c>
      <c r="N2" s="43">
        <v>1</v>
      </c>
    </row>
    <row r="3" spans="1:14" ht="15" customHeight="1" x14ac:dyDescent="0.3">
      <c r="A3" s="80" t="s">
        <v>8</v>
      </c>
      <c r="B3" s="44" t="s">
        <v>9</v>
      </c>
      <c r="C3" s="40"/>
      <c r="D3" s="80" t="s">
        <v>13</v>
      </c>
      <c r="E3" s="40"/>
      <c r="F3" s="40"/>
      <c r="G3" s="40"/>
      <c r="H3" s="40"/>
      <c r="I3" s="40"/>
      <c r="J3" s="79" t="s">
        <v>10</v>
      </c>
      <c r="K3" s="40"/>
      <c r="L3" s="40"/>
      <c r="M3" s="40"/>
      <c r="N3" s="40"/>
    </row>
    <row r="4" spans="1:14" ht="15" customHeight="1" x14ac:dyDescent="0.3">
      <c r="A4" s="80" t="s">
        <v>20</v>
      </c>
      <c r="B4" s="1" t="s">
        <v>25</v>
      </c>
      <c r="C4" s="40"/>
      <c r="D4" s="80" t="s">
        <v>17</v>
      </c>
      <c r="E4" s="40"/>
      <c r="F4" s="40"/>
      <c r="G4" s="40"/>
      <c r="H4" s="40"/>
      <c r="I4" s="40"/>
      <c r="J4" s="80" t="s">
        <v>13</v>
      </c>
      <c r="K4" s="40"/>
      <c r="L4" s="40"/>
      <c r="M4" s="79" t="s">
        <v>14</v>
      </c>
      <c r="N4" s="42">
        <f>N1*N2</f>
        <v>3.3523958399999998</v>
      </c>
    </row>
    <row r="5" spans="1:14" ht="15" customHeight="1" x14ac:dyDescent="0.3">
      <c r="A5" s="80" t="s">
        <v>11</v>
      </c>
      <c r="B5" s="45" t="s">
        <v>118</v>
      </c>
      <c r="C5" s="40"/>
      <c r="D5" s="40"/>
      <c r="E5" s="40"/>
      <c r="F5" s="40"/>
      <c r="G5" s="40"/>
      <c r="H5" s="40"/>
      <c r="I5" s="40"/>
      <c r="J5" s="80" t="s">
        <v>17</v>
      </c>
      <c r="K5" s="40"/>
      <c r="L5" s="40"/>
      <c r="M5" s="40"/>
      <c r="N5" s="40"/>
    </row>
    <row r="6" spans="1:14" ht="15" customHeight="1" x14ac:dyDescent="0.3">
      <c r="A6" s="80" t="s">
        <v>15</v>
      </c>
      <c r="B6" s="40" t="s">
        <v>16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</row>
    <row r="7" spans="1:14" ht="15" customHeight="1" x14ac:dyDescent="0.3">
      <c r="A7" s="80" t="s">
        <v>18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</row>
    <row r="8" spans="1:14" ht="15" customHeight="1" x14ac:dyDescent="0.3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</row>
    <row r="9" spans="1:14" ht="15" customHeight="1" x14ac:dyDescent="0.3">
      <c r="A9" s="82" t="s">
        <v>19</v>
      </c>
      <c r="B9" s="83" t="s">
        <v>28</v>
      </c>
      <c r="C9" s="83" t="s">
        <v>29</v>
      </c>
      <c r="D9" s="83" t="s">
        <v>30</v>
      </c>
      <c r="E9" s="83" t="s">
        <v>31</v>
      </c>
      <c r="F9" s="83" t="s">
        <v>32</v>
      </c>
      <c r="G9" s="83" t="s">
        <v>33</v>
      </c>
      <c r="H9" s="83" t="s">
        <v>34</v>
      </c>
      <c r="I9" s="83" t="s">
        <v>35</v>
      </c>
      <c r="J9" s="83" t="s">
        <v>36</v>
      </c>
      <c r="K9" s="83" t="s">
        <v>37</v>
      </c>
      <c r="L9" s="83" t="s">
        <v>38</v>
      </c>
      <c r="M9" s="83" t="s">
        <v>22</v>
      </c>
      <c r="N9" s="83" t="s">
        <v>23</v>
      </c>
    </row>
    <row r="10" spans="1:14" ht="15" customHeight="1" x14ac:dyDescent="0.3">
      <c r="A10" s="15">
        <v>10</v>
      </c>
      <c r="B10" s="15" t="s">
        <v>119</v>
      </c>
      <c r="C10" s="15" t="s">
        <v>120</v>
      </c>
      <c r="D10" s="16">
        <v>4.2</v>
      </c>
      <c r="E10" s="50">
        <f>J10*K10*L10</f>
        <v>1.2475200000000001E-2</v>
      </c>
      <c r="F10" s="15" t="s">
        <v>104</v>
      </c>
      <c r="G10" s="15"/>
      <c r="H10" s="17"/>
      <c r="I10" s="53" t="s">
        <v>121</v>
      </c>
      <c r="J10" s="26">
        <f>230*20/1000000</f>
        <v>4.5999999999999999E-3</v>
      </c>
      <c r="K10" s="63">
        <f>1/1000</f>
        <v>1E-3</v>
      </c>
      <c r="L10" s="20">
        <v>2712</v>
      </c>
      <c r="M10" s="20">
        <v>1</v>
      </c>
      <c r="N10" s="52">
        <f>IF(J10="",D10*M10,D10*J10*K10*L10*M10)</f>
        <v>5.2395840000000006E-2</v>
      </c>
    </row>
    <row r="11" spans="1:14" ht="15" customHeight="1" x14ac:dyDescent="0.3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85" t="s">
        <v>23</v>
      </c>
      <c r="N11" s="84">
        <f>N10</f>
        <v>5.2395840000000006E-2</v>
      </c>
    </row>
    <row r="12" spans="1:14" ht="15" customHeight="1" x14ac:dyDescent="0.3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</row>
    <row r="13" spans="1:14" ht="15" customHeight="1" x14ac:dyDescent="0.3">
      <c r="A13" s="82" t="s">
        <v>19</v>
      </c>
      <c r="B13" s="83" t="s">
        <v>58</v>
      </c>
      <c r="C13" s="83" t="s">
        <v>29</v>
      </c>
      <c r="D13" s="83" t="s">
        <v>30</v>
      </c>
      <c r="E13" s="83" t="s">
        <v>59</v>
      </c>
      <c r="F13" s="83" t="s">
        <v>22</v>
      </c>
      <c r="G13" s="83" t="s">
        <v>60</v>
      </c>
      <c r="H13" s="83" t="s">
        <v>61</v>
      </c>
      <c r="I13" s="83" t="s">
        <v>23</v>
      </c>
      <c r="J13" s="58"/>
      <c r="K13" s="58"/>
      <c r="L13" s="58"/>
      <c r="M13" s="58"/>
      <c r="N13" s="58"/>
    </row>
    <row r="14" spans="1:14" ht="15" customHeight="1" x14ac:dyDescent="0.3">
      <c r="A14" s="15">
        <v>10</v>
      </c>
      <c r="B14" s="64" t="s">
        <v>122</v>
      </c>
      <c r="C14" s="33" t="s">
        <v>123</v>
      </c>
      <c r="D14" s="16">
        <v>1.3</v>
      </c>
      <c r="E14" s="15" t="s">
        <v>59</v>
      </c>
      <c r="F14" s="15">
        <v>1</v>
      </c>
      <c r="G14" s="15"/>
      <c r="H14" s="15"/>
      <c r="I14" s="52">
        <f>IF(H14="",D14*F14,D14*F14*H14)</f>
        <v>1.3</v>
      </c>
      <c r="J14" s="40"/>
      <c r="K14" s="40"/>
      <c r="L14" s="40"/>
      <c r="M14" s="40"/>
      <c r="N14" s="40"/>
    </row>
    <row r="15" spans="1:14" ht="15" customHeight="1" x14ac:dyDescent="0.3">
      <c r="A15" s="15">
        <v>20</v>
      </c>
      <c r="B15" s="32" t="s">
        <v>115</v>
      </c>
      <c r="C15" s="32"/>
      <c r="D15" s="16">
        <v>0.01</v>
      </c>
      <c r="E15" s="15" t="s">
        <v>64</v>
      </c>
      <c r="F15" s="15">
        <v>50</v>
      </c>
      <c r="G15" s="15" t="s">
        <v>124</v>
      </c>
      <c r="H15" s="15">
        <v>1</v>
      </c>
      <c r="I15" s="52">
        <f>IF(H15="",D15*F15,D15*F15*H15)</f>
        <v>0.5</v>
      </c>
      <c r="J15" s="40"/>
      <c r="K15" s="40"/>
      <c r="L15" s="40"/>
      <c r="M15" s="40"/>
      <c r="N15" s="40"/>
    </row>
    <row r="16" spans="1:14" ht="15" customHeight="1" x14ac:dyDescent="0.3">
      <c r="A16" s="65">
        <v>30</v>
      </c>
      <c r="B16" s="31" t="s">
        <v>125</v>
      </c>
      <c r="C16" s="33" t="s">
        <v>126</v>
      </c>
      <c r="D16" s="16">
        <v>0.25</v>
      </c>
      <c r="E16" s="15" t="s">
        <v>127</v>
      </c>
      <c r="F16" s="15">
        <v>6</v>
      </c>
      <c r="G16" s="15"/>
      <c r="H16" s="52"/>
      <c r="I16" s="52">
        <f>D16*F16</f>
        <v>1.5</v>
      </c>
      <c r="J16" s="40"/>
      <c r="K16" s="40"/>
      <c r="L16" s="40"/>
      <c r="M16" s="40"/>
      <c r="N16" s="40"/>
    </row>
    <row r="17" spans="1:14" ht="15" customHeight="1" x14ac:dyDescent="0.3">
      <c r="A17" s="58"/>
      <c r="B17" s="58"/>
      <c r="C17" s="58"/>
      <c r="D17" s="58"/>
      <c r="E17" s="58"/>
      <c r="F17" s="58"/>
      <c r="G17" s="58"/>
      <c r="H17" s="85" t="s">
        <v>23</v>
      </c>
      <c r="I17" s="84">
        <f>SUM(I14:I16)</f>
        <v>3.3</v>
      </c>
      <c r="J17" s="58"/>
      <c r="K17" s="58"/>
      <c r="L17" s="58"/>
      <c r="M17" s="58"/>
      <c r="N17" s="58"/>
    </row>
    <row r="18" spans="1:14" ht="15" customHeight="1" x14ac:dyDescent="0.3">
      <c r="A18" s="40"/>
      <c r="B18" s="40"/>
      <c r="C18" s="40"/>
      <c r="D18" s="40"/>
      <c r="E18" s="40"/>
      <c r="F18" s="40"/>
      <c r="G18" s="40"/>
      <c r="H18" s="41"/>
      <c r="I18" s="42"/>
      <c r="J18" s="40"/>
      <c r="K18" s="40"/>
      <c r="L18" s="40"/>
      <c r="M18" s="40"/>
      <c r="N18" s="40"/>
    </row>
  </sheetData>
  <hyperlinks>
    <hyperlink ref="F1" location="BOM!A1" display="Back to BOM"/>
    <hyperlink ref="B3" location="'EN A0004'!A1" display="Fuel System"/>
  </hyperlinks>
  <printOptions horizontalCentered="1"/>
  <pageMargins left="0.3" right="0.3" top="0.3" bottom="0.4" header="0.2" footer="0.2"/>
  <pageSetup paperSize="9" scale="75" orientation="landscape" horizontalDpi="0" verticalDpi="0"/>
  <headerFoot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:N17"/>
  <sheetViews>
    <sheetView zoomScale="80" zoomScaleNormal="80" zoomScalePageLayoutView="49" workbookViewId="0">
      <selection activeCell="I13" sqref="A13:I13"/>
    </sheetView>
  </sheetViews>
  <sheetFormatPr baseColWidth="10" defaultRowHeight="15" customHeight="1" x14ac:dyDescent="0.3"/>
  <cols>
    <col min="1" max="1" width="15.33203125" bestFit="1" customWidth="1"/>
    <col min="2" max="2" width="36.33203125" bestFit="1" customWidth="1"/>
    <col min="3" max="3" width="20.77734375" bestFit="1" customWidth="1"/>
    <col min="4" max="4" width="13.77734375" bestFit="1" customWidth="1"/>
    <col min="6" max="6" width="13.44140625" bestFit="1" customWidth="1"/>
    <col min="7" max="7" width="15.44140625" bestFit="1" customWidth="1"/>
    <col min="8" max="8" width="14.109375" bestFit="1" customWidth="1"/>
    <col min="9" max="9" width="28.44140625" bestFit="1" customWidth="1"/>
    <col min="10" max="10" width="13.77734375" bestFit="1" customWidth="1"/>
    <col min="11" max="11" width="11" bestFit="1" customWidth="1"/>
    <col min="12" max="12" width="11.77734375" bestFit="1" customWidth="1"/>
    <col min="13" max="13" width="20.33203125" bestFit="1" customWidth="1"/>
    <col min="14" max="14" width="14.109375" bestFit="1" customWidth="1"/>
  </cols>
  <sheetData>
    <row r="1" spans="1:14" ht="15" customHeight="1" x14ac:dyDescent="0.3">
      <c r="A1" s="79" t="s">
        <v>0</v>
      </c>
      <c r="B1" s="40" t="s">
        <v>1</v>
      </c>
      <c r="C1" s="40"/>
      <c r="D1" s="40"/>
      <c r="E1" s="40"/>
      <c r="F1" s="2" t="s">
        <v>2</v>
      </c>
      <c r="G1" s="40"/>
      <c r="H1" s="40"/>
      <c r="I1" s="40"/>
      <c r="J1" s="81" t="s">
        <v>3</v>
      </c>
      <c r="K1" s="41">
        <v>81</v>
      </c>
      <c r="L1" s="40"/>
      <c r="M1" s="79" t="s">
        <v>21</v>
      </c>
      <c r="N1" s="42">
        <f>N11+I16</f>
        <v>1.8305095</v>
      </c>
    </row>
    <row r="2" spans="1:14" ht="15" customHeight="1" x14ac:dyDescent="0.3">
      <c r="A2" s="80" t="s">
        <v>5</v>
      </c>
      <c r="B2" s="40" t="s">
        <v>6</v>
      </c>
      <c r="C2" s="41" t="s">
        <v>128</v>
      </c>
      <c r="D2" s="91" t="s">
        <v>10</v>
      </c>
      <c r="E2" s="40"/>
      <c r="F2" s="40"/>
      <c r="G2" s="40"/>
      <c r="H2" s="40"/>
      <c r="I2" s="40"/>
      <c r="J2" s="40"/>
      <c r="K2" s="40"/>
      <c r="L2" s="40"/>
      <c r="M2" s="80" t="s">
        <v>7</v>
      </c>
      <c r="N2" s="43">
        <v>1</v>
      </c>
    </row>
    <row r="3" spans="1:14" ht="15" customHeight="1" x14ac:dyDescent="0.3">
      <c r="A3" s="80" t="s">
        <v>8</v>
      </c>
      <c r="B3" s="44" t="s">
        <v>9</v>
      </c>
      <c r="C3" s="40"/>
      <c r="D3" s="80" t="s">
        <v>13</v>
      </c>
      <c r="E3" s="40"/>
      <c r="F3" s="40"/>
      <c r="G3" s="40"/>
      <c r="H3" s="40"/>
      <c r="I3" s="40"/>
      <c r="J3" s="79" t="s">
        <v>10</v>
      </c>
      <c r="K3" s="40"/>
      <c r="L3" s="40"/>
      <c r="M3" s="40"/>
      <c r="N3" s="40"/>
    </row>
    <row r="4" spans="1:14" ht="15" customHeight="1" x14ac:dyDescent="0.3">
      <c r="A4" s="80" t="s">
        <v>20</v>
      </c>
      <c r="B4" s="66" t="s">
        <v>26</v>
      </c>
      <c r="C4" s="40"/>
      <c r="D4" s="80" t="s">
        <v>17</v>
      </c>
      <c r="E4" s="40"/>
      <c r="F4" s="40"/>
      <c r="G4" s="40"/>
      <c r="H4" s="40"/>
      <c r="I4" s="40"/>
      <c r="J4" s="80" t="s">
        <v>13</v>
      </c>
      <c r="K4" s="40"/>
      <c r="L4" s="40"/>
      <c r="M4" s="79" t="s">
        <v>14</v>
      </c>
      <c r="N4" s="42">
        <f>N1*N2</f>
        <v>1.8305095</v>
      </c>
    </row>
    <row r="5" spans="1:14" ht="15" customHeight="1" x14ac:dyDescent="0.3">
      <c r="A5" s="80" t="s">
        <v>11</v>
      </c>
      <c r="B5" s="45" t="s">
        <v>129</v>
      </c>
      <c r="C5" s="40"/>
      <c r="D5" s="40"/>
      <c r="E5" s="40"/>
      <c r="F5" s="40"/>
      <c r="G5" s="40"/>
      <c r="H5" s="40"/>
      <c r="I5" s="40"/>
      <c r="J5" s="80" t="s">
        <v>17</v>
      </c>
      <c r="K5" s="40"/>
      <c r="L5" s="40"/>
      <c r="M5" s="40"/>
      <c r="N5" s="40"/>
    </row>
    <row r="6" spans="1:14" ht="15" customHeight="1" x14ac:dyDescent="0.3">
      <c r="A6" s="80" t="s">
        <v>15</v>
      </c>
      <c r="B6" s="40" t="s">
        <v>16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</row>
    <row r="7" spans="1:14" ht="15" customHeight="1" x14ac:dyDescent="0.3">
      <c r="A7" s="80" t="s">
        <v>18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</row>
    <row r="8" spans="1:14" ht="15" customHeight="1" x14ac:dyDescent="0.3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</row>
    <row r="9" spans="1:14" ht="15" customHeight="1" x14ac:dyDescent="0.3">
      <c r="A9" s="82" t="s">
        <v>19</v>
      </c>
      <c r="B9" s="83" t="s">
        <v>28</v>
      </c>
      <c r="C9" s="83" t="s">
        <v>29</v>
      </c>
      <c r="D9" s="83" t="s">
        <v>30</v>
      </c>
      <c r="E9" s="83" t="s">
        <v>31</v>
      </c>
      <c r="F9" s="83" t="s">
        <v>32</v>
      </c>
      <c r="G9" s="83" t="s">
        <v>33</v>
      </c>
      <c r="H9" s="83" t="s">
        <v>34</v>
      </c>
      <c r="I9" s="83" t="s">
        <v>35</v>
      </c>
      <c r="J9" s="83" t="s">
        <v>36</v>
      </c>
      <c r="K9" s="83" t="s">
        <v>37</v>
      </c>
      <c r="L9" s="83" t="s">
        <v>38</v>
      </c>
      <c r="M9" s="83" t="s">
        <v>22</v>
      </c>
      <c r="N9" s="83" t="s">
        <v>23</v>
      </c>
    </row>
    <row r="10" spans="1:14" ht="15" customHeight="1" x14ac:dyDescent="0.3">
      <c r="A10" s="15">
        <v>10</v>
      </c>
      <c r="B10" s="67" t="s">
        <v>130</v>
      </c>
      <c r="C10" s="68" t="s">
        <v>131</v>
      </c>
      <c r="D10" s="28">
        <v>2.25</v>
      </c>
      <c r="E10" s="50">
        <f>J10*K10*L10</f>
        <v>1.9782000000000001E-2</v>
      </c>
      <c r="F10" s="15" t="s">
        <v>104</v>
      </c>
      <c r="G10" s="15"/>
      <c r="H10" s="17"/>
      <c r="I10" s="53" t="s">
        <v>136</v>
      </c>
      <c r="J10" s="26">
        <f>20*42/1000000</f>
        <v>8.4000000000000003E-4</v>
      </c>
      <c r="K10" s="63">
        <f>3/1000</f>
        <v>3.0000000000000001E-3</v>
      </c>
      <c r="L10" s="20">
        <v>7850</v>
      </c>
      <c r="M10" s="20">
        <v>1</v>
      </c>
      <c r="N10" s="52">
        <f>IF(J10="",D10*M10,D10*J10*K10*L10*M10)</f>
        <v>4.4509500000000007E-2</v>
      </c>
    </row>
    <row r="11" spans="1:14" ht="15" customHeight="1" x14ac:dyDescent="0.3">
      <c r="A11" s="58"/>
      <c r="B11" s="58"/>
      <c r="C11" s="58"/>
      <c r="D11" s="58"/>
      <c r="E11" s="58"/>
      <c r="F11" s="58"/>
      <c r="G11" s="58"/>
      <c r="H11" s="58"/>
      <c r="I11" s="69"/>
      <c r="J11" s="58"/>
      <c r="K11" s="58"/>
      <c r="L11" s="58"/>
      <c r="M11" s="85" t="s">
        <v>23</v>
      </c>
      <c r="N11" s="84">
        <f>N10</f>
        <v>4.4509500000000007E-2</v>
      </c>
    </row>
    <row r="12" spans="1:14" ht="15" customHeight="1" x14ac:dyDescent="0.3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</row>
    <row r="13" spans="1:14" ht="15" customHeight="1" x14ac:dyDescent="0.3">
      <c r="A13" s="82" t="s">
        <v>19</v>
      </c>
      <c r="B13" s="83" t="s">
        <v>58</v>
      </c>
      <c r="C13" s="83" t="s">
        <v>29</v>
      </c>
      <c r="D13" s="83" t="s">
        <v>30</v>
      </c>
      <c r="E13" s="83" t="s">
        <v>59</v>
      </c>
      <c r="F13" s="83" t="s">
        <v>22</v>
      </c>
      <c r="G13" s="83" t="s">
        <v>60</v>
      </c>
      <c r="H13" s="83" t="s">
        <v>61</v>
      </c>
      <c r="I13" s="83" t="s">
        <v>23</v>
      </c>
      <c r="J13" s="58"/>
      <c r="K13" s="58"/>
      <c r="L13" s="58"/>
      <c r="M13" s="58"/>
      <c r="N13" s="58"/>
    </row>
    <row r="14" spans="1:14" ht="15" customHeight="1" x14ac:dyDescent="0.3">
      <c r="A14" s="15">
        <v>10</v>
      </c>
      <c r="B14" s="64" t="s">
        <v>122</v>
      </c>
      <c r="C14" s="32" t="s">
        <v>132</v>
      </c>
      <c r="D14" s="16">
        <v>1.3</v>
      </c>
      <c r="E14" s="15" t="s">
        <v>59</v>
      </c>
      <c r="F14" s="15">
        <v>1</v>
      </c>
      <c r="G14" s="15"/>
      <c r="H14" s="15"/>
      <c r="I14" s="52">
        <f>IF(H14="",D14*F14,D14*F14*H14)</f>
        <v>1.3</v>
      </c>
      <c r="J14" s="40"/>
      <c r="K14" s="40"/>
      <c r="L14" s="40"/>
      <c r="M14" s="40"/>
      <c r="N14" s="40"/>
    </row>
    <row r="15" spans="1:14" ht="15" customHeight="1" x14ac:dyDescent="0.3">
      <c r="A15" s="15">
        <v>20</v>
      </c>
      <c r="B15" s="32" t="s">
        <v>115</v>
      </c>
      <c r="C15" s="32" t="s">
        <v>133</v>
      </c>
      <c r="D15" s="16">
        <v>0.01</v>
      </c>
      <c r="E15" s="15" t="s">
        <v>64</v>
      </c>
      <c r="F15" s="15">
        <v>16.2</v>
      </c>
      <c r="G15" s="15" t="s">
        <v>134</v>
      </c>
      <c r="H15" s="15">
        <v>3</v>
      </c>
      <c r="I15" s="52">
        <f>IF(H15="",D15*F15,D15*F15*H15)</f>
        <v>0.48599999999999999</v>
      </c>
      <c r="J15" s="40"/>
      <c r="K15" s="40"/>
      <c r="L15" s="40"/>
      <c r="M15" s="40"/>
      <c r="N15" s="40"/>
    </row>
    <row r="16" spans="1:14" ht="15" customHeight="1" x14ac:dyDescent="0.3">
      <c r="A16" s="58"/>
      <c r="B16" s="58"/>
      <c r="C16" s="58"/>
      <c r="D16" s="58"/>
      <c r="E16" s="58"/>
      <c r="F16" s="58"/>
      <c r="G16" s="58"/>
      <c r="H16" s="85" t="s">
        <v>23</v>
      </c>
      <c r="I16" s="84">
        <f>I14+I15</f>
        <v>1.786</v>
      </c>
      <c r="J16" s="58"/>
      <c r="K16" s="58"/>
      <c r="L16" s="58"/>
      <c r="M16" s="58"/>
      <c r="N16" s="58"/>
    </row>
    <row r="17" spans="1:14" ht="15" customHeight="1" x14ac:dyDescent="0.3">
      <c r="A17" s="40"/>
      <c r="B17" s="40"/>
      <c r="C17" s="40"/>
      <c r="D17" s="40"/>
      <c r="E17" s="40"/>
      <c r="F17" s="40"/>
      <c r="G17" s="40"/>
      <c r="H17" s="41"/>
      <c r="I17" s="42"/>
      <c r="J17" s="40"/>
      <c r="K17" s="40"/>
      <c r="L17" s="40"/>
      <c r="M17" s="40"/>
      <c r="N17" s="40"/>
    </row>
  </sheetData>
  <hyperlinks>
    <hyperlink ref="F1" location="BOM!A1" display="Back to BOM"/>
    <hyperlink ref="B3" location="'EN A0004'!A1" display="Fuel System"/>
    <hyperlink ref="D2" location="'EN 04003 Drawing'!A1" display="FileLink1"/>
  </hyperlinks>
  <printOptions horizontalCentered="1"/>
  <pageMargins left="0.3" right="0.3" top="0.3" bottom="0.4" header="0.2" footer="0.2"/>
  <pageSetup paperSize="9" scale="75" orientation="landscape" horizontalDpi="0" verticalDpi="0"/>
  <headerFoot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"/>
  <sheetViews>
    <sheetView zoomScale="90" zoomScaleNormal="90" zoomScalePageLayoutView="49" workbookViewId="0">
      <selection activeCell="K23" sqref="K23"/>
    </sheetView>
  </sheetViews>
  <sheetFormatPr baseColWidth="10" defaultRowHeight="14.4" x14ac:dyDescent="0.3"/>
  <sheetData>
    <row r="1" spans="1:1" x14ac:dyDescent="0.3">
      <c r="A1" s="44" t="s">
        <v>129</v>
      </c>
    </row>
  </sheetData>
  <hyperlinks>
    <hyperlink ref="A1" location="'EN 04003'!A1" display="EN 04003"/>
  </hyperlinks>
  <printOptions horizontalCentered="1"/>
  <pageMargins left="0.3" right="0.3" top="0.3" bottom="0.4" header="0.2" footer="0.2"/>
  <pageSetup paperSize="9" scale="88" orientation="landscape" horizontalDpi="0" verticalDpi="0"/>
  <headerFooter>
    <oddFooter>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:N16"/>
  <sheetViews>
    <sheetView tabSelected="1" zoomScale="70" zoomScaleNormal="70" zoomScalePageLayoutView="49" workbookViewId="0">
      <selection activeCell="N9" sqref="A9:N9"/>
    </sheetView>
  </sheetViews>
  <sheetFormatPr baseColWidth="10" defaultRowHeight="15" customHeight="1" x14ac:dyDescent="0.3"/>
  <cols>
    <col min="1" max="1" width="15.33203125" bestFit="1" customWidth="1"/>
    <col min="2" max="2" width="36.33203125" bestFit="1" customWidth="1"/>
    <col min="3" max="3" width="20.77734375" bestFit="1" customWidth="1"/>
    <col min="4" max="4" width="13.77734375" bestFit="1" customWidth="1"/>
    <col min="6" max="6" width="13.44140625" bestFit="1" customWidth="1"/>
    <col min="7" max="7" width="15.44140625" bestFit="1" customWidth="1"/>
    <col min="8" max="8" width="14.109375" bestFit="1" customWidth="1"/>
    <col min="9" max="9" width="28.109375" bestFit="1" customWidth="1"/>
    <col min="10" max="10" width="13.77734375" bestFit="1" customWidth="1"/>
    <col min="11" max="11" width="11" bestFit="1" customWidth="1"/>
    <col min="12" max="12" width="11.77734375" bestFit="1" customWidth="1"/>
    <col min="13" max="13" width="20.33203125" bestFit="1" customWidth="1"/>
    <col min="14" max="14" width="14.109375" bestFit="1" customWidth="1"/>
  </cols>
  <sheetData>
    <row r="1" spans="1:14" ht="15" customHeight="1" x14ac:dyDescent="0.3">
      <c r="A1" s="79" t="s">
        <v>0</v>
      </c>
      <c r="B1" s="40" t="s">
        <v>1</v>
      </c>
      <c r="C1" s="40"/>
      <c r="D1" s="40"/>
      <c r="E1" s="40"/>
      <c r="F1" s="2" t="s">
        <v>2</v>
      </c>
      <c r="G1" s="40"/>
      <c r="H1" s="40"/>
      <c r="I1" s="40"/>
      <c r="J1" s="81" t="s">
        <v>3</v>
      </c>
      <c r="K1" s="41">
        <v>81</v>
      </c>
      <c r="L1" s="40"/>
      <c r="M1" s="79" t="s">
        <v>21</v>
      </c>
      <c r="N1" s="42">
        <f>N11+I16</f>
        <v>1.5539844999999999</v>
      </c>
    </row>
    <row r="2" spans="1:14" ht="15" customHeight="1" x14ac:dyDescent="0.3">
      <c r="A2" s="80" t="s">
        <v>5</v>
      </c>
      <c r="B2" s="40" t="s">
        <v>6</v>
      </c>
      <c r="C2" s="41" t="s">
        <v>128</v>
      </c>
      <c r="D2" s="91" t="s">
        <v>10</v>
      </c>
      <c r="E2" s="40"/>
      <c r="F2" s="40"/>
      <c r="G2" s="40"/>
      <c r="H2" s="40"/>
      <c r="I2" s="40"/>
      <c r="J2" s="40"/>
      <c r="K2" s="40"/>
      <c r="L2" s="40"/>
      <c r="M2" s="80" t="s">
        <v>7</v>
      </c>
      <c r="N2" s="43">
        <v>1</v>
      </c>
    </row>
    <row r="3" spans="1:14" ht="15" customHeight="1" x14ac:dyDescent="0.3">
      <c r="A3" s="80" t="s">
        <v>8</v>
      </c>
      <c r="B3" s="44" t="s">
        <v>9</v>
      </c>
      <c r="C3" s="40"/>
      <c r="D3" s="80" t="s">
        <v>13</v>
      </c>
      <c r="E3" s="40"/>
      <c r="F3" s="40"/>
      <c r="G3" s="40"/>
      <c r="H3" s="40"/>
      <c r="I3" s="40"/>
      <c r="J3" s="79" t="s">
        <v>10</v>
      </c>
      <c r="K3" s="40"/>
      <c r="L3" s="40"/>
      <c r="M3" s="40"/>
      <c r="N3" s="40"/>
    </row>
    <row r="4" spans="1:14" ht="15" customHeight="1" x14ac:dyDescent="0.3">
      <c r="A4" s="80" t="s">
        <v>20</v>
      </c>
      <c r="B4" s="66" t="s">
        <v>27</v>
      </c>
      <c r="C4" s="40"/>
      <c r="D4" s="80" t="s">
        <v>17</v>
      </c>
      <c r="E4" s="40"/>
      <c r="F4" s="40"/>
      <c r="G4" s="40"/>
      <c r="H4" s="40"/>
      <c r="I4" s="40"/>
      <c r="J4" s="80" t="s">
        <v>13</v>
      </c>
      <c r="K4" s="40"/>
      <c r="L4" s="40"/>
      <c r="M4" s="79" t="s">
        <v>14</v>
      </c>
      <c r="N4" s="42">
        <f>N1*N2</f>
        <v>1.5539844999999999</v>
      </c>
    </row>
    <row r="5" spans="1:14" ht="15" customHeight="1" x14ac:dyDescent="0.3">
      <c r="A5" s="80" t="s">
        <v>11</v>
      </c>
      <c r="B5" s="45" t="s">
        <v>135</v>
      </c>
      <c r="C5" s="40"/>
      <c r="D5" s="40"/>
      <c r="E5" s="40"/>
      <c r="F5" s="40"/>
      <c r="G5" s="40"/>
      <c r="H5" s="40"/>
      <c r="I5" s="40"/>
      <c r="J5" s="80" t="s">
        <v>17</v>
      </c>
      <c r="K5" s="40"/>
      <c r="L5" s="40"/>
      <c r="M5" s="40"/>
      <c r="N5" s="40"/>
    </row>
    <row r="6" spans="1:14" ht="15" customHeight="1" x14ac:dyDescent="0.3">
      <c r="A6" s="80" t="s">
        <v>15</v>
      </c>
      <c r="B6" s="40" t="s">
        <v>16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</row>
    <row r="7" spans="1:14" ht="15" customHeight="1" x14ac:dyDescent="0.3">
      <c r="A7" s="80" t="s">
        <v>18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</row>
    <row r="8" spans="1:14" ht="15" customHeight="1" x14ac:dyDescent="0.3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</row>
    <row r="9" spans="1:14" ht="15" customHeight="1" x14ac:dyDescent="0.3">
      <c r="A9" s="82" t="s">
        <v>19</v>
      </c>
      <c r="B9" s="83" t="s">
        <v>28</v>
      </c>
      <c r="C9" s="83" t="s">
        <v>29</v>
      </c>
      <c r="D9" s="83" t="s">
        <v>30</v>
      </c>
      <c r="E9" s="83" t="s">
        <v>31</v>
      </c>
      <c r="F9" s="83" t="s">
        <v>32</v>
      </c>
      <c r="G9" s="83" t="s">
        <v>33</v>
      </c>
      <c r="H9" s="83" t="s">
        <v>34</v>
      </c>
      <c r="I9" s="83" t="s">
        <v>35</v>
      </c>
      <c r="J9" s="83" t="s">
        <v>36</v>
      </c>
      <c r="K9" s="83" t="s">
        <v>37</v>
      </c>
      <c r="L9" s="83" t="s">
        <v>38</v>
      </c>
      <c r="M9" s="83" t="s">
        <v>22</v>
      </c>
      <c r="N9" s="83" t="s">
        <v>23</v>
      </c>
    </row>
    <row r="10" spans="1:14" ht="15" customHeight="1" x14ac:dyDescent="0.3">
      <c r="A10" s="70">
        <v>10</v>
      </c>
      <c r="B10" s="46" t="s">
        <v>102</v>
      </c>
      <c r="C10" s="68" t="s">
        <v>131</v>
      </c>
      <c r="D10" s="71">
        <v>2.25</v>
      </c>
      <c r="E10" s="48">
        <f>J10*K10*L10</f>
        <v>4.0819999999999997E-3</v>
      </c>
      <c r="F10" s="15" t="s">
        <v>104</v>
      </c>
      <c r="G10" s="15"/>
      <c r="H10" s="15"/>
      <c r="I10" s="53" t="s">
        <v>137</v>
      </c>
      <c r="J10" s="49">
        <f>13*20/1000000</f>
        <v>2.5999999999999998E-4</v>
      </c>
      <c r="K10" s="15">
        <f>2/1000</f>
        <v>2E-3</v>
      </c>
      <c r="L10" s="15">
        <v>7850</v>
      </c>
      <c r="M10" s="72">
        <v>1</v>
      </c>
      <c r="N10" s="52">
        <f>L10*K10*J10*D10</f>
        <v>9.1845E-3</v>
      </c>
    </row>
    <row r="11" spans="1:14" ht="15" customHeight="1" x14ac:dyDescent="0.3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85" t="s">
        <v>23</v>
      </c>
      <c r="N11" s="84">
        <f>N10</f>
        <v>9.1845E-3</v>
      </c>
    </row>
    <row r="12" spans="1:14" ht="15" customHeight="1" x14ac:dyDescent="0.3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</row>
    <row r="13" spans="1:14" ht="15" customHeight="1" x14ac:dyDescent="0.3">
      <c r="A13" s="82" t="s">
        <v>19</v>
      </c>
      <c r="B13" s="83" t="s">
        <v>58</v>
      </c>
      <c r="C13" s="83" t="s">
        <v>29</v>
      </c>
      <c r="D13" s="83" t="s">
        <v>30</v>
      </c>
      <c r="E13" s="83" t="s">
        <v>59</v>
      </c>
      <c r="F13" s="83" t="s">
        <v>22</v>
      </c>
      <c r="G13" s="83" t="s">
        <v>60</v>
      </c>
      <c r="H13" s="83" t="s">
        <v>61</v>
      </c>
      <c r="I13" s="83" t="s">
        <v>23</v>
      </c>
      <c r="J13" s="58"/>
      <c r="K13" s="58"/>
      <c r="L13" s="58"/>
      <c r="M13" s="58"/>
      <c r="N13" s="58"/>
    </row>
    <row r="14" spans="1:14" ht="15" customHeight="1" x14ac:dyDescent="0.3">
      <c r="A14" s="15">
        <v>10</v>
      </c>
      <c r="B14" s="64" t="s">
        <v>122</v>
      </c>
      <c r="C14" s="32" t="s">
        <v>132</v>
      </c>
      <c r="D14" s="16">
        <v>1.3</v>
      </c>
      <c r="E14" s="15" t="s">
        <v>59</v>
      </c>
      <c r="F14" s="15">
        <v>1</v>
      </c>
      <c r="G14" s="15"/>
      <c r="H14" s="15"/>
      <c r="I14" s="52">
        <f>IF(H14="",D14*F14,D14*F14*H14)</f>
        <v>1.3</v>
      </c>
      <c r="J14" s="40"/>
      <c r="K14" s="40"/>
      <c r="L14" s="40"/>
      <c r="M14" s="40"/>
      <c r="N14" s="40"/>
    </row>
    <row r="15" spans="1:14" ht="15" customHeight="1" x14ac:dyDescent="0.3">
      <c r="A15" s="15">
        <v>20</v>
      </c>
      <c r="B15" s="32" t="s">
        <v>115</v>
      </c>
      <c r="C15" s="32" t="s">
        <v>133</v>
      </c>
      <c r="D15" s="16">
        <v>0.01</v>
      </c>
      <c r="E15" s="15" t="s">
        <v>64</v>
      </c>
      <c r="F15" s="15">
        <v>8.16</v>
      </c>
      <c r="G15" s="15" t="s">
        <v>134</v>
      </c>
      <c r="H15" s="15">
        <v>3</v>
      </c>
      <c r="I15" s="52">
        <f>IF(H15="",D15*F15,D15*F15*H15)</f>
        <v>0.24480000000000002</v>
      </c>
      <c r="J15" s="40"/>
      <c r="K15" s="40"/>
      <c r="L15" s="40"/>
      <c r="M15" s="40"/>
      <c r="N15" s="40"/>
    </row>
    <row r="16" spans="1:14" ht="15" customHeight="1" x14ac:dyDescent="0.3">
      <c r="A16" s="58"/>
      <c r="B16" s="58"/>
      <c r="C16" s="58"/>
      <c r="D16" s="58"/>
      <c r="E16" s="58"/>
      <c r="F16" s="58"/>
      <c r="G16" s="58"/>
      <c r="H16" s="85" t="s">
        <v>23</v>
      </c>
      <c r="I16" s="84">
        <f>SUM(I14:I15)</f>
        <v>1.5448</v>
      </c>
      <c r="J16" s="58"/>
      <c r="K16" s="58"/>
      <c r="L16" s="58"/>
      <c r="M16" s="58"/>
      <c r="N16" s="58"/>
    </row>
  </sheetData>
  <hyperlinks>
    <hyperlink ref="F1" location="BOM!A1" display="Back to BOM"/>
    <hyperlink ref="B3" location="'EN A0004'!A1" display="Fuel System"/>
    <hyperlink ref="D2" location="'EN 04004 Drawing'!A1" display="FileLink1"/>
  </hyperlinks>
  <printOptions horizontalCentered="1"/>
  <pageMargins left="0.3" right="0.3" top="0.3" bottom="0.4" header="0.2" footer="0.2"/>
  <pageSetup paperSize="9" scale="74" orientation="landscape" horizontalDpi="0" verticalDpi="0"/>
  <headerFoot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"/>
  <sheetViews>
    <sheetView zoomScale="90" zoomScaleNormal="90" zoomScalePageLayoutView="49" workbookViewId="0">
      <selection activeCell="I35" sqref="I35"/>
    </sheetView>
  </sheetViews>
  <sheetFormatPr baseColWidth="10" defaultRowHeight="14.4" x14ac:dyDescent="0.3"/>
  <sheetData>
    <row r="1" spans="1:1" x14ac:dyDescent="0.3">
      <c r="A1" s="44" t="s">
        <v>135</v>
      </c>
    </row>
  </sheetData>
  <hyperlinks>
    <hyperlink ref="A1" location="'EN 04004'!A1" display="EN 04004"/>
  </hyperlinks>
  <printOptions horizontalCentered="1"/>
  <pageMargins left="0.3" right="0.3" top="0.3" bottom="0.4" header="0.2" footer="0.2"/>
  <pageSetup paperSize="9" scale="86" orientation="landscape" horizontalDpi="0" verticalDpi="0"/>
  <headerFoot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EN A0004</vt:lpstr>
      <vt:lpstr>EN 04001</vt:lpstr>
      <vt:lpstr>EN 04002</vt:lpstr>
      <vt:lpstr>EN 04003</vt:lpstr>
      <vt:lpstr>EN 04003 Drawing</vt:lpstr>
      <vt:lpstr>EN 04004</vt:lpstr>
      <vt:lpstr>EN 04004 Drawing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2018-04-30T14:39:07Z</dcterms:created>
  <dcterms:modified xsi:type="dcterms:W3CDTF">2018-04-30T17:02:22Z</dcterms:modified>
</cp:coreProperties>
</file>