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MS - Miscellanous, Finish &amp; Assembly\Cost\"/>
    </mc:Choice>
  </mc:AlternateContent>
  <bookViews>
    <workbookView xWindow="4740" yWindow="60" windowWidth="16380" windowHeight="8196" firstSheet="1" activeTab="1"/>
  </bookViews>
  <sheets>
    <sheet name="Instructions" sheetId="7" r:id="rId1"/>
    <sheet name="BOM" sheetId="8" r:id="rId2"/>
    <sheet name="MS_A0100" sheetId="1" r:id="rId3"/>
    <sheet name="MS_0100_001" sheetId="2" r:id="rId4"/>
    <sheet name="dMS_0100_001" sheetId="9" r:id="rId5"/>
    <sheet name="MS_0100_002" sheetId="13" r:id="rId6"/>
    <sheet name="dMS_0100_002" sheetId="14" r:id="rId7"/>
    <sheet name="MS_0100_003" sheetId="15" r:id="rId8"/>
    <sheet name="dMS_0100_003" sheetId="33" r:id="rId9"/>
    <sheet name="MS_0100_004" sheetId="20" r:id="rId10"/>
    <sheet name="dMS_0100_004" sheetId="34" r:id="rId11"/>
    <sheet name="MS_0100_005" sheetId="21" r:id="rId12"/>
    <sheet name="dMS_0100_005" sheetId="35" r:id="rId13"/>
    <sheet name="MS_0100_006" sheetId="22" r:id="rId14"/>
    <sheet name="dMS_0100_006" sheetId="36" r:id="rId15"/>
    <sheet name="MS_0100_007" sheetId="23" r:id="rId16"/>
    <sheet name="dMS_0100_007" sheetId="37" r:id="rId17"/>
    <sheet name="MS_0100_008" sheetId="24" r:id="rId18"/>
    <sheet name="dMS_0100_008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MS_0100_001">MS_0100_001!$B$6</definedName>
    <definedName name="MS_0100_001_m">MS_0100_001!$N$12</definedName>
    <definedName name="MS_0100_001_p">MS_0100_001!$I$18</definedName>
    <definedName name="MS_0100_001_q">MS_0100_001!$N$3</definedName>
    <definedName name="MS_0100_002">MS_0100_002!$B$6</definedName>
    <definedName name="MS_0100_002_m">MS_0100_002!$N$12</definedName>
    <definedName name="MS_0100_002_p">MS_0100_002!$I$17</definedName>
    <definedName name="MS_0100_002_q">MS_0100_002!$N$3</definedName>
    <definedName name="MS_0100_003">MS_0100_003!$B$6</definedName>
    <definedName name="MS_0100_003_m">MS_0100_003!$N$12</definedName>
    <definedName name="MS_0100_003_p">MS_0100_003!$I$18</definedName>
    <definedName name="MS_0100_003_q">MS_0100_003!$N$3</definedName>
    <definedName name="MS_0100_004">MS_0100_004!$B$6</definedName>
    <definedName name="MS_0100_004_m">MS_0100_004!$N$12</definedName>
    <definedName name="MS_0100_004_p">MS_0100_004!$I$17</definedName>
    <definedName name="MS_0100_004_q">MS_0100_004!$N$3</definedName>
    <definedName name="MS_0100_005">MS_0100_005!$B$6</definedName>
    <definedName name="MS_0100_005_m">MS_0100_005!$N$12</definedName>
    <definedName name="MS_0100_005_p">MS_0100_005!$I$17</definedName>
    <definedName name="MS_0100_005_q">MS_0100_005!$N$3</definedName>
    <definedName name="MS_0100_006">MS_0100_006!$B$6</definedName>
    <definedName name="MS_0100_006_m">MS_0100_006!$N$12</definedName>
    <definedName name="MS_0100_006_p">MS_0100_006!$I$17</definedName>
    <definedName name="MS_0100_006_q">MS_0100_006!$N$3</definedName>
    <definedName name="MS_0100_007">MS_0100_007!$B$6</definedName>
    <definedName name="MS_0100_007_m">MS_0100_007!$N$12</definedName>
    <definedName name="MS_0100_007_p">MS_0100_007!$I$17</definedName>
    <definedName name="MS_0100_007_q">MS_0100_007!$N$3</definedName>
    <definedName name="MS_0100_008">MS_0100_008!$B$6</definedName>
    <definedName name="MS_0100_008_m">MS_0100_008!$N$12</definedName>
    <definedName name="MS_0100_008_p">MS_0100_008!$I$17</definedName>
    <definedName name="MS_0100_008_q">MS_0100_008!$N$3</definedName>
    <definedName name="MS_A0100">MS_A0100!$B$5</definedName>
    <definedName name="MS_A0100_f">MS_A0100!$J$65</definedName>
    <definedName name="MS_A0100_m">MS_A0100!$N$24</definedName>
    <definedName name="MS_A0100_p">MS_A0100!$I$59</definedName>
    <definedName name="MS_A0100_pa">MS_A0100!$E$18</definedName>
    <definedName name="MS_A0100_q">MS_A0100!$N$3</definedName>
    <definedName name="MS_A0100_t">MS_A0100!$I$69</definedName>
    <definedName name="nbtgv">#REF!</definedName>
    <definedName name="P_N_Base">MS_A0100!$A$5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N24" i="1" l="1"/>
  <c r="N23" i="1"/>
  <c r="I58" i="1"/>
  <c r="J11" i="23"/>
  <c r="N11" i="23" s="1"/>
  <c r="N12" i="23" s="1"/>
  <c r="J11" i="24"/>
  <c r="I17" i="2"/>
  <c r="I17" i="15"/>
  <c r="F16" i="15"/>
  <c r="F16" i="13"/>
  <c r="F16" i="2"/>
  <c r="M22" i="1"/>
  <c r="N22" i="1" s="1"/>
  <c r="M21" i="1"/>
  <c r="E21" i="1"/>
  <c r="I49" i="1"/>
  <c r="I50" i="1"/>
  <c r="I51" i="1"/>
  <c r="I52" i="1"/>
  <c r="I53" i="1"/>
  <c r="I54" i="1"/>
  <c r="I55" i="1"/>
  <c r="I56" i="1"/>
  <c r="I57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F68" i="1"/>
  <c r="E22" i="1"/>
  <c r="F30" i="1"/>
  <c r="F29" i="1"/>
  <c r="F27" i="1"/>
  <c r="F28" i="1"/>
  <c r="I29" i="1"/>
  <c r="I15" i="8" l="1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N21" i="1" l="1"/>
  <c r="D17" i="1" l="1"/>
  <c r="I16" i="24"/>
  <c r="I15" i="24"/>
  <c r="N11" i="24"/>
  <c r="N12" i="24" s="1"/>
  <c r="J15" i="8" s="1"/>
  <c r="B4" i="24"/>
  <c r="B3" i="24"/>
  <c r="D16" i="1"/>
  <c r="I16" i="23"/>
  <c r="I15" i="23"/>
  <c r="J14" i="8"/>
  <c r="B4" i="23"/>
  <c r="B3" i="23"/>
  <c r="D15" i="1"/>
  <c r="I16" i="22"/>
  <c r="I15" i="22"/>
  <c r="N11" i="22"/>
  <c r="N12" i="22" s="1"/>
  <c r="J13" i="8" s="1"/>
  <c r="B4" i="22"/>
  <c r="B3" i="22"/>
  <c r="D11" i="1"/>
  <c r="D14" i="1"/>
  <c r="I16" i="21"/>
  <c r="I15" i="21"/>
  <c r="N11" i="21"/>
  <c r="N12" i="21" s="1"/>
  <c r="J12" i="8" s="1"/>
  <c r="B4" i="21"/>
  <c r="B3" i="21"/>
  <c r="D12" i="1"/>
  <c r="D13" i="1"/>
  <c r="I16" i="20"/>
  <c r="I15" i="20"/>
  <c r="I17" i="20" s="1"/>
  <c r="N11" i="20"/>
  <c r="N12" i="20" s="1"/>
  <c r="J11" i="8" s="1"/>
  <c r="B4" i="20"/>
  <c r="B3" i="20"/>
  <c r="N11" i="15"/>
  <c r="N12" i="15" s="1"/>
  <c r="J10" i="8" s="1"/>
  <c r="I15" i="15"/>
  <c r="I16" i="15"/>
  <c r="I18" i="15" s="1"/>
  <c r="B4" i="15"/>
  <c r="B3" i="15"/>
  <c r="I17" i="21" l="1"/>
  <c r="I17" i="24"/>
  <c r="K15" i="8" s="1"/>
  <c r="N2" i="24"/>
  <c r="N5" i="24" s="1"/>
  <c r="I17" i="23"/>
  <c r="K14" i="8" s="1"/>
  <c r="I17" i="22"/>
  <c r="K13" i="8" s="1"/>
  <c r="K10" i="8"/>
  <c r="I9" i="8"/>
  <c r="F9" i="8"/>
  <c r="D10" i="1"/>
  <c r="I15" i="13"/>
  <c r="I16" i="13"/>
  <c r="N11" i="13"/>
  <c r="N12" i="13" s="1"/>
  <c r="N11" i="2"/>
  <c r="B4" i="13"/>
  <c r="B3" i="13"/>
  <c r="I17" i="13" l="1"/>
  <c r="K9" i="8" s="1"/>
  <c r="N2" i="13"/>
  <c r="C11" i="1" s="1"/>
  <c r="N2" i="23"/>
  <c r="N5" i="23" s="1"/>
  <c r="N2" i="21"/>
  <c r="N5" i="21" s="1"/>
  <c r="K12" i="8"/>
  <c r="N2" i="22"/>
  <c r="N5" i="22" s="1"/>
  <c r="N2" i="20"/>
  <c r="N5" i="20" s="1"/>
  <c r="K11" i="8"/>
  <c r="C17" i="1"/>
  <c r="J9" i="8"/>
  <c r="N2" i="15"/>
  <c r="D64" i="1"/>
  <c r="J64" i="1" s="1"/>
  <c r="D62" i="1"/>
  <c r="J63" i="1"/>
  <c r="N5" i="13" l="1"/>
  <c r="N5" i="15"/>
  <c r="C12" i="1"/>
  <c r="C14" i="1"/>
  <c r="C16" i="1"/>
  <c r="C15" i="1"/>
  <c r="C13" i="1"/>
  <c r="J62" i="1"/>
  <c r="I30" i="1" l="1"/>
  <c r="I31" i="1"/>
  <c r="I59" i="1" s="1"/>
  <c r="I32" i="1"/>
  <c r="I28" i="1"/>
  <c r="I33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6" i="2"/>
  <c r="I18" i="2" s="1"/>
  <c r="I15" i="2"/>
  <c r="N12" i="2"/>
  <c r="I68" i="1"/>
  <c r="J65" i="1"/>
  <c r="L7" i="8" s="1"/>
  <c r="I27" i="1"/>
  <c r="K7" i="8" l="1"/>
  <c r="J8" i="8"/>
  <c r="L16" i="8"/>
  <c r="I69" i="1"/>
  <c r="K8" i="8"/>
  <c r="J7" i="8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<sst xmlns="http://schemas.openxmlformats.org/spreadsheetml/2006/main" count="747" uniqueCount="215">
  <si>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</si>
  <si>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</si>
  <si>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</si>
  <si>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</si>
  <si>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</si>
  <si>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</si>
  <si>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</si>
  <si>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</si>
  <si>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</si>
  <si>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</si>
  <si>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</si>
  <si>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</si>
  <si>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</si>
  <si>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</si>
  <si>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</si>
  <si>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</si>
  <si>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</si>
  <si>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</si>
  <si>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</si>
  <si>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</si>
  <si>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</si>
  <si>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</si>
  <si>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</si>
  <si>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</si>
  <si>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</si>
  <si>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</si>
  <si>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</si>
  <si>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</si>
  <si>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</si>
  <si>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</si>
  <si>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</si>
  <si>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</si>
  <si>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</si>
  <si>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</si>
  <si>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</si>
  <si>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</si>
  <si>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</si>
  <si>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</si>
  <si>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</si>
  <si>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</si>
  <si>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</si>
  <si>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</si>
  <si>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</si>
  <si>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</si>
  <si>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</si>
  <si>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</si>
  <si>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</si>
  <si>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</si>
  <si>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</si>
  <si>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</si>
  <si>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</si>
  <si>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</si>
  <si>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</si>
  <si>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</si>
  <si>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</si>
  <si>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</si>
  <si>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</si>
  <si>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</si>
  <si>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</si>
  <si>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</si>
  <si>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</si>
  <si>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</si>
  <si>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</si>
  <si>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</si>
  <si>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</si>
  <si>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</si>
  <si>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</si>
  <si>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</si>
  <si>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</si>
  <si>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</si>
  <si>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</si>
  <si>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</si>
  <si>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</si>
  <si>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</si>
  <si>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</si>
  <si>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</si>
  <si>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</si>
  <si>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</si>
  <si>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</si>
  <si>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</si>
  <si>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</si>
  <si>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</si>
  <si>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</si>
  <si>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</si>
  <si>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</si>
  <si>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</si>
  <si>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</si>
  <si>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</si>
  <si>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</si>
  <si>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</si>
  <si>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</si>
  <si>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</si>
  <si>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</si>
  <si>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</si>
  <si>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</si>
  <si>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</si>
  <si>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</si>
  <si>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</si>
  <si>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</si>
  <si>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</si>
  <si>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</si>
  <si>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</si>
  <si>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</si>
  <si>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</si>
  <si>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</si>
  <si>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</si>
  <si>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</si>
  <si>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</si>
  <si>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</si>
  <si>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</si>
  <si>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</si>
  <si>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</si>
  <si>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</si>
  <si>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</si>
  <si>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</si>
  <si>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</si>
  <si>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</si>
  <si>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</si>
  <si>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</si>
  <si>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</si>
  <si>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</si>
  <si>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</si>
  <si>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</si>
  <si>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</si>
  <si>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</si>
  <si>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</si>
  <si>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</si>
  <si>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</si>
  <si>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</si>
  <si>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</si>
  <si>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</si>
  <si>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</si>
  <si>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</si>
  <si>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</si>
  <si>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</si>
  <si>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</si>
  <si>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</si>
  <si>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</si>
  <si>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</si>
  <si>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Assemble, 1 kg, Loose</t>
  </si>
  <si>
    <t>Reaction Tool &lt;= 25.4 mm</t>
  </si>
  <si>
    <t>Ratchet &lt;= 25.4 mm</t>
  </si>
  <si>
    <t>Aerosol Apply</t>
  </si>
  <si>
    <t>m^2</t>
  </si>
  <si>
    <t>Bolt, Grade 8.8 (SAE 5)</t>
  </si>
  <si>
    <t>Mounts welded to the chassis</t>
  </si>
  <si>
    <t>Aluminum, Normal (per kg)</t>
  </si>
  <si>
    <t xml:space="preserve">Drawing part : </t>
  </si>
  <si>
    <t>Sheet metal bends</t>
  </si>
  <si>
    <t>bend</t>
  </si>
  <si>
    <t>frontal area</t>
  </si>
  <si>
    <t>Steel, Alloy</t>
  </si>
  <si>
    <t xml:space="preserve">Drawing Part : </t>
  </si>
  <si>
    <t>Material - Steel</t>
  </si>
  <si>
    <t>Paint</t>
  </si>
  <si>
    <t>MS_A0100</t>
  </si>
  <si>
    <t>Firewall</t>
  </si>
  <si>
    <t>The assembly of the Firewall</t>
  </si>
  <si>
    <t>Firewall Up Bracket</t>
  </si>
  <si>
    <t>Firewall Middle Side</t>
  </si>
  <si>
    <t>Firewall Upper Side</t>
  </si>
  <si>
    <t>Firewall Bottom</t>
  </si>
  <si>
    <t>Firewall Middle</t>
  </si>
  <si>
    <t>Firewall Middle, Bottom and Sides Bracket</t>
  </si>
  <si>
    <t>Firewall Lower Side</t>
  </si>
  <si>
    <t>MS_0100_001</t>
  </si>
  <si>
    <t>MS_0100_002</t>
  </si>
  <si>
    <t>MS_0100_003</t>
  </si>
  <si>
    <t>MS_0100_004</t>
  </si>
  <si>
    <t>MS_0100_006</t>
  </si>
  <si>
    <t>MS_0100_008</t>
  </si>
  <si>
    <t>MS_0100_007</t>
  </si>
  <si>
    <t>Upper plate</t>
  </si>
  <si>
    <t>Middle plate</t>
  </si>
  <si>
    <t>Firewall Up</t>
  </si>
  <si>
    <t>Lower plate</t>
  </si>
  <si>
    <t>Upper side plate</t>
  </si>
  <si>
    <t>Middle side plate</t>
  </si>
  <si>
    <t>Lower side plate</t>
  </si>
  <si>
    <t>Bracket for the upper plate</t>
  </si>
  <si>
    <t>Bracket for the Middle, Bottom and Side plates</t>
  </si>
  <si>
    <t>MS_0100_005</t>
  </si>
  <si>
    <t>Welding the Firewall Up Brackets on the chassis</t>
  </si>
  <si>
    <t>Painting the Firewall Up Brackets</t>
  </si>
  <si>
    <t>Welding the Firewall Middle, Bottom and Sides Brackets on the chassis</t>
  </si>
  <si>
    <t>Painting the Firewall Middle, Bottom and Sides Brackets</t>
  </si>
  <si>
    <t>Fixing the Plates to the Brackets</t>
  </si>
  <si>
    <t>Positioning the Firewall Middle Plate on the Brackets</t>
  </si>
  <si>
    <t>Fixing the Firewall Middle Plate to the Brackets</t>
  </si>
  <si>
    <t>Positioning the Firewall Upper Plate on the Brackets</t>
  </si>
  <si>
    <t>Fixing the Firewall Upper Plate to the Brackets</t>
  </si>
  <si>
    <t>Positioning the Firewall Bottom Plate on the Brackets</t>
  </si>
  <si>
    <t>Fixing the Firewall Bottom Plate to the Brackets</t>
  </si>
  <si>
    <t>Positioning the Firewall Upper left Side Plate on the Brackets</t>
  </si>
  <si>
    <t>Fixing the Firewall Upper left Side Plate to the Brackets</t>
  </si>
  <si>
    <t>Positioning the Firewall Middle left Side Plate on the Brackets</t>
  </si>
  <si>
    <t>Fixing the Firewall Middle left Side Plate to the Brackets</t>
  </si>
  <si>
    <t>Positioning the Firewall Lower left Side Plate on the Brackets</t>
  </si>
  <si>
    <t>Fixing the Firewall Lower left Side Plate to the Brackets</t>
  </si>
  <si>
    <t>Positioning the Firewall Upper right Side Plate on the Brackets</t>
  </si>
  <si>
    <t>Fixing the Firewall Upper right Side Plate to the Brackets</t>
  </si>
  <si>
    <t>Positioning the Firewall Middle right Side Plate on the Brackets</t>
  </si>
  <si>
    <t>Fixing the Firewall Middle right Side Plate to the Brackets</t>
  </si>
  <si>
    <t>Positioning the Firewall Lower right Side Plate on the Brackets</t>
  </si>
  <si>
    <t>Fixing the Firewall Lower right Side Plate to the Brackets</t>
  </si>
  <si>
    <t>2 parts made from the same plate</t>
  </si>
  <si>
    <t>4 parts made from the same plate</t>
  </si>
  <si>
    <t>Frontal area</t>
  </si>
  <si>
    <t>kg</t>
  </si>
  <si>
    <t>Tape</t>
  </si>
  <si>
    <t>Sealing with aluminium tape</t>
  </si>
  <si>
    <t>m</t>
  </si>
  <si>
    <t>Assemble, 3 kg, Line-on-Line</t>
  </si>
  <si>
    <t>Aluminium tape (no price in the sheet…)</t>
  </si>
  <si>
    <t>Material -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</si>
</sst>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5" formatCode="0.00000"/>
    <numFmt numFmtId="176" formatCode="0.000000"/>
    <numFmt numFmtId="177" formatCode="_(* #,##0.0000_);_(* \(#,##0.0000\);_(* \-??_);_(@_)"/>
    <numFmt numFmtId="178" formatCode="_(* #,##0.00000_);_(* \(#,##0.00000\);_(* \-??_);_(@_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199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9" xfId="7" applyNumberFormat="1" applyFont="1" applyBorder="1" applyAlignment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11" fillId="0" borderId="33" xfId="1" applyFont="1" applyFill="1" applyBorder="1" applyProtection="1">
      <protection locked="0"/>
    </xf>
    <xf numFmtId="0" fontId="11" fillId="0" borderId="33" xfId="1" applyFont="1" applyFill="1" applyBorder="1" applyAlignment="1">
      <alignment horizontal="left"/>
    </xf>
    <xf numFmtId="18" fontId="11" fillId="0" borderId="33" xfId="1" applyNumberFormat="1" applyFont="1" applyFill="1" applyBorder="1" applyAlignment="1" applyProtection="1">
      <protection locked="0"/>
    </xf>
    <xf numFmtId="170" fontId="11" fillId="0" borderId="33" xfId="5" applyFont="1" applyFill="1" applyBorder="1" applyProtection="1">
      <protection locked="0"/>
    </xf>
    <xf numFmtId="0" fontId="11" fillId="0" borderId="33" xfId="1" applyFont="1" applyFill="1" applyBorder="1" applyAlignment="1" applyProtection="1">
      <alignment horizontal="center"/>
      <protection locked="0"/>
    </xf>
    <xf numFmtId="171" fontId="11" fillId="0" borderId="33" xfId="1" applyNumberFormat="1" applyFont="1" applyFill="1" applyBorder="1" applyAlignment="1">
      <alignment horizontal="right"/>
    </xf>
    <xf numFmtId="0" fontId="11" fillId="0" borderId="33" xfId="1" applyFont="1" applyFill="1" applyBorder="1" applyAlignment="1">
      <alignment horizontal="center"/>
    </xf>
    <xf numFmtId="0" fontId="18" fillId="9" borderId="0" xfId="8" applyFill="1"/>
    <xf numFmtId="0" fontId="25" fillId="0" borderId="35" xfId="9" applyFont="1" applyFill="1" applyBorder="1" applyAlignment="1">
      <alignment wrapText="1"/>
    </xf>
    <xf numFmtId="0" fontId="0" fillId="0" borderId="36" xfId="0" applyBorder="1"/>
    <xf numFmtId="0" fontId="25" fillId="0" borderId="36" xfId="0" applyFont="1" applyBorder="1"/>
    <xf numFmtId="0" fontId="25" fillId="0" borderId="36" xfId="9" applyFont="1" applyFill="1" applyBorder="1" applyAlignment="1">
      <alignment wrapText="1"/>
    </xf>
    <xf numFmtId="0" fontId="24" fillId="0" borderId="36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36" xfId="0" applyFont="1" applyBorder="1"/>
    <xf numFmtId="165" fontId="4" fillId="0" borderId="36" xfId="7" applyNumberFormat="1" applyFont="1" applyBorder="1" applyAlignment="1" applyProtection="1"/>
    <xf numFmtId="164" fontId="4" fillId="0" borderId="36" xfId="7" applyNumberFormat="1" applyFont="1" applyBorder="1" applyAlignment="1" applyProtection="1"/>
    <xf numFmtId="2" fontId="4" fillId="0" borderId="36" xfId="7" applyNumberFormat="1" applyFont="1" applyBorder="1" applyAlignment="1" applyProtection="1"/>
    <xf numFmtId="168" fontId="4" fillId="0" borderId="36" xfId="7" applyNumberFormat="1" applyFont="1" applyBorder="1" applyAlignment="1" applyProtection="1"/>
    <xf numFmtId="11" fontId="4" fillId="0" borderId="36" xfId="7" applyNumberFormat="1" applyFont="1" applyBorder="1" applyAlignment="1" applyProtection="1"/>
    <xf numFmtId="0" fontId="18" fillId="0" borderId="3" xfId="8" applyNumberFormat="1" applyBorder="1" applyAlignment="1" applyProtection="1">
      <alignment wrapText="1"/>
    </xf>
    <xf numFmtId="0" fontId="18" fillId="0" borderId="37" xfId="8" applyFill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164" fontId="4" fillId="0" borderId="32" xfId="7" applyNumberFormat="1" applyFont="1" applyBorder="1" applyAlignment="1" applyProtection="1"/>
    <xf numFmtId="2" fontId="4" fillId="0" borderId="32" xfId="7" applyNumberFormat="1" applyFont="1" applyBorder="1" applyAlignment="1" applyProtection="1"/>
    <xf numFmtId="168" fontId="4" fillId="0" borderId="32" xfId="7" applyNumberFormat="1" applyFont="1" applyBorder="1" applyAlignment="1" applyProtection="1"/>
    <xf numFmtId="11" fontId="4" fillId="0" borderId="32" xfId="7" applyNumberFormat="1" applyFont="1" applyBorder="1" applyAlignment="1" applyProtection="1"/>
    <xf numFmtId="11" fontId="0" fillId="0" borderId="15" xfId="0" applyNumberFormat="1" applyBorder="1"/>
    <xf numFmtId="175" fontId="4" fillId="0" borderId="32" xfId="0" applyNumberFormat="1" applyFont="1" applyBorder="1"/>
    <xf numFmtId="172" fontId="4" fillId="0" borderId="36" xfId="0" applyNumberFormat="1" applyFont="1" applyBorder="1"/>
    <xf numFmtId="172" fontId="0" fillId="0" borderId="15" xfId="0" applyNumberFormat="1" applyBorder="1"/>
    <xf numFmtId="0" fontId="0" fillId="0" borderId="36" xfId="7" applyNumberFormat="1" applyFont="1" applyBorder="1" applyAlignment="1">
      <alignment wrapText="1"/>
    </xf>
    <xf numFmtId="0" fontId="0" fillId="0" borderId="32" xfId="7" applyNumberFormat="1" applyFont="1" applyBorder="1" applyAlignment="1">
      <alignment wrapText="1"/>
    </xf>
    <xf numFmtId="0" fontId="0" fillId="0" borderId="32" xfId="0" applyBorder="1"/>
    <xf numFmtId="177" fontId="4" fillId="0" borderId="32" xfId="7" applyNumberFormat="1" applyFont="1" applyBorder="1" applyAlignment="1" applyProtection="1"/>
    <xf numFmtId="178" fontId="4" fillId="0" borderId="32" xfId="7" applyNumberFormat="1" applyFont="1" applyBorder="1" applyAlignment="1" applyProtection="1"/>
    <xf numFmtId="177" fontId="4" fillId="0" borderId="36" xfId="7" applyNumberFormat="1" applyFont="1" applyBorder="1" applyAlignment="1" applyProtection="1"/>
    <xf numFmtId="0" fontId="4" fillId="0" borderId="34" xfId="0" applyFont="1" applyBorder="1"/>
    <xf numFmtId="2" fontId="4" fillId="0" borderId="32" xfId="0" applyNumberFormat="1" applyFont="1" applyBorder="1"/>
    <xf numFmtId="2" fontId="4" fillId="0" borderId="36" xfId="0" applyNumberFormat="1" applyFont="1" applyBorder="1"/>
    <xf numFmtId="0" fontId="0" fillId="0" borderId="3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6" xfId="0" applyBorder="1" applyAlignment="1">
      <alignment wrapText="1"/>
    </xf>
    <xf numFmtId="165" fontId="4" fillId="0" borderId="36" xfId="7" applyNumberFormat="1" applyFont="1" applyBorder="1" applyAlignment="1" applyProtection="1">
      <alignment wrapText="1"/>
    </xf>
    <xf numFmtId="2" fontId="0" fillId="0" borderId="36" xfId="0" applyNumberFormat="1" applyBorder="1" applyAlignment="1">
      <alignment wrapText="1"/>
    </xf>
    <xf numFmtId="0" fontId="3" fillId="7" borderId="5" xfId="0" applyFont="1" applyFill="1" applyBorder="1" applyAlignment="1">
      <alignment horizontal="right"/>
    </xf>
    <xf numFmtId="165" fontId="3" fillId="7" borderId="5" xfId="0" applyNumberFormat="1" applyFont="1" applyFill="1" applyBorder="1"/>
    <xf numFmtId="172" fontId="4" fillId="0" borderId="32" xfId="0" applyNumberFormat="1" applyFont="1" applyBorder="1"/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S_0100_001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S_0100_002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S_0100_003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MS_0100_004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MS_0100_005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MS_0100_006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MS_0100_007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MS_01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259081</xdr:colOff>
      <xdr:row>1</xdr:row>
      <xdr:rowOff>106680</xdr:rowOff>
    </xdr:from>
    <xdr:to>
      <xdr:col>9</xdr:col>
      <xdr:colOff>751553</xdr:colOff>
      <xdr:row>31</xdr:row>
      <xdr:rowOff>52307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6BB3A-428C-4723-A06D-12E9A1C6A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1" y="289560"/>
          <a:ext cx="7716232" cy="5432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289561</xdr:colOff>
      <xdr:row>1</xdr:row>
      <xdr:rowOff>139228</xdr:rowOff>
    </xdr:from>
    <xdr:to>
      <xdr:col>9</xdr:col>
      <xdr:colOff>114301</xdr:colOff>
      <xdr:row>29</xdr:row>
      <xdr:rowOff>71353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16D7C-C9B8-4A4F-9CFC-64075CA42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1" y="322108"/>
          <a:ext cx="7155180" cy="5052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1</xdr:row>
      <xdr:rowOff>114300</xdr:rowOff>
    </xdr:from>
    <xdr:to>
      <xdr:col>10</xdr:col>
      <xdr:colOff>152667</xdr:colOff>
      <xdr:row>31</xdr:row>
      <xdr:rowOff>158982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45D72-4631-443D-A66F-13969CAE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297180"/>
          <a:ext cx="7795527" cy="55310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114300</xdr:rowOff>
    </xdr:from>
    <xdr:to>
      <xdr:col>9</xdr:col>
      <xdr:colOff>165896</xdr:colOff>
      <xdr:row>29</xdr:row>
      <xdr:rowOff>21822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B4A4F-3660-412E-919C-60BE9A862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297180"/>
          <a:ext cx="7092476" cy="50281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281941</xdr:colOff>
      <xdr:row>1</xdr:row>
      <xdr:rowOff>114300</xdr:rowOff>
    </xdr:from>
    <xdr:to>
      <xdr:col>9</xdr:col>
      <xdr:colOff>323163</xdr:colOff>
      <xdr:row>29</xdr:row>
      <xdr:rowOff>75162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46BC9-B7E4-48A3-BB01-D9510784A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1" y="297180"/>
          <a:ext cx="7173542" cy="50815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1</xdr:row>
      <xdr:rowOff>121920</xdr:rowOff>
    </xdr:from>
    <xdr:to>
      <xdr:col>9</xdr:col>
      <xdr:colOff>214743</xdr:colOff>
      <xdr:row>28</xdr:row>
      <xdr:rowOff>158991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D8EDD0-E7D8-42CD-A5E9-839683C18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304800"/>
          <a:ext cx="7087983" cy="49748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7620</xdr:rowOff>
    </xdr:from>
    <xdr:to>
      <xdr:col>9</xdr:col>
      <xdr:colOff>520563</xdr:colOff>
      <xdr:row>29</xdr:row>
      <xdr:rowOff>172318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E7F2C-A54B-446A-AF2C-7EED8F265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190500"/>
          <a:ext cx="7439523" cy="52853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76200</xdr:rowOff>
    </xdr:from>
    <xdr:to>
      <xdr:col>9</xdr:col>
      <xdr:colOff>468932</xdr:colOff>
      <xdr:row>29</xdr:row>
      <xdr:rowOff>98027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74E46-1966-447B-B97A-E9254AF4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" y="259080"/>
          <a:ext cx="7281212" cy="5142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1" t="s">
        <v>135</v>
      </c>
    </row>
    <row r="3" spans="1:2" x14ac:dyDescent="0.3">
      <c r="A3" s="80" t="s">
        <v>67</v>
      </c>
      <c r="B3" s="77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77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0" t="s">
        <v>72</v>
      </c>
      <c r="B18" s="77" t="s">
        <v>106</v>
      </c>
      <c r="C18" s="77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0" t="s">
        <v>74</v>
      </c>
      <c r="B23" s="77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77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0" t="s">
        <v>78</v>
      </c>
      <c r="B39" s="77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0" t="s">
        <v>79</v>
      </c>
      <c r="B45" s="77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0" t="s">
        <v>83</v>
      </c>
      <c r="B57" s="77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0" t="s">
        <v>95</v>
      </c>
      <c r="B63" s="77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77" t="s">
        <v>101</v>
      </c>
    </row>
    <row r="82" spans="1:1" x14ac:dyDescent="0.3">
      <c r="A82" s="81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H17" sqref="H17"/>
    </sheetView>
  </sheetViews>
  <sheetFormatPr baseColWidth="10" defaultColWidth="9.109375" defaultRowHeight="14.4" x14ac:dyDescent="0.3"/>
  <cols>
    <col min="2" max="2" width="33.4414062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MS_0100_004_m+MS_0100_004_p</f>
        <v>3.1699841066880001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160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6.3399682133760003</v>
      </c>
      <c r="O5" s="59"/>
    </row>
    <row r="6" spans="1:15" x14ac:dyDescent="0.3">
      <c r="A6" s="114" t="s">
        <v>7</v>
      </c>
      <c r="B6" s="24" t="s">
        <v>168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5">
        <v>5.4619859999999999E-2</v>
      </c>
      <c r="K11" s="17">
        <v>2E-3</v>
      </c>
      <c r="L11" s="27">
        <v>2712</v>
      </c>
      <c r="M11" s="19">
        <v>1</v>
      </c>
      <c r="N11" s="28">
        <f>IF(J11="",D11*M11,D11*J11*K11*L11*M11)</f>
        <v>1.2442841066879999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1.2442841066879999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v>127.57</v>
      </c>
      <c r="G16" s="23" t="s">
        <v>214</v>
      </c>
      <c r="H16" s="22">
        <v>1</v>
      </c>
      <c r="I16" s="28">
        <f t="shared" si="0"/>
        <v>1.2757000000000001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1.9257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4!A1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168</v>
      </c>
    </row>
  </sheetData>
  <hyperlinks>
    <hyperlink ref="B1" location="MS_0100_004!A1" display="FR_0300_003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H17" sqref="H17"/>
    </sheetView>
  </sheetViews>
  <sheetFormatPr baseColWidth="10" defaultColWidth="9.109375" defaultRowHeight="14.4" x14ac:dyDescent="0.3"/>
  <cols>
    <col min="2" max="2" width="33.4414062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MS_0100_005_m+MS_0100_005_p</f>
        <v>2.1490635408992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159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4.2981270817984001</v>
      </c>
      <c r="O5" s="59"/>
    </row>
    <row r="6" spans="1:15" x14ac:dyDescent="0.3">
      <c r="A6" s="114" t="s">
        <v>7</v>
      </c>
      <c r="B6" s="24" t="s">
        <v>181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5">
        <v>2.2438349E-2</v>
      </c>
      <c r="K11" s="17">
        <v>2E-3</v>
      </c>
      <c r="L11" s="27">
        <v>2712</v>
      </c>
      <c r="M11" s="19">
        <v>1</v>
      </c>
      <c r="N11" s="28">
        <f>IF(J11="",D11*M11,D11*J11*K11*L11*M11)</f>
        <v>0.51116354089920002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0.51116354089920002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v>98.79</v>
      </c>
      <c r="G16" s="23" t="s">
        <v>214</v>
      </c>
      <c r="H16" s="22">
        <v>1</v>
      </c>
      <c r="I16" s="28">
        <f t="shared" si="0"/>
        <v>0.98790000000000011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1.6379000000000001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5!A1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152</v>
      </c>
      <c r="B1" s="79" t="s">
        <v>181</v>
      </c>
    </row>
  </sheetData>
  <hyperlinks>
    <hyperlink ref="B1" location="MS_0100_005!A1" display="FR_0300_004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G30" sqref="G30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MS_0100_006_m+MS_0100_006_p</f>
        <v>5.1693714775000004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164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10.338742955000001</v>
      </c>
      <c r="O5" s="59"/>
    </row>
    <row r="6" spans="1:15" x14ac:dyDescent="0.3">
      <c r="A6" s="114" t="s">
        <v>7</v>
      </c>
      <c r="B6" s="24" t="s">
        <v>169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151</v>
      </c>
      <c r="C11" s="15"/>
      <c r="D11" s="28">
        <v>2.25</v>
      </c>
      <c r="E11" s="15"/>
      <c r="F11" s="15"/>
      <c r="G11" s="15"/>
      <c r="H11" s="14"/>
      <c r="I11" s="16" t="s">
        <v>150</v>
      </c>
      <c r="J11" s="86">
        <v>8.7190699999999996E-2</v>
      </c>
      <c r="K11" s="17">
        <v>2E-3</v>
      </c>
      <c r="L11" s="27">
        <v>7850</v>
      </c>
      <c r="M11" s="19">
        <v>1</v>
      </c>
      <c r="N11" s="28">
        <f>IF(J11="",D11*M11,D11*J11*K11*L11*M11)</f>
        <v>3.0800114774999998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3.0800114774999998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3">
        <v>10</v>
      </c>
      <c r="B15" s="160" t="s">
        <v>45</v>
      </c>
      <c r="C15" s="193"/>
      <c r="D15" s="30">
        <v>1.3</v>
      </c>
      <c r="E15" s="23" t="s">
        <v>35</v>
      </c>
      <c r="F15" s="14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v>143.93600000000001</v>
      </c>
      <c r="G16" s="23" t="s">
        <v>214</v>
      </c>
      <c r="H16" s="22">
        <v>1</v>
      </c>
      <c r="I16" s="28">
        <f t="shared" si="0"/>
        <v>1.4393600000000002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2.0893600000000001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6!A1" display="Drawing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169</v>
      </c>
    </row>
  </sheetData>
  <hyperlinks>
    <hyperlink ref="B1" location="MS_0100_006!A1" display="FR_0300_005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E3" sqref="E3"/>
    </sheetView>
  </sheetViews>
  <sheetFormatPr baseColWidth="10" defaultColWidth="9.109375" defaultRowHeight="14.4" x14ac:dyDescent="0.3"/>
  <cols>
    <col min="2" max="2" width="34.6640625" bestFit="1" customWidth="1"/>
    <col min="7" max="7" width="34.109375" customWidth="1"/>
    <col min="9" max="9" width="10.77734375" bestFit="1" customWidth="1"/>
    <col min="10" max="10" width="10.44140625" bestFit="1" customWidth="1"/>
    <col min="14" max="14" width="10.332031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MS_0100_007_m+MS_0100_007_p</f>
        <v>0.61744426503954442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4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158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2.4697770601581777</v>
      </c>
      <c r="O5" s="59"/>
    </row>
    <row r="6" spans="1:15" x14ac:dyDescent="0.3">
      <c r="A6" s="114" t="s">
        <v>7</v>
      </c>
      <c r="B6" s="24" t="s">
        <v>171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151</v>
      </c>
      <c r="C11" s="15"/>
      <c r="D11" s="28">
        <v>2.25</v>
      </c>
      <c r="E11" s="15" t="s">
        <v>208</v>
      </c>
      <c r="F11" s="15"/>
      <c r="G11" s="15"/>
      <c r="H11" s="14"/>
      <c r="I11" s="16" t="s">
        <v>207</v>
      </c>
      <c r="J11" s="145">
        <f>0.000343295+PI()*0.003*0.003</f>
        <v>3.7156933388230817E-4</v>
      </c>
      <c r="K11" s="147">
        <v>1.5E-3</v>
      </c>
      <c r="L11" s="27">
        <v>7850</v>
      </c>
      <c r="M11" s="19">
        <v>1</v>
      </c>
      <c r="N11" s="28">
        <f>IF(J11="",D11*M11,D11*J11*K11*L11*M11)</f>
        <v>9.8442650395444021E-3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9.8442650395444021E-3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 t="s">
        <v>206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4"/>
    </row>
    <row r="16" spans="1:15" x14ac:dyDescent="0.3">
      <c r="A16" s="159">
        <v>20</v>
      </c>
      <c r="B16" s="160" t="s">
        <v>46</v>
      </c>
      <c r="C16" s="159"/>
      <c r="D16" s="28">
        <v>0.01</v>
      </c>
      <c r="E16" s="13" t="s">
        <v>47</v>
      </c>
      <c r="F16" s="142">
        <v>9.42</v>
      </c>
      <c r="G16" s="23" t="s">
        <v>153</v>
      </c>
      <c r="H16" s="22">
        <v>3</v>
      </c>
      <c r="I16" s="28">
        <f t="shared" si="0"/>
        <v>0.28260000000000002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0.60760000000000003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7!A1" display="Drawing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171</v>
      </c>
    </row>
  </sheetData>
  <hyperlinks>
    <hyperlink ref="B1" location="MS_0100_007!A1" display="FR_0300_006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5" customWidth="1"/>
    <col min="7" max="7" width="33.109375" bestFit="1" customWidth="1"/>
    <col min="8" max="8" width="11.4414062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MS_0100_008_m+MS_0100_008_p</f>
        <v>0.64982088688329431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24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163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15.595701285199063</v>
      </c>
      <c r="O5" s="59"/>
    </row>
    <row r="6" spans="1:15" x14ac:dyDescent="0.3">
      <c r="A6" s="114" t="s">
        <v>7</v>
      </c>
      <c r="B6" s="24" t="s">
        <v>170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180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151</v>
      </c>
      <c r="C11" s="15"/>
      <c r="D11" s="28">
        <v>2.25</v>
      </c>
      <c r="E11" s="15" t="s">
        <v>208</v>
      </c>
      <c r="F11" s="15"/>
      <c r="G11" s="15"/>
      <c r="H11" s="14"/>
      <c r="I11" s="16" t="s">
        <v>207</v>
      </c>
      <c r="J11" s="145">
        <f>0.000433+PI()*0.003*0.003</f>
        <v>4.6127433388230816E-4</v>
      </c>
      <c r="K11" s="147">
        <v>1.5E-3</v>
      </c>
      <c r="L11" s="27">
        <v>7850</v>
      </c>
      <c r="M11" s="19">
        <v>1</v>
      </c>
      <c r="N11" s="28">
        <f>IF(J11="",D11*M11,D11*J11*K11*L11*M11)</f>
        <v>1.22208868832944E-2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1.22208868832944E-2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 t="s">
        <v>206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v>10.42</v>
      </c>
      <c r="G16" s="23" t="s">
        <v>153</v>
      </c>
      <c r="H16" s="22">
        <v>3</v>
      </c>
      <c r="I16" s="28">
        <f t="shared" si="0"/>
        <v>0.31259999999999999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0.63759999999999994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8!A1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9" sqref="L9"/>
    </sheetView>
  </sheetViews>
  <sheetFormatPr baseColWidth="10" defaultRowHeight="14.4" x14ac:dyDescent="0.3"/>
  <sheetData>
    <row r="1" spans="1:2" x14ac:dyDescent="0.3">
      <c r="A1" t="s">
        <v>152</v>
      </c>
      <c r="B1" s="79" t="s">
        <v>170</v>
      </c>
    </row>
  </sheetData>
  <hyperlinks>
    <hyperlink ref="B1" location="MS_0100_008!A1" display="FR_0300_007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2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E28" sqref="E28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4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3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2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3"/>
      <c r="B7" s="94" t="str">
        <f>MS_A0100!B3</f>
        <v>Frame and Body</v>
      </c>
      <c r="C7" s="95" t="str">
        <f>MS_A0100</f>
        <v>MS_A0100</v>
      </c>
      <c r="D7" s="95" t="s">
        <v>11</v>
      </c>
      <c r="E7" s="95"/>
      <c r="F7" s="96" t="str">
        <f>MS_A0100!B4</f>
        <v>Firewall</v>
      </c>
      <c r="G7" s="95"/>
      <c r="H7" s="97">
        <f t="shared" ref="H7:H15" si="0">SUM(J7:M7)</f>
        <v>67.316034457958992</v>
      </c>
      <c r="I7" s="98">
        <f>MS_A0100_q</f>
        <v>1</v>
      </c>
      <c r="J7" s="99">
        <f>MS_A0100_m</f>
        <v>0.28615999999999997</v>
      </c>
      <c r="K7" s="99">
        <f>MS_A0100_p</f>
        <v>54.470233999999991</v>
      </c>
      <c r="L7" s="99">
        <f>MS_A0100_f</f>
        <v>3.2263071246256692</v>
      </c>
      <c r="M7" s="99">
        <f>MS_A0100_t</f>
        <v>9.3333333333333339</v>
      </c>
      <c r="N7" s="100">
        <f t="shared" ref="N7:N15" si="1">H7*I7</f>
        <v>67.316034457958992</v>
      </c>
      <c r="O7" s="101"/>
    </row>
    <row r="8" spans="1:15" ht="14.4" x14ac:dyDescent="0.3">
      <c r="A8" s="102"/>
      <c r="B8" s="103" t="str">
        <f>MS_A0100!B3</f>
        <v>Frame and Body</v>
      </c>
      <c r="C8" s="104" t="str">
        <f>MS_0100_001</f>
        <v>MS_0100_001</v>
      </c>
      <c r="D8" s="105" t="s">
        <v>11</v>
      </c>
      <c r="E8" s="105" t="str">
        <f>$F$7</f>
        <v>Firewall</v>
      </c>
      <c r="F8" s="106" t="str">
        <f>MS_0100_001!B5</f>
        <v>Firewall Up</v>
      </c>
      <c r="G8" s="105"/>
      <c r="H8" s="107">
        <f t="shared" si="0"/>
        <v>9.2651947324861545</v>
      </c>
      <c r="I8" s="108">
        <f>MS_A0100_q*MS_0100_001_q</f>
        <v>1</v>
      </c>
      <c r="J8" s="109">
        <f>MS_0100_001_m</f>
        <v>4.9527965088000006</v>
      </c>
      <c r="K8" s="109">
        <f>MS_0100_001_p</f>
        <v>4.3123982236861549</v>
      </c>
      <c r="L8" s="109">
        <v>0</v>
      </c>
      <c r="M8" s="109">
        <v>0</v>
      </c>
      <c r="N8" s="110">
        <f t="shared" si="1"/>
        <v>9.2651947324861545</v>
      </c>
      <c r="O8" s="111"/>
    </row>
    <row r="9" spans="1:15" ht="14.4" x14ac:dyDescent="0.3">
      <c r="A9" s="102"/>
      <c r="B9" s="103" t="str">
        <f>MS_A0100!$B$3</f>
        <v>Frame and Body</v>
      </c>
      <c r="C9" s="105" t="str">
        <f>MS_0100_002</f>
        <v>MS_0100_002</v>
      </c>
      <c r="D9" s="105" t="s">
        <v>11</v>
      </c>
      <c r="E9" s="105" t="str">
        <f t="shared" ref="E9:E15" si="2">$F$7</f>
        <v>Firewall</v>
      </c>
      <c r="F9" s="106" t="str">
        <f>MS_0100_002!B5</f>
        <v>Firewall Middle</v>
      </c>
      <c r="G9" s="105"/>
      <c r="H9" s="107">
        <f t="shared" si="0"/>
        <v>7.5426952828861555</v>
      </c>
      <c r="I9" s="112">
        <f>MS_A0100_q*MS_0100_002_q</f>
        <v>1</v>
      </c>
      <c r="J9" s="109">
        <f>MS_0100_002_m</f>
        <v>4.2952970592000002</v>
      </c>
      <c r="K9" s="109">
        <f>MS_0100_002_p</f>
        <v>3.2473982236861549</v>
      </c>
      <c r="L9" s="109">
        <v>0</v>
      </c>
      <c r="M9" s="109">
        <v>0</v>
      </c>
      <c r="N9" s="110">
        <f t="shared" si="1"/>
        <v>7.5426952828861555</v>
      </c>
      <c r="O9" s="111"/>
    </row>
    <row r="10" spans="1:15" ht="14.4" x14ac:dyDescent="0.3">
      <c r="A10" s="102"/>
      <c r="B10" s="103" t="str">
        <f>MS_A0100!$B$3</f>
        <v>Frame and Body</v>
      </c>
      <c r="C10" s="105" t="str">
        <f>MS_0100_003</f>
        <v>MS_0100_003</v>
      </c>
      <c r="D10" s="105" t="s">
        <v>11</v>
      </c>
      <c r="E10" s="105" t="str">
        <f t="shared" si="2"/>
        <v>Firewall</v>
      </c>
      <c r="F10" s="156" t="str">
        <f>MS_0100_003!B5</f>
        <v>Firewall Bottom</v>
      </c>
      <c r="G10" s="105"/>
      <c r="H10" s="107">
        <f t="shared" si="0"/>
        <v>11.141555750086155</v>
      </c>
      <c r="I10" s="108">
        <f>MS_A0100_q*MS_0100_003_q</f>
        <v>1</v>
      </c>
      <c r="J10" s="109">
        <f>MS_0100_003_m</f>
        <v>6.828157526400001</v>
      </c>
      <c r="K10" s="109">
        <f>MS_0100_003_p</f>
        <v>4.3133982236861552</v>
      </c>
      <c r="L10" s="109">
        <v>0</v>
      </c>
      <c r="M10" s="109">
        <v>0</v>
      </c>
      <c r="N10" s="110">
        <f t="shared" si="1"/>
        <v>11.141555750086155</v>
      </c>
      <c r="O10" s="111"/>
    </row>
    <row r="11" spans="1:15" ht="14.4" x14ac:dyDescent="0.3">
      <c r="A11" s="102"/>
      <c r="B11" s="103" t="str">
        <f>MS_A0100!$B$3</f>
        <v>Frame and Body</v>
      </c>
      <c r="C11" s="105" t="str">
        <f>MS_0100_004</f>
        <v>MS_0100_004</v>
      </c>
      <c r="D11" s="105" t="s">
        <v>11</v>
      </c>
      <c r="E11" s="105" t="str">
        <f t="shared" si="2"/>
        <v>Firewall</v>
      </c>
      <c r="F11" s="106" t="str">
        <f>MS_0100_004!B5</f>
        <v>Firewall Upper Side</v>
      </c>
      <c r="G11" s="105"/>
      <c r="H11" s="107">
        <f t="shared" si="0"/>
        <v>3.1699841066880001</v>
      </c>
      <c r="I11" s="108">
        <f>MS_A0100_q*MS_0100_004_q</f>
        <v>2</v>
      </c>
      <c r="J11" s="109">
        <f>MS_0100_004_m</f>
        <v>1.2442841066879999</v>
      </c>
      <c r="K11" s="109">
        <f>MS_0100_004_p</f>
        <v>1.9257</v>
      </c>
      <c r="L11" s="109">
        <v>0</v>
      </c>
      <c r="M11" s="109">
        <v>0</v>
      </c>
      <c r="N11" s="110">
        <f t="shared" si="1"/>
        <v>6.3399682133760003</v>
      </c>
      <c r="O11" s="111"/>
    </row>
    <row r="12" spans="1:15" ht="14.4" x14ac:dyDescent="0.3">
      <c r="A12" s="102"/>
      <c r="B12" s="103" t="str">
        <f>MS_A0100!$B$3</f>
        <v>Frame and Body</v>
      </c>
      <c r="C12" s="105" t="str">
        <f>MS_0100_005</f>
        <v>MS_0100_005</v>
      </c>
      <c r="D12" s="105" t="s">
        <v>11</v>
      </c>
      <c r="E12" s="105" t="str">
        <f t="shared" si="2"/>
        <v>Firewall</v>
      </c>
      <c r="F12" s="106" t="str">
        <f>MS_0100_005!B5</f>
        <v>Firewall Middle Side</v>
      </c>
      <c r="G12" s="105"/>
      <c r="H12" s="107">
        <f t="shared" si="0"/>
        <v>2.1490635408992</v>
      </c>
      <c r="I12" s="108">
        <f>MS_A0100_q*MS_0100_005_q</f>
        <v>2</v>
      </c>
      <c r="J12" s="109">
        <f>MS_0100_005_m</f>
        <v>0.51116354089920002</v>
      </c>
      <c r="K12" s="109">
        <f>MS_0100_005_p</f>
        <v>1.6379000000000001</v>
      </c>
      <c r="L12" s="109">
        <v>0</v>
      </c>
      <c r="M12" s="109">
        <v>0</v>
      </c>
      <c r="N12" s="110">
        <f t="shared" si="1"/>
        <v>4.2981270817984001</v>
      </c>
      <c r="O12" s="111"/>
    </row>
    <row r="13" spans="1:15" ht="14.4" x14ac:dyDescent="0.3">
      <c r="A13" s="102"/>
      <c r="B13" s="103" t="str">
        <f>MS_A0100!$B$3</f>
        <v>Frame and Body</v>
      </c>
      <c r="C13" s="105" t="str">
        <f>MS_0100_006</f>
        <v>MS_0100_006</v>
      </c>
      <c r="D13" s="105" t="s">
        <v>11</v>
      </c>
      <c r="E13" s="105" t="str">
        <f t="shared" si="2"/>
        <v>Firewall</v>
      </c>
      <c r="F13" s="106" t="str">
        <f>MS_0100_006!B5</f>
        <v>Firewall Lower Side</v>
      </c>
      <c r="G13" s="105"/>
      <c r="H13" s="107">
        <f t="shared" si="0"/>
        <v>5.1693714775000004</v>
      </c>
      <c r="I13" s="108">
        <f>MS_A0100_q*MS_0100_006_q</f>
        <v>2</v>
      </c>
      <c r="J13" s="109">
        <f>MS_0100_006_m</f>
        <v>3.0800114774999998</v>
      </c>
      <c r="K13" s="109">
        <f>MS_0100_006_p</f>
        <v>2.0893600000000001</v>
      </c>
      <c r="L13" s="109">
        <v>0</v>
      </c>
      <c r="M13" s="109">
        <v>0</v>
      </c>
      <c r="N13" s="110">
        <f t="shared" si="1"/>
        <v>10.338742955000001</v>
      </c>
      <c r="O13" s="111"/>
    </row>
    <row r="14" spans="1:15" ht="14.4" x14ac:dyDescent="0.3">
      <c r="A14" s="102"/>
      <c r="B14" s="103" t="str">
        <f>MS_A0100!$B$3</f>
        <v>Frame and Body</v>
      </c>
      <c r="C14" s="105" t="str">
        <f>MS_0100_007</f>
        <v>MS_0100_007</v>
      </c>
      <c r="D14" s="105" t="s">
        <v>11</v>
      </c>
      <c r="E14" s="105" t="str">
        <f t="shared" si="2"/>
        <v>Firewall</v>
      </c>
      <c r="F14" s="106" t="str">
        <f>MS_0100_007!B5</f>
        <v>Firewall Up Bracket</v>
      </c>
      <c r="G14" s="105"/>
      <c r="H14" s="107">
        <f t="shared" si="0"/>
        <v>0.61744426503954442</v>
      </c>
      <c r="I14" s="108">
        <f>MS_A0100_q*MS_0100_007_q</f>
        <v>4</v>
      </c>
      <c r="J14" s="109">
        <f>MS_0100_007_m</f>
        <v>9.8442650395444021E-3</v>
      </c>
      <c r="K14" s="109">
        <f>MS_0100_007_p</f>
        <v>0.60760000000000003</v>
      </c>
      <c r="L14" s="109">
        <v>0</v>
      </c>
      <c r="M14" s="109">
        <v>0</v>
      </c>
      <c r="N14" s="110">
        <f t="shared" si="1"/>
        <v>2.4697770601581777</v>
      </c>
      <c r="O14" s="111"/>
    </row>
    <row r="15" spans="1:15" ht="14.4" x14ac:dyDescent="0.3">
      <c r="A15" s="102"/>
      <c r="B15" s="103" t="str">
        <f>MS_A0100!$B$3</f>
        <v>Frame and Body</v>
      </c>
      <c r="C15" s="105" t="str">
        <f>MS_0100_008</f>
        <v>MS_0100_008</v>
      </c>
      <c r="D15" s="105" t="s">
        <v>11</v>
      </c>
      <c r="E15" s="105" t="str">
        <f t="shared" si="2"/>
        <v>Firewall</v>
      </c>
      <c r="F15" s="106" t="str">
        <f>MS_0100_008!B5</f>
        <v>Firewall Middle, Bottom and Sides Bracket</v>
      </c>
      <c r="G15" s="113"/>
      <c r="H15" s="107">
        <f t="shared" si="0"/>
        <v>0.64982088688329431</v>
      </c>
      <c r="I15" s="108">
        <f>MS_A0100_q*MS_0100_008_q</f>
        <v>24</v>
      </c>
      <c r="J15" s="109">
        <f>MS_0100_008_m</f>
        <v>1.22208868832944E-2</v>
      </c>
      <c r="K15" s="109">
        <f>MS_0100_008_p</f>
        <v>0.63759999999999994</v>
      </c>
      <c r="L15" s="109">
        <v>0</v>
      </c>
      <c r="M15" s="109">
        <v>0</v>
      </c>
      <c r="N15" s="110">
        <f t="shared" si="1"/>
        <v>15.595701285199063</v>
      </c>
      <c r="O15" s="111"/>
    </row>
    <row r="16" spans="1:15" s="7" customFormat="1" ht="14.4" thickBot="1" x14ac:dyDescent="0.3">
      <c r="A16" s="149"/>
      <c r="B16" s="150" t="str">
        <f>MS_A0100!B3</f>
        <v>Frame and Body</v>
      </c>
      <c r="C16" s="151"/>
      <c r="D16" s="151"/>
      <c r="E16" s="151"/>
      <c r="F16" s="150" t="s">
        <v>66</v>
      </c>
      <c r="G16" s="151"/>
      <c r="H16" s="152"/>
      <c r="I16" s="153"/>
      <c r="J16" s="154">
        <f>SUMPRODUCT($I7:$I15,J7:J15)</f>
        <v>26.366007689931642</v>
      </c>
      <c r="K16" s="154">
        <f>SUMPRODUCT($I7:$I15,K7:K15)</f>
        <v>95.382148671058445</v>
      </c>
      <c r="L16" s="154">
        <f>SUMPRODUCT($I7:$I15,L7:L15)</f>
        <v>3.2263071246256692</v>
      </c>
      <c r="M16" s="154">
        <f>SUMPRODUCT($I7:$I15,M7:M15)</f>
        <v>9.3333333333333339</v>
      </c>
      <c r="N16" s="154">
        <f>SUM(N7:N15)</f>
        <v>134.3077968189491</v>
      </c>
      <c r="O16" s="155"/>
    </row>
    <row r="17" spans="1:14" ht="13.8" thickTop="1" x14ac:dyDescent="0.25">
      <c r="A17" s="6"/>
      <c r="B17" s="39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39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2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2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39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39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39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39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39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39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39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39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39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39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BR_A0001" display="BR_A0001"/>
    <hyperlink ref="F8" location="BR_01001" display="BR_01001"/>
    <hyperlink ref="F9" location="FR_0300_001!A1" display="FR_0300_001!A1"/>
    <hyperlink ref="F10" location="FR_0300_002!A1" display="FR_0300_002!A1"/>
    <hyperlink ref="F11" location="FR_0300_003!A1" display="FR_0300_003!A1"/>
    <hyperlink ref="F12" location="FR_0300_004!A1" display="FR_0300_004!A1"/>
    <hyperlink ref="F13" location="FR_0300_005!A1" display="FR_0300_005!A1"/>
    <hyperlink ref="F14" location="FR_0300_006!A1" display="FR_0300_006!A1"/>
    <hyperlink ref="F15" location="FR_0300_007!A1" display="FR_0300_007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71"/>
  <sheetViews>
    <sheetView zoomScale="75" zoomScaleNormal="75" zoomScaleSheetLayoutView="80" workbookViewId="0">
      <selection activeCell="B10" sqref="B10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74.77734375" bestFit="1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87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87" t="s">
        <v>1</v>
      </c>
      <c r="K2" s="73">
        <v>81</v>
      </c>
      <c r="L2" s="53"/>
      <c r="M2" s="87" t="s">
        <v>2</v>
      </c>
      <c r="N2" s="85">
        <f>MS_A0100_pa+MS_A0100_m+MS_A0100_p+MS_A0100_f+MS_A0100_t</f>
        <v>134.30779681894907</v>
      </c>
      <c r="O2" s="59"/>
    </row>
    <row r="3" spans="1:15" x14ac:dyDescent="0.3">
      <c r="A3" s="87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87" t="s">
        <v>4</v>
      </c>
      <c r="N3" s="72">
        <v>1</v>
      </c>
      <c r="O3" s="59"/>
    </row>
    <row r="4" spans="1:15" x14ac:dyDescent="0.3">
      <c r="A4" s="87" t="s">
        <v>5</v>
      </c>
      <c r="B4" s="54" t="s">
        <v>156</v>
      </c>
      <c r="C4" s="53"/>
      <c r="D4" s="53"/>
      <c r="E4" s="53"/>
      <c r="F4" s="53"/>
      <c r="G4" s="53"/>
      <c r="H4" s="53"/>
      <c r="I4" s="53"/>
      <c r="J4" s="90" t="s">
        <v>6</v>
      </c>
      <c r="K4" s="53"/>
      <c r="L4" s="53"/>
      <c r="M4" s="53"/>
      <c r="N4" s="53"/>
      <c r="O4" s="59"/>
    </row>
    <row r="5" spans="1:15" x14ac:dyDescent="0.3">
      <c r="A5" s="87" t="s">
        <v>7</v>
      </c>
      <c r="B5" s="12" t="s">
        <v>155</v>
      </c>
      <c r="C5" s="53"/>
      <c r="D5" s="53"/>
      <c r="E5" s="53"/>
      <c r="F5" s="53"/>
      <c r="G5" s="53"/>
      <c r="H5" s="53"/>
      <c r="I5" s="53"/>
      <c r="J5" s="90" t="s">
        <v>8</v>
      </c>
      <c r="K5" s="53"/>
      <c r="L5" s="53"/>
      <c r="M5" s="87" t="s">
        <v>9</v>
      </c>
      <c r="N5" s="69">
        <f>N2*N3</f>
        <v>134.30779681894907</v>
      </c>
      <c r="O5" s="59"/>
    </row>
    <row r="6" spans="1:15" x14ac:dyDescent="0.3">
      <c r="A6" s="87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0" t="s">
        <v>12</v>
      </c>
      <c r="K6" s="53"/>
      <c r="L6" s="53"/>
      <c r="M6" s="53"/>
      <c r="N6" s="53"/>
      <c r="O6" s="59"/>
    </row>
    <row r="7" spans="1:15" x14ac:dyDescent="0.3">
      <c r="A7" s="87" t="s">
        <v>13</v>
      </c>
      <c r="B7" s="11" t="s">
        <v>157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25" t="s">
        <v>14</v>
      </c>
      <c r="B9" s="125" t="s">
        <v>15</v>
      </c>
      <c r="C9" s="87" t="s">
        <v>16</v>
      </c>
      <c r="D9" s="87" t="s">
        <v>17</v>
      </c>
      <c r="E9" s="87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3">
        <v>10</v>
      </c>
      <c r="B10" s="170" t="s">
        <v>174</v>
      </c>
      <c r="C10" s="124">
        <f>MS_0100_001!N2</f>
        <v>9.2651947324861545</v>
      </c>
      <c r="D10" s="148">
        <f>MS_0100_001_q</f>
        <v>1</v>
      </c>
      <c r="E10" s="69">
        <f>C10*D10</f>
        <v>9.2651947324861545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3">
        <v>20</v>
      </c>
      <c r="B11" s="143" t="s">
        <v>162</v>
      </c>
      <c r="C11" s="124">
        <f>MS_0100_002!N2</f>
        <v>7.5426952828861555</v>
      </c>
      <c r="D11" s="68">
        <f>MS_0100_002_q</f>
        <v>1</v>
      </c>
      <c r="E11" s="69">
        <f t="shared" ref="E11:E17" si="0">C11*D11</f>
        <v>7.5426952828861555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3">
        <v>30</v>
      </c>
      <c r="B12" s="143" t="s">
        <v>161</v>
      </c>
      <c r="C12" s="124">
        <f>MS_0100_003!N2</f>
        <v>11.141555750086155</v>
      </c>
      <c r="D12" s="68">
        <f>MS_0100_003_q</f>
        <v>1</v>
      </c>
      <c r="E12" s="69">
        <f t="shared" si="0"/>
        <v>11.141555750086155</v>
      </c>
      <c r="F12" s="54"/>
      <c r="G12" s="54"/>
      <c r="H12" s="54"/>
      <c r="I12" s="54"/>
      <c r="J12" s="54"/>
      <c r="K12" s="54"/>
      <c r="L12" s="54"/>
      <c r="M12" s="54"/>
      <c r="N12" s="54"/>
      <c r="O12" s="61"/>
    </row>
    <row r="13" spans="1:15" x14ac:dyDescent="0.3">
      <c r="A13" s="13">
        <v>40</v>
      </c>
      <c r="B13" s="146" t="s">
        <v>160</v>
      </c>
      <c r="C13" s="124">
        <f>MS_0100_004!N2</f>
        <v>3.1699841066880001</v>
      </c>
      <c r="D13" s="68">
        <f>MS_0100_004_q</f>
        <v>2</v>
      </c>
      <c r="E13" s="69">
        <f t="shared" si="0"/>
        <v>6.3399682133760003</v>
      </c>
      <c r="F13" s="54"/>
      <c r="G13" s="54"/>
      <c r="H13" s="54"/>
      <c r="I13" s="54"/>
      <c r="J13" s="54"/>
      <c r="K13" s="54"/>
      <c r="L13" s="54"/>
      <c r="M13" s="54"/>
      <c r="N13" s="54"/>
      <c r="O13" s="61"/>
    </row>
    <row r="14" spans="1:15" x14ac:dyDescent="0.3">
      <c r="A14" s="13">
        <v>50</v>
      </c>
      <c r="B14" s="146" t="s">
        <v>159</v>
      </c>
      <c r="C14" s="124">
        <f>MS_0100_005!N2</f>
        <v>2.1490635408992</v>
      </c>
      <c r="D14" s="68">
        <f>MS_0100_005_q</f>
        <v>2</v>
      </c>
      <c r="E14" s="69">
        <f t="shared" si="0"/>
        <v>4.2981270817984001</v>
      </c>
      <c r="F14" s="54"/>
      <c r="G14" s="54"/>
      <c r="H14" s="54"/>
      <c r="I14" s="54"/>
      <c r="J14" s="54"/>
      <c r="K14" s="54"/>
      <c r="L14" s="54"/>
      <c r="M14" s="54"/>
      <c r="N14" s="54"/>
      <c r="O14" s="61"/>
    </row>
    <row r="15" spans="1:15" x14ac:dyDescent="0.3">
      <c r="A15" s="13">
        <v>60</v>
      </c>
      <c r="B15" s="171" t="s">
        <v>164</v>
      </c>
      <c r="C15" s="124">
        <f>MS_0100_006!N2</f>
        <v>5.1693714775000004</v>
      </c>
      <c r="D15" s="68">
        <f>MS_0100_006_q</f>
        <v>2</v>
      </c>
      <c r="E15" s="69">
        <f t="shared" si="0"/>
        <v>10.338742955000001</v>
      </c>
      <c r="F15" s="54"/>
      <c r="G15" s="54"/>
      <c r="H15" s="54"/>
      <c r="I15" s="54"/>
      <c r="J15" s="54"/>
      <c r="K15" s="54"/>
      <c r="L15" s="54"/>
      <c r="M15" s="54"/>
      <c r="N15" s="54"/>
      <c r="O15" s="61"/>
    </row>
    <row r="16" spans="1:15" x14ac:dyDescent="0.3">
      <c r="A16" s="13">
        <v>70</v>
      </c>
      <c r="B16" s="146" t="s">
        <v>158</v>
      </c>
      <c r="C16" s="124">
        <f>MS_0100_007!N2</f>
        <v>0.61744426503954442</v>
      </c>
      <c r="D16" s="68">
        <f>MS_0100_007_q</f>
        <v>4</v>
      </c>
      <c r="E16" s="69">
        <f t="shared" si="0"/>
        <v>2.4697770601581777</v>
      </c>
      <c r="F16" s="54"/>
      <c r="G16" s="54"/>
      <c r="H16" s="54"/>
      <c r="I16" s="54"/>
      <c r="J16" s="54"/>
      <c r="K16" s="54"/>
      <c r="L16" s="54"/>
      <c r="M16" s="54"/>
      <c r="N16" s="54"/>
      <c r="O16" s="61"/>
    </row>
    <row r="17" spans="1:15" x14ac:dyDescent="0.3">
      <c r="A17" s="13">
        <v>80</v>
      </c>
      <c r="B17" s="146" t="s">
        <v>163</v>
      </c>
      <c r="C17" s="124">
        <f>MS_0100_008!N2</f>
        <v>0.64982088688329431</v>
      </c>
      <c r="D17" s="68">
        <f>MS_0100_008_q</f>
        <v>24</v>
      </c>
      <c r="E17" s="69">
        <f t="shared" si="0"/>
        <v>15.595701285199063</v>
      </c>
      <c r="F17" s="54"/>
      <c r="G17" s="54"/>
      <c r="H17" s="54"/>
      <c r="I17" s="54"/>
      <c r="J17" s="54"/>
      <c r="K17" s="54"/>
      <c r="L17" s="54"/>
      <c r="M17" s="54"/>
      <c r="N17" s="54"/>
      <c r="O17" s="61"/>
    </row>
    <row r="18" spans="1:15" ht="15" thickBot="1" x14ac:dyDescent="0.35">
      <c r="A18" s="60"/>
      <c r="B18" s="126"/>
      <c r="C18" s="53"/>
      <c r="D18" s="88" t="s">
        <v>18</v>
      </c>
      <c r="E18" s="89">
        <f>SUM(E10:E17)</f>
        <v>66.991762360990094</v>
      </c>
      <c r="F18" s="54"/>
      <c r="G18" s="54"/>
      <c r="H18" s="54"/>
      <c r="I18" s="54"/>
      <c r="J18" s="54"/>
      <c r="K18" s="54"/>
      <c r="L18" s="54"/>
      <c r="M18" s="54"/>
      <c r="N18" s="54"/>
      <c r="O18" s="59"/>
    </row>
    <row r="19" spans="1:15" x14ac:dyDescent="0.3">
      <c r="A19" s="60"/>
      <c r="B19" s="128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9"/>
    </row>
    <row r="20" spans="1:15" x14ac:dyDescent="0.3">
      <c r="A20" s="129" t="s">
        <v>14</v>
      </c>
      <c r="B20" s="129" t="s">
        <v>19</v>
      </c>
      <c r="C20" s="129" t="s">
        <v>20</v>
      </c>
      <c r="D20" s="127" t="s">
        <v>21</v>
      </c>
      <c r="E20" s="87" t="s">
        <v>22</v>
      </c>
      <c r="F20" s="87" t="s">
        <v>23</v>
      </c>
      <c r="G20" s="87" t="s">
        <v>24</v>
      </c>
      <c r="H20" s="87" t="s">
        <v>25</v>
      </c>
      <c r="I20" s="87" t="s">
        <v>26</v>
      </c>
      <c r="J20" s="87" t="s">
        <v>27</v>
      </c>
      <c r="K20" s="87" t="s">
        <v>28</v>
      </c>
      <c r="L20" s="87" t="s">
        <v>29</v>
      </c>
      <c r="M20" s="87" t="s">
        <v>17</v>
      </c>
      <c r="N20" s="87" t="s">
        <v>18</v>
      </c>
      <c r="O20" s="59"/>
    </row>
    <row r="21" spans="1:15" x14ac:dyDescent="0.3">
      <c r="A21" s="172">
        <v>10</v>
      </c>
      <c r="B21" s="163" t="s">
        <v>154</v>
      </c>
      <c r="C21" s="130" t="s">
        <v>183</v>
      </c>
      <c r="D21" s="173">
        <v>10</v>
      </c>
      <c r="E21" s="179">
        <f>4*0.001022</f>
        <v>4.0879999999999996E-3</v>
      </c>
      <c r="F21" s="172" t="s">
        <v>143</v>
      </c>
      <c r="G21" s="172"/>
      <c r="H21" s="174"/>
      <c r="I21" s="175"/>
      <c r="J21" s="176"/>
      <c r="K21" s="174"/>
      <c r="L21" s="177"/>
      <c r="M21" s="186">
        <f>E21</f>
        <v>4.0879999999999996E-3</v>
      </c>
      <c r="N21" s="132">
        <f t="shared" ref="N21:N23" si="1">M21*D21</f>
        <v>4.088E-2</v>
      </c>
      <c r="O21" s="59"/>
    </row>
    <row r="22" spans="1:15" x14ac:dyDescent="0.3">
      <c r="A22" s="172">
        <v>20</v>
      </c>
      <c r="B22" s="163" t="s">
        <v>154</v>
      </c>
      <c r="C22" s="172" t="s">
        <v>185</v>
      </c>
      <c r="D22" s="173">
        <v>10</v>
      </c>
      <c r="E22" s="198">
        <f>24*0.001022</f>
        <v>2.4527999999999998E-2</v>
      </c>
      <c r="F22" s="172" t="s">
        <v>143</v>
      </c>
      <c r="G22" s="172"/>
      <c r="H22" s="174"/>
      <c r="I22" s="175"/>
      <c r="J22" s="176"/>
      <c r="K22" s="174"/>
      <c r="L22" s="177"/>
      <c r="M22" s="185">
        <f>E22</f>
        <v>2.4527999999999998E-2</v>
      </c>
      <c r="N22" s="132">
        <f t="shared" si="1"/>
        <v>0.24527999999999997</v>
      </c>
      <c r="O22" s="59"/>
    </row>
    <row r="23" spans="1:15" x14ac:dyDescent="0.3">
      <c r="A23" s="164">
        <v>30</v>
      </c>
      <c r="B23" s="161" t="s">
        <v>209</v>
      </c>
      <c r="C23" s="164" t="s">
        <v>213</v>
      </c>
      <c r="D23" s="165">
        <v>0</v>
      </c>
      <c r="E23" s="180">
        <v>5</v>
      </c>
      <c r="F23" s="164" t="s">
        <v>211</v>
      </c>
      <c r="G23" s="164"/>
      <c r="H23" s="166"/>
      <c r="I23" s="167"/>
      <c r="J23" s="168"/>
      <c r="K23" s="166"/>
      <c r="L23" s="169"/>
      <c r="M23" s="187">
        <v>5</v>
      </c>
      <c r="N23" s="165">
        <f t="shared" si="1"/>
        <v>0</v>
      </c>
      <c r="O23" s="59"/>
    </row>
    <row r="24" spans="1:15" x14ac:dyDescent="0.3">
      <c r="A24" s="63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62" t="s">
        <v>18</v>
      </c>
      <c r="N24" s="92">
        <f>SUM(N21:N23)</f>
        <v>0.28615999999999997</v>
      </c>
      <c r="O24" s="59"/>
    </row>
    <row r="25" spans="1:15" x14ac:dyDescent="0.3">
      <c r="A25" s="60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9"/>
    </row>
    <row r="26" spans="1:15" s="21" customFormat="1" x14ac:dyDescent="0.3">
      <c r="A26" s="87" t="s">
        <v>14</v>
      </c>
      <c r="B26" s="87" t="s">
        <v>31</v>
      </c>
      <c r="C26" s="87" t="s">
        <v>20</v>
      </c>
      <c r="D26" s="87" t="s">
        <v>21</v>
      </c>
      <c r="E26" s="87" t="s">
        <v>32</v>
      </c>
      <c r="F26" s="87" t="s">
        <v>17</v>
      </c>
      <c r="G26" s="87" t="s">
        <v>33</v>
      </c>
      <c r="H26" s="87" t="s">
        <v>34</v>
      </c>
      <c r="I26" s="87" t="s">
        <v>18</v>
      </c>
      <c r="J26" s="20"/>
      <c r="K26" s="20"/>
      <c r="L26" s="20"/>
      <c r="M26" s="20"/>
      <c r="N26" s="20"/>
      <c r="O26" s="64"/>
    </row>
    <row r="27" spans="1:15" x14ac:dyDescent="0.3">
      <c r="A27" s="68">
        <v>10</v>
      </c>
      <c r="B27" s="68" t="s">
        <v>138</v>
      </c>
      <c r="C27" s="68" t="s">
        <v>182</v>
      </c>
      <c r="D27" s="69">
        <v>0.15</v>
      </c>
      <c r="E27" s="68" t="s">
        <v>47</v>
      </c>
      <c r="F27" s="70">
        <f>2*2*4</f>
        <v>16</v>
      </c>
      <c r="G27" s="70"/>
      <c r="H27" s="70"/>
      <c r="I27" s="69">
        <f t="shared" ref="I27:I58" si="2">IF(H27="",D27*F27,D27*F27*H27)</f>
        <v>2.4</v>
      </c>
      <c r="J27" s="53"/>
      <c r="K27" s="53"/>
      <c r="L27" s="53"/>
      <c r="M27" s="53"/>
      <c r="N27" s="53"/>
      <c r="O27" s="59"/>
    </row>
    <row r="28" spans="1:15" x14ac:dyDescent="0.3">
      <c r="A28" s="68">
        <v>20</v>
      </c>
      <c r="B28" s="68" t="s">
        <v>138</v>
      </c>
      <c r="C28" s="68" t="s">
        <v>184</v>
      </c>
      <c r="D28" s="69">
        <v>0.15</v>
      </c>
      <c r="E28" s="68" t="s">
        <v>47</v>
      </c>
      <c r="F28" s="70">
        <f>2*2*24</f>
        <v>96</v>
      </c>
      <c r="G28" s="70"/>
      <c r="H28" s="70"/>
      <c r="I28" s="69">
        <f t="shared" si="2"/>
        <v>14.399999999999999</v>
      </c>
      <c r="J28" s="53"/>
      <c r="K28" s="53"/>
      <c r="L28" s="53"/>
      <c r="M28" s="53"/>
      <c r="N28" s="53"/>
      <c r="O28" s="59"/>
    </row>
    <row r="29" spans="1:15" x14ac:dyDescent="0.3">
      <c r="A29" s="68">
        <v>30</v>
      </c>
      <c r="B29" s="135" t="s">
        <v>142</v>
      </c>
      <c r="C29" s="68" t="s">
        <v>183</v>
      </c>
      <c r="D29" s="69">
        <v>5.25</v>
      </c>
      <c r="E29" s="68" t="s">
        <v>143</v>
      </c>
      <c r="F29" s="178">
        <f>4*0.001022</f>
        <v>4.0879999999999996E-3</v>
      </c>
      <c r="G29" s="70"/>
      <c r="H29" s="70"/>
      <c r="I29" s="69">
        <f t="shared" si="2"/>
        <v>2.1461999999999998E-2</v>
      </c>
      <c r="J29" s="53"/>
      <c r="K29" s="53"/>
      <c r="L29" s="53"/>
      <c r="M29" s="53"/>
      <c r="N29" s="53"/>
      <c r="O29" s="59"/>
    </row>
    <row r="30" spans="1:15" x14ac:dyDescent="0.3">
      <c r="A30" s="68">
        <v>40</v>
      </c>
      <c r="B30" s="135" t="s">
        <v>142</v>
      </c>
      <c r="C30" s="68" t="s">
        <v>185</v>
      </c>
      <c r="D30" s="69">
        <v>5.25</v>
      </c>
      <c r="E30" s="71" t="s">
        <v>143</v>
      </c>
      <c r="F30" s="181">
        <f>24*0.001022</f>
        <v>2.4527999999999998E-2</v>
      </c>
      <c r="G30" s="68"/>
      <c r="H30" s="68"/>
      <c r="I30" s="69">
        <f t="shared" si="2"/>
        <v>0.128772</v>
      </c>
      <c r="J30" s="53"/>
      <c r="K30" s="53"/>
      <c r="L30" s="53"/>
      <c r="M30" s="53"/>
      <c r="N30" s="53"/>
      <c r="O30" s="59"/>
    </row>
    <row r="31" spans="1:15" x14ac:dyDescent="0.3">
      <c r="A31" s="68">
        <v>50</v>
      </c>
      <c r="B31" s="71" t="s">
        <v>212</v>
      </c>
      <c r="C31" s="68" t="s">
        <v>187</v>
      </c>
      <c r="D31" s="69">
        <v>0.38</v>
      </c>
      <c r="E31" s="68"/>
      <c r="F31" s="70">
        <v>4</v>
      </c>
      <c r="G31" s="68"/>
      <c r="H31" s="68"/>
      <c r="I31" s="69">
        <f t="shared" si="2"/>
        <v>1.52</v>
      </c>
      <c r="J31" s="53"/>
      <c r="K31" s="53"/>
      <c r="L31" s="53"/>
      <c r="M31" s="53"/>
      <c r="N31" s="53"/>
      <c r="O31" s="59"/>
    </row>
    <row r="32" spans="1:15" x14ac:dyDescent="0.3">
      <c r="A32" s="68">
        <v>60</v>
      </c>
      <c r="B32" s="131" t="s">
        <v>141</v>
      </c>
      <c r="C32" s="130" t="s">
        <v>188</v>
      </c>
      <c r="D32" s="132">
        <v>0.75</v>
      </c>
      <c r="E32" s="130"/>
      <c r="F32" s="133">
        <v>4</v>
      </c>
      <c r="G32" s="130"/>
      <c r="H32" s="130"/>
      <c r="I32" s="132">
        <f t="shared" si="2"/>
        <v>3</v>
      </c>
      <c r="J32" s="53"/>
      <c r="K32" s="53"/>
      <c r="L32" s="53"/>
      <c r="M32" s="53"/>
      <c r="N32" s="53"/>
      <c r="O32" s="59"/>
    </row>
    <row r="33" spans="1:15" x14ac:dyDescent="0.3">
      <c r="A33" s="68">
        <v>70</v>
      </c>
      <c r="B33" s="182" t="s">
        <v>140</v>
      </c>
      <c r="C33" s="164" t="s">
        <v>188</v>
      </c>
      <c r="D33" s="165">
        <v>0.25</v>
      </c>
      <c r="E33" s="164"/>
      <c r="F33" s="158">
        <v>4</v>
      </c>
      <c r="G33" s="164"/>
      <c r="H33" s="164"/>
      <c r="I33" s="165">
        <f t="shared" si="2"/>
        <v>1</v>
      </c>
      <c r="J33" s="53"/>
      <c r="K33" s="53"/>
      <c r="L33" s="53"/>
      <c r="M33" s="53"/>
      <c r="N33" s="53"/>
      <c r="O33" s="59"/>
    </row>
    <row r="34" spans="1:15" x14ac:dyDescent="0.3">
      <c r="A34" s="68">
        <v>80</v>
      </c>
      <c r="B34" s="71" t="s">
        <v>212</v>
      </c>
      <c r="C34" s="68" t="s">
        <v>189</v>
      </c>
      <c r="D34" s="69">
        <v>0.38</v>
      </c>
      <c r="E34" s="164"/>
      <c r="F34" s="158">
        <v>4</v>
      </c>
      <c r="G34" s="164"/>
      <c r="H34" s="164"/>
      <c r="I34" s="165">
        <f t="shared" si="2"/>
        <v>1.52</v>
      </c>
      <c r="J34" s="53"/>
      <c r="K34" s="53"/>
      <c r="L34" s="53"/>
      <c r="M34" s="53"/>
      <c r="N34" s="53"/>
      <c r="O34" s="59"/>
    </row>
    <row r="35" spans="1:15" x14ac:dyDescent="0.3">
      <c r="A35" s="68">
        <v>90</v>
      </c>
      <c r="B35" s="131" t="s">
        <v>141</v>
      </c>
      <c r="C35" s="130" t="s">
        <v>190</v>
      </c>
      <c r="D35" s="132">
        <v>0.75</v>
      </c>
      <c r="E35" s="164"/>
      <c r="F35" s="158">
        <v>4</v>
      </c>
      <c r="G35" s="164"/>
      <c r="H35" s="164"/>
      <c r="I35" s="165">
        <f t="shared" si="2"/>
        <v>3</v>
      </c>
      <c r="J35" s="53"/>
      <c r="K35" s="53"/>
      <c r="L35" s="53"/>
      <c r="M35" s="53"/>
      <c r="N35" s="53"/>
      <c r="O35" s="59"/>
    </row>
    <row r="36" spans="1:15" x14ac:dyDescent="0.3">
      <c r="A36" s="68">
        <v>100</v>
      </c>
      <c r="B36" s="182" t="s">
        <v>140</v>
      </c>
      <c r="C36" s="164" t="s">
        <v>190</v>
      </c>
      <c r="D36" s="165">
        <v>0.25</v>
      </c>
      <c r="E36" s="164"/>
      <c r="F36" s="158">
        <v>4</v>
      </c>
      <c r="G36" s="164"/>
      <c r="H36" s="164"/>
      <c r="I36" s="165">
        <f t="shared" si="2"/>
        <v>1</v>
      </c>
      <c r="J36" s="53"/>
      <c r="K36" s="53"/>
      <c r="L36" s="53"/>
      <c r="M36" s="53"/>
      <c r="N36" s="53"/>
      <c r="O36" s="59"/>
    </row>
    <row r="37" spans="1:15" x14ac:dyDescent="0.3">
      <c r="A37" s="68">
        <v>110</v>
      </c>
      <c r="B37" s="71" t="s">
        <v>212</v>
      </c>
      <c r="C37" s="68" t="s">
        <v>191</v>
      </c>
      <c r="D37" s="69">
        <v>0.38</v>
      </c>
      <c r="E37" s="164"/>
      <c r="F37" s="158">
        <v>4</v>
      </c>
      <c r="G37" s="164"/>
      <c r="H37" s="164"/>
      <c r="I37" s="165">
        <f t="shared" si="2"/>
        <v>1.52</v>
      </c>
      <c r="J37" s="53"/>
      <c r="K37" s="53"/>
      <c r="L37" s="53"/>
      <c r="M37" s="53"/>
      <c r="N37" s="53"/>
      <c r="O37" s="59"/>
    </row>
    <row r="38" spans="1:15" x14ac:dyDescent="0.3">
      <c r="A38" s="68">
        <v>120</v>
      </c>
      <c r="B38" s="131" t="s">
        <v>141</v>
      </c>
      <c r="C38" s="130" t="s">
        <v>192</v>
      </c>
      <c r="D38" s="132">
        <v>0.75</v>
      </c>
      <c r="E38" s="164"/>
      <c r="F38" s="158">
        <v>4</v>
      </c>
      <c r="G38" s="164"/>
      <c r="H38" s="164"/>
      <c r="I38" s="165">
        <f t="shared" si="2"/>
        <v>3</v>
      </c>
      <c r="J38" s="53"/>
      <c r="K38" s="53"/>
      <c r="L38" s="53"/>
      <c r="M38" s="53"/>
      <c r="N38" s="53"/>
      <c r="O38" s="59"/>
    </row>
    <row r="39" spans="1:15" x14ac:dyDescent="0.3">
      <c r="A39" s="68">
        <v>130</v>
      </c>
      <c r="B39" s="182" t="s">
        <v>140</v>
      </c>
      <c r="C39" s="164" t="s">
        <v>192</v>
      </c>
      <c r="D39" s="165">
        <v>0.25</v>
      </c>
      <c r="E39" s="164"/>
      <c r="F39" s="158">
        <v>4</v>
      </c>
      <c r="G39" s="164"/>
      <c r="H39" s="164"/>
      <c r="I39" s="165">
        <f t="shared" si="2"/>
        <v>1</v>
      </c>
      <c r="J39" s="53"/>
      <c r="K39" s="53"/>
      <c r="L39" s="53"/>
      <c r="M39" s="53"/>
      <c r="N39" s="53"/>
      <c r="O39" s="59"/>
    </row>
    <row r="40" spans="1:15" x14ac:dyDescent="0.3">
      <c r="A40" s="68">
        <v>140</v>
      </c>
      <c r="B40" s="71" t="s">
        <v>139</v>
      </c>
      <c r="C40" s="68" t="s">
        <v>193</v>
      </c>
      <c r="D40" s="69">
        <v>0.06</v>
      </c>
      <c r="E40" s="164"/>
      <c r="F40" s="158">
        <v>3</v>
      </c>
      <c r="G40" s="164"/>
      <c r="H40" s="164"/>
      <c r="I40" s="165">
        <f t="shared" si="2"/>
        <v>0.18</v>
      </c>
      <c r="J40" s="53"/>
      <c r="K40" s="53"/>
      <c r="L40" s="53"/>
      <c r="M40" s="53"/>
      <c r="N40" s="53"/>
      <c r="O40" s="59"/>
    </row>
    <row r="41" spans="1:15" x14ac:dyDescent="0.3">
      <c r="A41" s="68">
        <v>150</v>
      </c>
      <c r="B41" s="131" t="s">
        <v>141</v>
      </c>
      <c r="C41" s="130" t="s">
        <v>194</v>
      </c>
      <c r="D41" s="132">
        <v>0.75</v>
      </c>
      <c r="E41" s="164"/>
      <c r="F41" s="158">
        <v>3</v>
      </c>
      <c r="G41" s="164"/>
      <c r="H41" s="164"/>
      <c r="I41" s="165">
        <f t="shared" si="2"/>
        <v>2.25</v>
      </c>
      <c r="J41" s="53"/>
      <c r="K41" s="53"/>
      <c r="L41" s="53"/>
      <c r="M41" s="53"/>
      <c r="N41" s="53"/>
      <c r="O41" s="59"/>
    </row>
    <row r="42" spans="1:15" x14ac:dyDescent="0.3">
      <c r="A42" s="68">
        <v>160</v>
      </c>
      <c r="B42" s="182" t="s">
        <v>140</v>
      </c>
      <c r="C42" s="164" t="s">
        <v>194</v>
      </c>
      <c r="D42" s="165">
        <v>0.25</v>
      </c>
      <c r="E42" s="164"/>
      <c r="F42" s="158">
        <v>3</v>
      </c>
      <c r="G42" s="164"/>
      <c r="H42" s="164"/>
      <c r="I42" s="165">
        <f t="shared" si="2"/>
        <v>0.75</v>
      </c>
      <c r="J42" s="53"/>
      <c r="K42" s="53"/>
      <c r="L42" s="53"/>
      <c r="M42" s="53"/>
      <c r="N42" s="53"/>
      <c r="O42" s="59"/>
    </row>
    <row r="43" spans="1:15" x14ac:dyDescent="0.3">
      <c r="A43" s="68">
        <v>170</v>
      </c>
      <c r="B43" s="71" t="s">
        <v>139</v>
      </c>
      <c r="C43" s="68" t="s">
        <v>195</v>
      </c>
      <c r="D43" s="69">
        <v>0.06</v>
      </c>
      <c r="E43" s="164"/>
      <c r="F43" s="158">
        <v>2</v>
      </c>
      <c r="G43" s="164"/>
      <c r="H43" s="164"/>
      <c r="I43" s="165">
        <f t="shared" si="2"/>
        <v>0.12</v>
      </c>
      <c r="J43" s="53"/>
      <c r="K43" s="53"/>
      <c r="L43" s="53"/>
      <c r="M43" s="53"/>
      <c r="N43" s="53"/>
      <c r="O43" s="59"/>
    </row>
    <row r="44" spans="1:15" x14ac:dyDescent="0.3">
      <c r="A44" s="68">
        <v>180</v>
      </c>
      <c r="B44" s="131" t="s">
        <v>141</v>
      </c>
      <c r="C44" s="130" t="s">
        <v>196</v>
      </c>
      <c r="D44" s="132">
        <v>0.75</v>
      </c>
      <c r="E44" s="164"/>
      <c r="F44" s="158">
        <v>2</v>
      </c>
      <c r="G44" s="164"/>
      <c r="H44" s="164"/>
      <c r="I44" s="165">
        <f t="shared" si="2"/>
        <v>1.5</v>
      </c>
      <c r="J44" s="53"/>
      <c r="K44" s="53"/>
      <c r="L44" s="53"/>
      <c r="M44" s="53"/>
      <c r="N44" s="53"/>
      <c r="O44" s="59"/>
    </row>
    <row r="45" spans="1:15" x14ac:dyDescent="0.3">
      <c r="A45" s="68">
        <v>190</v>
      </c>
      <c r="B45" s="182" t="s">
        <v>140</v>
      </c>
      <c r="C45" s="164" t="s">
        <v>196</v>
      </c>
      <c r="D45" s="165">
        <v>0.25</v>
      </c>
      <c r="E45" s="164"/>
      <c r="F45" s="158">
        <v>2</v>
      </c>
      <c r="G45" s="164"/>
      <c r="H45" s="164"/>
      <c r="I45" s="165">
        <f t="shared" si="2"/>
        <v>0.5</v>
      </c>
      <c r="J45" s="53"/>
      <c r="K45" s="53"/>
      <c r="L45" s="53"/>
      <c r="M45" s="53"/>
      <c r="N45" s="53"/>
      <c r="O45" s="59"/>
    </row>
    <row r="46" spans="1:15" x14ac:dyDescent="0.3">
      <c r="A46" s="68">
        <v>200</v>
      </c>
      <c r="B46" s="71" t="s">
        <v>139</v>
      </c>
      <c r="C46" s="68" t="s">
        <v>197</v>
      </c>
      <c r="D46" s="69">
        <v>0.06</v>
      </c>
      <c r="E46" s="164"/>
      <c r="F46" s="158">
        <v>3</v>
      </c>
      <c r="G46" s="164"/>
      <c r="H46" s="164"/>
      <c r="I46" s="165">
        <f t="shared" si="2"/>
        <v>0.18</v>
      </c>
      <c r="J46" s="53"/>
      <c r="K46" s="53"/>
      <c r="L46" s="53"/>
      <c r="M46" s="53"/>
      <c r="N46" s="53"/>
      <c r="O46" s="59"/>
    </row>
    <row r="47" spans="1:15" x14ac:dyDescent="0.3">
      <c r="A47" s="68">
        <v>210</v>
      </c>
      <c r="B47" s="131" t="s">
        <v>141</v>
      </c>
      <c r="C47" s="130" t="s">
        <v>198</v>
      </c>
      <c r="D47" s="132">
        <v>0.75</v>
      </c>
      <c r="E47" s="164"/>
      <c r="F47" s="158">
        <v>3</v>
      </c>
      <c r="G47" s="164"/>
      <c r="H47" s="164"/>
      <c r="I47" s="165">
        <f t="shared" si="2"/>
        <v>2.25</v>
      </c>
      <c r="J47" s="53"/>
      <c r="K47" s="53"/>
      <c r="L47" s="53"/>
      <c r="M47" s="53"/>
      <c r="N47" s="53"/>
      <c r="O47" s="59"/>
    </row>
    <row r="48" spans="1:15" x14ac:dyDescent="0.3">
      <c r="A48" s="68">
        <v>220</v>
      </c>
      <c r="B48" s="183" t="s">
        <v>140</v>
      </c>
      <c r="C48" s="172" t="s">
        <v>198</v>
      </c>
      <c r="D48" s="173">
        <v>0.25</v>
      </c>
      <c r="E48" s="172"/>
      <c r="F48" s="184">
        <v>3</v>
      </c>
      <c r="G48" s="172"/>
      <c r="H48" s="172"/>
      <c r="I48" s="173">
        <f t="shared" si="2"/>
        <v>0.75</v>
      </c>
      <c r="J48" s="53"/>
      <c r="K48" s="53"/>
      <c r="L48" s="53"/>
      <c r="M48" s="53"/>
      <c r="N48" s="53"/>
      <c r="O48" s="59"/>
    </row>
    <row r="49" spans="1:15" x14ac:dyDescent="0.3">
      <c r="A49" s="68">
        <v>230</v>
      </c>
      <c r="B49" s="71" t="s">
        <v>139</v>
      </c>
      <c r="C49" s="164" t="s">
        <v>199</v>
      </c>
      <c r="D49" s="165">
        <v>0.06</v>
      </c>
      <c r="E49" s="164"/>
      <c r="F49" s="158">
        <v>3</v>
      </c>
      <c r="G49" s="164"/>
      <c r="H49" s="164"/>
      <c r="I49" s="173">
        <f t="shared" si="2"/>
        <v>0.18</v>
      </c>
      <c r="J49" s="53"/>
      <c r="K49" s="53"/>
      <c r="L49" s="53"/>
      <c r="M49" s="53"/>
      <c r="N49" s="53"/>
      <c r="O49" s="59"/>
    </row>
    <row r="50" spans="1:15" x14ac:dyDescent="0.3">
      <c r="A50" s="68">
        <v>240</v>
      </c>
      <c r="B50" s="131" t="s">
        <v>141</v>
      </c>
      <c r="C50" s="164" t="s">
        <v>200</v>
      </c>
      <c r="D50" s="165">
        <v>0.75</v>
      </c>
      <c r="E50" s="164"/>
      <c r="F50" s="158">
        <v>3</v>
      </c>
      <c r="G50" s="164"/>
      <c r="H50" s="164"/>
      <c r="I50" s="173">
        <f t="shared" si="2"/>
        <v>2.25</v>
      </c>
      <c r="J50" s="53"/>
      <c r="K50" s="53"/>
      <c r="L50" s="53"/>
      <c r="M50" s="53"/>
      <c r="N50" s="53"/>
      <c r="O50" s="59"/>
    </row>
    <row r="51" spans="1:15" x14ac:dyDescent="0.3">
      <c r="A51" s="68">
        <v>250</v>
      </c>
      <c r="B51" s="182" t="s">
        <v>140</v>
      </c>
      <c r="C51" s="164" t="s">
        <v>200</v>
      </c>
      <c r="D51" s="165">
        <v>0.25</v>
      </c>
      <c r="E51" s="164"/>
      <c r="F51" s="158">
        <v>3</v>
      </c>
      <c r="G51" s="164"/>
      <c r="H51" s="164"/>
      <c r="I51" s="173">
        <f t="shared" si="2"/>
        <v>0.75</v>
      </c>
      <c r="J51" s="53"/>
      <c r="K51" s="53"/>
      <c r="L51" s="53"/>
      <c r="M51" s="53"/>
      <c r="N51" s="53"/>
      <c r="O51" s="59"/>
    </row>
    <row r="52" spans="1:15" x14ac:dyDescent="0.3">
      <c r="A52" s="68">
        <v>260</v>
      </c>
      <c r="B52" s="71" t="s">
        <v>139</v>
      </c>
      <c r="C52" s="164" t="s">
        <v>201</v>
      </c>
      <c r="D52" s="165">
        <v>0.06</v>
      </c>
      <c r="E52" s="164"/>
      <c r="F52" s="158">
        <v>2</v>
      </c>
      <c r="G52" s="164"/>
      <c r="H52" s="164"/>
      <c r="I52" s="173">
        <f t="shared" si="2"/>
        <v>0.12</v>
      </c>
      <c r="J52" s="53"/>
      <c r="K52" s="53"/>
      <c r="L52" s="53"/>
      <c r="M52" s="53"/>
      <c r="N52" s="53"/>
      <c r="O52" s="59"/>
    </row>
    <row r="53" spans="1:15" x14ac:dyDescent="0.3">
      <c r="A53" s="68">
        <v>270</v>
      </c>
      <c r="B53" s="131" t="s">
        <v>141</v>
      </c>
      <c r="C53" s="164" t="s">
        <v>202</v>
      </c>
      <c r="D53" s="165">
        <v>0.75</v>
      </c>
      <c r="E53" s="164"/>
      <c r="F53" s="158">
        <v>2</v>
      </c>
      <c r="G53" s="164"/>
      <c r="H53" s="164"/>
      <c r="I53" s="173">
        <f t="shared" si="2"/>
        <v>1.5</v>
      </c>
      <c r="J53" s="53"/>
      <c r="K53" s="53"/>
      <c r="L53" s="53"/>
      <c r="M53" s="53"/>
      <c r="N53" s="53"/>
      <c r="O53" s="59"/>
    </row>
    <row r="54" spans="1:15" x14ac:dyDescent="0.3">
      <c r="A54" s="68">
        <v>280</v>
      </c>
      <c r="B54" s="182" t="s">
        <v>140</v>
      </c>
      <c r="C54" s="164" t="s">
        <v>202</v>
      </c>
      <c r="D54" s="165">
        <v>0.25</v>
      </c>
      <c r="E54" s="164"/>
      <c r="F54" s="158">
        <v>2</v>
      </c>
      <c r="G54" s="164"/>
      <c r="H54" s="164"/>
      <c r="I54" s="173">
        <f t="shared" si="2"/>
        <v>0.5</v>
      </c>
      <c r="J54" s="53"/>
      <c r="K54" s="53"/>
      <c r="L54" s="53"/>
      <c r="M54" s="53"/>
      <c r="N54" s="53"/>
      <c r="O54" s="59"/>
    </row>
    <row r="55" spans="1:15" x14ac:dyDescent="0.3">
      <c r="A55" s="68">
        <v>290</v>
      </c>
      <c r="B55" s="71" t="s">
        <v>139</v>
      </c>
      <c r="C55" s="164" t="s">
        <v>203</v>
      </c>
      <c r="D55" s="165">
        <v>0.06</v>
      </c>
      <c r="E55" s="164"/>
      <c r="F55" s="158">
        <v>3</v>
      </c>
      <c r="G55" s="164"/>
      <c r="H55" s="164"/>
      <c r="I55" s="173">
        <f t="shared" si="2"/>
        <v>0.18</v>
      </c>
      <c r="J55" s="53"/>
      <c r="K55" s="53"/>
      <c r="L55" s="53"/>
      <c r="M55" s="53"/>
      <c r="N55" s="53"/>
      <c r="O55" s="59"/>
    </row>
    <row r="56" spans="1:15" x14ac:dyDescent="0.3">
      <c r="A56" s="130">
        <v>300</v>
      </c>
      <c r="B56" s="131" t="s">
        <v>141</v>
      </c>
      <c r="C56" s="172" t="s">
        <v>204</v>
      </c>
      <c r="D56" s="165">
        <v>0.75</v>
      </c>
      <c r="E56" s="164"/>
      <c r="F56" s="158">
        <v>3</v>
      </c>
      <c r="G56" s="164"/>
      <c r="H56" s="164"/>
      <c r="I56" s="173">
        <f t="shared" si="2"/>
        <v>2.25</v>
      </c>
      <c r="J56" s="53"/>
      <c r="K56" s="53"/>
      <c r="L56" s="53"/>
      <c r="M56" s="53"/>
      <c r="N56" s="53"/>
      <c r="O56" s="59"/>
    </row>
    <row r="57" spans="1:15" x14ac:dyDescent="0.3">
      <c r="A57" s="164">
        <v>310</v>
      </c>
      <c r="B57" s="182" t="s">
        <v>140</v>
      </c>
      <c r="C57" s="164" t="s">
        <v>204</v>
      </c>
      <c r="D57" s="165">
        <v>0.25</v>
      </c>
      <c r="E57" s="164"/>
      <c r="F57" s="158">
        <v>3</v>
      </c>
      <c r="G57" s="164"/>
      <c r="H57" s="172"/>
      <c r="I57" s="173">
        <f t="shared" si="2"/>
        <v>0.75</v>
      </c>
      <c r="J57" s="53"/>
      <c r="K57" s="53"/>
      <c r="L57" s="53"/>
      <c r="M57" s="53"/>
      <c r="N57" s="53"/>
      <c r="O57" s="59"/>
    </row>
    <row r="58" spans="1:15" x14ac:dyDescent="0.3">
      <c r="A58" s="164">
        <v>320</v>
      </c>
      <c r="B58" s="182" t="s">
        <v>209</v>
      </c>
      <c r="C58" s="164" t="s">
        <v>210</v>
      </c>
      <c r="D58" s="165">
        <v>0.8</v>
      </c>
      <c r="E58" s="164" t="s">
        <v>211</v>
      </c>
      <c r="F58" s="158">
        <v>5</v>
      </c>
      <c r="G58" s="164"/>
      <c r="H58" s="164"/>
      <c r="I58" s="165">
        <f t="shared" si="2"/>
        <v>4</v>
      </c>
      <c r="J58" s="53"/>
      <c r="K58" s="53"/>
      <c r="L58" s="53"/>
      <c r="M58" s="53"/>
      <c r="N58" s="53"/>
      <c r="O58" s="59"/>
    </row>
    <row r="59" spans="1:15" x14ac:dyDescent="0.3">
      <c r="A59" s="63"/>
      <c r="B59" s="20"/>
      <c r="C59" s="20"/>
      <c r="D59" s="20"/>
      <c r="E59" s="20"/>
      <c r="F59" s="20"/>
      <c r="G59" s="20"/>
      <c r="H59" s="196" t="s">
        <v>18</v>
      </c>
      <c r="I59" s="197">
        <f>SUM(I27:I58)</f>
        <v>54.470233999999991</v>
      </c>
      <c r="J59" s="53"/>
      <c r="K59" s="53"/>
      <c r="L59" s="53"/>
      <c r="M59" s="53"/>
      <c r="N59" s="53"/>
      <c r="O59" s="59"/>
    </row>
    <row r="60" spans="1:15" x14ac:dyDescent="0.3">
      <c r="A60" s="60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9"/>
    </row>
    <row r="61" spans="1:15" x14ac:dyDescent="0.3">
      <c r="A61" s="87" t="s">
        <v>14</v>
      </c>
      <c r="B61" s="87" t="s">
        <v>36</v>
      </c>
      <c r="C61" s="87" t="s">
        <v>20</v>
      </c>
      <c r="D61" s="87" t="s">
        <v>21</v>
      </c>
      <c r="E61" s="87" t="s">
        <v>22</v>
      </c>
      <c r="F61" s="87" t="s">
        <v>23</v>
      </c>
      <c r="G61" s="87" t="s">
        <v>24</v>
      </c>
      <c r="H61" s="87" t="s">
        <v>25</v>
      </c>
      <c r="I61" s="87" t="s">
        <v>17</v>
      </c>
      <c r="J61" s="87" t="s">
        <v>18</v>
      </c>
      <c r="K61" s="53"/>
      <c r="L61" s="53"/>
      <c r="M61" s="53"/>
      <c r="N61" s="53"/>
      <c r="O61" s="59"/>
    </row>
    <row r="62" spans="1:15" s="138" customFormat="1" x14ac:dyDescent="0.3">
      <c r="A62" s="140">
        <v>10</v>
      </c>
      <c r="B62" s="140" t="s">
        <v>144</v>
      </c>
      <c r="C62" s="140" t="s">
        <v>186</v>
      </c>
      <c r="D62" s="69">
        <f>0.8/105154*E62^2*G62*SQRT(G62)+(0.003*EXP(0.319*E62))</f>
        <v>6.5344202146287819E-2</v>
      </c>
      <c r="E62" s="140">
        <v>6</v>
      </c>
      <c r="F62" s="140" t="s">
        <v>30</v>
      </c>
      <c r="G62" s="140">
        <v>30</v>
      </c>
      <c r="H62" s="140" t="s">
        <v>30</v>
      </c>
      <c r="I62" s="140">
        <v>28</v>
      </c>
      <c r="J62" s="139">
        <f t="shared" ref="J62:J64" si="3">I62*D62</f>
        <v>1.8296376600960589</v>
      </c>
      <c r="K62" s="136"/>
      <c r="L62" s="136"/>
      <c r="M62" s="136"/>
      <c r="N62" s="136"/>
      <c r="O62" s="137"/>
    </row>
    <row r="63" spans="1:15" s="138" customFormat="1" x14ac:dyDescent="0.3">
      <c r="A63" s="140">
        <v>20</v>
      </c>
      <c r="B63" s="140" t="s">
        <v>37</v>
      </c>
      <c r="C63" s="140" t="s">
        <v>186</v>
      </c>
      <c r="D63" s="69">
        <v>0.01</v>
      </c>
      <c r="E63" s="140"/>
      <c r="F63" s="140"/>
      <c r="G63" s="140"/>
      <c r="H63" s="140"/>
      <c r="I63" s="140">
        <v>56</v>
      </c>
      <c r="J63" s="139">
        <f t="shared" si="3"/>
        <v>0.56000000000000005</v>
      </c>
      <c r="K63" s="136"/>
      <c r="L63" s="136"/>
      <c r="M63" s="136"/>
      <c r="N63" s="136"/>
      <c r="O63" s="137"/>
    </row>
    <row r="64" spans="1:15" s="138" customFormat="1" x14ac:dyDescent="0.3">
      <c r="A64" s="140">
        <v>30</v>
      </c>
      <c r="B64" s="140" t="s">
        <v>38</v>
      </c>
      <c r="C64" s="140" t="s">
        <v>186</v>
      </c>
      <c r="D64" s="69">
        <f>(0.009*EXP(0.2*E64))</f>
        <v>2.9881052304628931E-2</v>
      </c>
      <c r="E64" s="140">
        <v>6</v>
      </c>
      <c r="F64" s="140" t="s">
        <v>30</v>
      </c>
      <c r="G64" s="140"/>
      <c r="H64" s="140"/>
      <c r="I64" s="140">
        <v>28</v>
      </c>
      <c r="J64" s="139">
        <f t="shared" si="3"/>
        <v>0.83666946452961011</v>
      </c>
      <c r="K64" s="136"/>
      <c r="L64" s="136"/>
      <c r="M64" s="136"/>
      <c r="N64" s="136"/>
      <c r="O64" s="137"/>
    </row>
    <row r="65" spans="1:15" x14ac:dyDescent="0.3">
      <c r="A65" s="63"/>
      <c r="B65" s="20"/>
      <c r="C65" s="20"/>
      <c r="D65" s="20"/>
      <c r="E65" s="20"/>
      <c r="F65" s="20"/>
      <c r="G65" s="20"/>
      <c r="H65" s="20"/>
      <c r="I65" s="88" t="s">
        <v>18</v>
      </c>
      <c r="J65" s="89">
        <f>SUM(J62:J64)</f>
        <v>3.2263071246256692</v>
      </c>
      <c r="K65" s="53"/>
      <c r="L65" s="53"/>
      <c r="M65" s="53"/>
      <c r="N65" s="53"/>
      <c r="O65" s="59"/>
    </row>
    <row r="66" spans="1:15" x14ac:dyDescent="0.3">
      <c r="A66" s="60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9"/>
    </row>
    <row r="67" spans="1:15" x14ac:dyDescent="0.3">
      <c r="A67" s="87" t="s">
        <v>14</v>
      </c>
      <c r="B67" s="87" t="s">
        <v>39</v>
      </c>
      <c r="C67" s="87" t="s">
        <v>20</v>
      </c>
      <c r="D67" s="87" t="s">
        <v>21</v>
      </c>
      <c r="E67" s="87" t="s">
        <v>32</v>
      </c>
      <c r="F67" s="87" t="s">
        <v>17</v>
      </c>
      <c r="G67" s="87" t="s">
        <v>40</v>
      </c>
      <c r="H67" s="87" t="s">
        <v>41</v>
      </c>
      <c r="I67" s="87" t="s">
        <v>18</v>
      </c>
      <c r="J67" s="20"/>
      <c r="K67" s="53"/>
      <c r="L67" s="53"/>
      <c r="M67" s="53"/>
      <c r="N67" s="53"/>
      <c r="O67" s="59"/>
    </row>
    <row r="68" spans="1:15" x14ac:dyDescent="0.3">
      <c r="A68" s="68">
        <v>10</v>
      </c>
      <c r="B68" s="68" t="s">
        <v>42</v>
      </c>
      <c r="C68" s="68" t="s">
        <v>145</v>
      </c>
      <c r="D68" s="69">
        <v>500</v>
      </c>
      <c r="E68" s="68" t="s">
        <v>43</v>
      </c>
      <c r="F68" s="68">
        <f>28*2</f>
        <v>56</v>
      </c>
      <c r="G68" s="68">
        <v>3000</v>
      </c>
      <c r="H68" s="68">
        <v>1</v>
      </c>
      <c r="I68" s="69">
        <f>D68*F68/G68*H68</f>
        <v>9.3333333333333339</v>
      </c>
      <c r="J68" s="20"/>
      <c r="K68" s="53"/>
      <c r="L68" s="53"/>
      <c r="M68" s="53"/>
      <c r="N68" s="53"/>
      <c r="O68" s="59"/>
    </row>
    <row r="69" spans="1:15" x14ac:dyDescent="0.3">
      <c r="A69" s="63"/>
      <c r="B69" s="20"/>
      <c r="C69" s="20"/>
      <c r="D69" s="20"/>
      <c r="E69" s="20"/>
      <c r="F69" s="20"/>
      <c r="G69" s="20"/>
      <c r="H69" s="91" t="s">
        <v>18</v>
      </c>
      <c r="I69" s="92">
        <f>SUM(I68:I68)</f>
        <v>9.3333333333333339</v>
      </c>
      <c r="J69" s="20"/>
      <c r="K69" s="53"/>
      <c r="L69" s="53"/>
      <c r="M69" s="53"/>
      <c r="N69" s="53"/>
      <c r="O69" s="59"/>
    </row>
    <row r="70" spans="1:15" ht="15" thickBot="1" x14ac:dyDescent="0.35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7"/>
    </row>
    <row r="71" spans="1:15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</row>
  </sheetData>
  <hyperlinks>
    <hyperlink ref="B10" location="MS_0100_001" display="Firewall up"/>
    <hyperlink ref="B11" location="MS_0100_002" display="Firewall Middle"/>
    <hyperlink ref="B12" location="MS_0100_003" display="Firewall Bottom"/>
    <hyperlink ref="B13" location="MS_0100_004" display="Firewall Upper Side"/>
    <hyperlink ref="B14" location="MS_0100_005" display="Firewall Middle Side"/>
    <hyperlink ref="B15" location="MS_0100_006" display="Firewall Lower Side"/>
    <hyperlink ref="B16" location="MS_0100_007" display="Firewall Up Bracket"/>
    <hyperlink ref="B17" location="MS_0100_008" display="Firewall Middle, Bottom and Sides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0"/>
  <sheetViews>
    <sheetView zoomScale="75" zoomScaleNormal="75" workbookViewId="0">
      <selection activeCell="H17" sqref="H17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31" customWidth="1"/>
    <col min="8" max="8" width="10.5546875"/>
    <col min="9" max="9" width="11.21875" bestFit="1" customWidth="1"/>
    <col min="10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MS_0100_001_m+MS_0100_001_p</f>
        <v>9.2651947324861545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1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174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9.2651947324861545</v>
      </c>
      <c r="O5" s="59"/>
    </row>
    <row r="6" spans="1:15" x14ac:dyDescent="0.3">
      <c r="A6" s="114" t="s">
        <v>7</v>
      </c>
      <c r="B6" s="24" t="s">
        <v>165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5">
        <v>0.21741099999999999</v>
      </c>
      <c r="K11" s="17">
        <v>2E-3</v>
      </c>
      <c r="L11" s="27">
        <v>2712</v>
      </c>
      <c r="M11" s="19">
        <v>1</v>
      </c>
      <c r="N11" s="28">
        <f>IF(J11="",D11*M11,D11*J11*K11*L11*M11)</f>
        <v>4.9527965088000006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4.9527965088000006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3">
        <v>10</v>
      </c>
      <c r="B15" s="160" t="s">
        <v>45</v>
      </c>
      <c r="C15" s="193"/>
      <c r="D15" s="194">
        <v>1.3</v>
      </c>
      <c r="E15" s="182" t="s">
        <v>35</v>
      </c>
      <c r="F15" s="195">
        <v>1</v>
      </c>
      <c r="G15" s="193"/>
      <c r="H15" s="29"/>
      <c r="I15" s="30">
        <f t="shared" ref="I15:I17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165">
        <v>0.01</v>
      </c>
      <c r="E16" s="164" t="s">
        <v>47</v>
      </c>
      <c r="F16" s="190">
        <f>193.7+4*2*PI()*0.3</f>
        <v>201.23982236861548</v>
      </c>
      <c r="G16" s="182" t="s">
        <v>214</v>
      </c>
      <c r="H16" s="184">
        <v>1</v>
      </c>
      <c r="I16" s="173">
        <f t="shared" si="0"/>
        <v>2.0123982236861546</v>
      </c>
      <c r="J16" s="53"/>
      <c r="K16" s="53"/>
      <c r="L16" s="53"/>
      <c r="M16" s="53"/>
      <c r="N16" s="53"/>
      <c r="O16" s="59"/>
    </row>
    <row r="17" spans="1:15" x14ac:dyDescent="0.3">
      <c r="A17" s="164">
        <v>30</v>
      </c>
      <c r="B17" s="160" t="s">
        <v>148</v>
      </c>
      <c r="C17" s="164"/>
      <c r="D17" s="165">
        <v>0.25</v>
      </c>
      <c r="E17" s="164" t="s">
        <v>149</v>
      </c>
      <c r="F17" s="190">
        <v>4</v>
      </c>
      <c r="G17" s="182"/>
      <c r="H17" s="158"/>
      <c r="I17" s="165">
        <f t="shared" si="0"/>
        <v>1</v>
      </c>
      <c r="J17" s="53"/>
      <c r="K17" s="53"/>
      <c r="L17" s="53"/>
      <c r="M17" s="53"/>
      <c r="N17" s="53"/>
      <c r="O17" s="59"/>
    </row>
    <row r="18" spans="1:15" x14ac:dyDescent="0.3">
      <c r="A18" s="63"/>
      <c r="B18" s="20"/>
      <c r="C18" s="20"/>
      <c r="D18" s="20"/>
      <c r="E18" s="20"/>
      <c r="F18" s="20"/>
      <c r="G18" s="20"/>
      <c r="H18" s="123" t="s">
        <v>18</v>
      </c>
      <c r="I18" s="121">
        <f>SUM(I15:I17)</f>
        <v>4.3123982236861549</v>
      </c>
      <c r="J18" s="20"/>
      <c r="K18" s="20"/>
      <c r="L18" s="20"/>
      <c r="M18" s="20"/>
      <c r="N18" s="20"/>
      <c r="O18" s="59"/>
    </row>
    <row r="19" spans="1:15" x14ac:dyDescent="0.3">
      <c r="A19" s="60"/>
      <c r="B19" s="53"/>
      <c r="C19" s="53"/>
      <c r="D19" s="53"/>
      <c r="E19" s="53"/>
      <c r="F19" s="53"/>
      <c r="G19" s="53"/>
      <c r="H19" s="53"/>
      <c r="I19" s="54"/>
      <c r="J19" s="53"/>
      <c r="K19" s="53"/>
      <c r="L19" s="53"/>
      <c r="M19" s="53"/>
      <c r="N19" s="53"/>
      <c r="O19" s="59"/>
    </row>
    <row r="20" spans="1:15" ht="15" thickBot="1" x14ac:dyDescent="0.3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</row>
  </sheetData>
  <hyperlinks>
    <hyperlink ref="B4" location="MS_A0100!A1" display="MS_A0100!A1"/>
    <hyperlink ref="E3" location="dMS_0100_001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38" t="s">
        <v>93</v>
      </c>
      <c r="B1" s="143" t="s">
        <v>165</v>
      </c>
    </row>
  </sheetData>
  <hyperlinks>
    <hyperlink ref="B1" location="MS_0100_001!A1" display="FR_03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zoomScale="85" zoomScaleNormal="85" workbookViewId="0">
      <selection activeCell="H17" sqref="H17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7" max="7" width="33" customWidth="1"/>
    <col min="9" max="9" width="11.109375" bestFit="1" customWidth="1"/>
    <col min="10" max="10" width="16.1093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MS_0100_002_m+MS_0100_002_p</f>
        <v>7.5426952828861555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1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162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7.5426952828861555</v>
      </c>
      <c r="O5" s="59"/>
    </row>
    <row r="6" spans="1:15" x14ac:dyDescent="0.3">
      <c r="A6" s="114" t="s">
        <v>7</v>
      </c>
      <c r="B6" s="24" t="s">
        <v>166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173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4">
        <v>0.18854899999999999</v>
      </c>
      <c r="K11" s="17">
        <v>2E-3</v>
      </c>
      <c r="L11" s="27">
        <v>2712</v>
      </c>
      <c r="M11" s="19">
        <v>1</v>
      </c>
      <c r="N11" s="28">
        <f>IF(J11="",D11*M11,D11*J11*K11*L11*M11)</f>
        <v>4.2952970592000002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4.2952970592000002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/>
      <c r="H15" s="29"/>
      <c r="I15" s="28">
        <f t="shared" ref="I15:I16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f>187.2+4*2*PI()*0.3</f>
        <v>194.73982236861548</v>
      </c>
      <c r="G16" s="23" t="s">
        <v>214</v>
      </c>
      <c r="H16" s="22">
        <v>1</v>
      </c>
      <c r="I16" s="28">
        <f t="shared" si="0"/>
        <v>1.9473982236861549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3.2473982236861549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2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38" t="s">
        <v>147</v>
      </c>
      <c r="B1" s="143" t="s">
        <v>166</v>
      </c>
    </row>
  </sheetData>
  <hyperlinks>
    <hyperlink ref="B1" location="MS_0100_002!A1" display="FR_03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9"/>
  <sheetViews>
    <sheetView workbookViewId="0">
      <selection activeCell="H17" sqref="H17"/>
    </sheetView>
  </sheetViews>
  <sheetFormatPr baseColWidth="10" defaultColWidth="9.109375" defaultRowHeight="14.4" x14ac:dyDescent="0.3"/>
  <cols>
    <col min="2" max="2" width="33.44140625" bestFit="1" customWidth="1"/>
    <col min="7" max="7" width="29.77734375" customWidth="1"/>
    <col min="9" max="9" width="10.886718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MS_0100_003_m+MS_0100_003_p</f>
        <v>11.141555750086155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1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161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11.141555750086155</v>
      </c>
      <c r="O5" s="59"/>
    </row>
    <row r="6" spans="1:15" x14ac:dyDescent="0.3">
      <c r="A6" s="114" t="s">
        <v>7</v>
      </c>
      <c r="B6" s="24" t="s">
        <v>167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5">
        <v>0.29973300000000003</v>
      </c>
      <c r="K11" s="17">
        <v>2E-3</v>
      </c>
      <c r="L11" s="27">
        <v>2712</v>
      </c>
      <c r="M11" s="19">
        <v>1</v>
      </c>
      <c r="N11" s="28">
        <f>IF(J11="",D11*M11,D11*J11*K11*L11*M11)</f>
        <v>6.828157526400001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6.828157526400001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6">
        <v>10</v>
      </c>
      <c r="B15" s="134" t="s">
        <v>45</v>
      </c>
      <c r="C15" s="29"/>
      <c r="D15" s="30">
        <v>1.3</v>
      </c>
      <c r="E15" s="23" t="s">
        <v>35</v>
      </c>
      <c r="F15" s="141">
        <v>1</v>
      </c>
      <c r="G15" s="29"/>
      <c r="H15" s="29"/>
      <c r="I15" s="30">
        <f t="shared" ref="I15:I17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88">
        <v>20</v>
      </c>
      <c r="B16" s="157" t="s">
        <v>46</v>
      </c>
      <c r="C16" s="172"/>
      <c r="D16" s="173">
        <v>0.01</v>
      </c>
      <c r="E16" s="172" t="s">
        <v>47</v>
      </c>
      <c r="F16" s="189">
        <f>218.8+4*2*PI()*0.3</f>
        <v>226.3398223686155</v>
      </c>
      <c r="G16" s="183" t="s">
        <v>214</v>
      </c>
      <c r="H16" s="184">
        <v>1</v>
      </c>
      <c r="I16" s="173">
        <f t="shared" si="0"/>
        <v>2.263398223686155</v>
      </c>
      <c r="J16" s="53"/>
      <c r="K16" s="53"/>
      <c r="L16" s="53"/>
      <c r="M16" s="53"/>
      <c r="N16" s="53"/>
      <c r="O16" s="59"/>
    </row>
    <row r="17" spans="1:15" x14ac:dyDescent="0.3">
      <c r="A17" s="164">
        <v>30</v>
      </c>
      <c r="B17" s="160" t="s">
        <v>148</v>
      </c>
      <c r="C17" s="164"/>
      <c r="D17" s="165">
        <v>0.25</v>
      </c>
      <c r="E17" s="164" t="s">
        <v>149</v>
      </c>
      <c r="F17" s="190">
        <v>3</v>
      </c>
      <c r="G17" s="182"/>
      <c r="H17" s="158"/>
      <c r="I17" s="165">
        <f t="shared" si="0"/>
        <v>0.75</v>
      </c>
      <c r="J17" s="53"/>
      <c r="K17" s="53"/>
      <c r="L17" s="53"/>
      <c r="M17" s="53"/>
      <c r="N17" s="53"/>
      <c r="O17" s="59"/>
    </row>
    <row r="18" spans="1:15" x14ac:dyDescent="0.3">
      <c r="A18" s="63"/>
      <c r="B18" s="20"/>
      <c r="C18" s="20"/>
      <c r="D18" s="20"/>
      <c r="E18" s="20"/>
      <c r="F18" s="20"/>
      <c r="G18" s="20"/>
      <c r="H18" s="123" t="s">
        <v>18</v>
      </c>
      <c r="I18" s="121">
        <f>SUM(I15:I17)</f>
        <v>4.3133982236861552</v>
      </c>
      <c r="J18" s="20"/>
      <c r="K18" s="20"/>
      <c r="L18" s="20"/>
      <c r="M18" s="20"/>
      <c r="N18" s="20"/>
      <c r="O18" s="59"/>
    </row>
    <row r="19" spans="1:15" ht="15" thickBot="1" x14ac:dyDescent="0.3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</sheetData>
  <hyperlinks>
    <hyperlink ref="B4" location="MS_A0100!A1" display="MS_A0100!A1"/>
    <hyperlink ref="E3" location="dMS_0100_003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167</v>
      </c>
    </row>
  </sheetData>
  <hyperlinks>
    <hyperlink ref="B1" location="MS_0100_003!A1" display="FR_03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MS_A0100</vt:lpstr>
      <vt:lpstr>MS_0100_001</vt:lpstr>
      <vt:lpstr>dMS_0100_001</vt:lpstr>
      <vt:lpstr>MS_0100_002</vt:lpstr>
      <vt:lpstr>dMS_0100_002</vt:lpstr>
      <vt:lpstr>MS_0100_003</vt:lpstr>
      <vt:lpstr>dMS_0100_003</vt:lpstr>
      <vt:lpstr>MS_0100_004</vt:lpstr>
      <vt:lpstr>dMS_0100_004</vt:lpstr>
      <vt:lpstr>MS_0100_005</vt:lpstr>
      <vt:lpstr>dMS_0100_005</vt:lpstr>
      <vt:lpstr>MS_0100_006</vt:lpstr>
      <vt:lpstr>dMS_0100_006</vt:lpstr>
      <vt:lpstr>MS_0100_007</vt:lpstr>
      <vt:lpstr>dMS_0100_007</vt:lpstr>
      <vt:lpstr>MS_0100_008</vt:lpstr>
      <vt:lpstr>dMS_0100_008</vt:lpstr>
      <vt:lpstr>BOM!Car</vt:lpstr>
      <vt:lpstr>BOM!CompCode</vt:lpstr>
      <vt:lpstr>BOM!Impression_des_titres</vt:lpstr>
      <vt:lpstr>MS_0100_001</vt:lpstr>
      <vt:lpstr>MS_0100_001_m</vt:lpstr>
      <vt:lpstr>MS_0100_001_p</vt:lpstr>
      <vt:lpstr>MS_0100_001_q</vt:lpstr>
      <vt:lpstr>MS_0100_002</vt:lpstr>
      <vt:lpstr>MS_0100_002_m</vt:lpstr>
      <vt:lpstr>MS_0100_002_p</vt:lpstr>
      <vt:lpstr>MS_0100_002_q</vt:lpstr>
      <vt:lpstr>MS_0100_003</vt:lpstr>
      <vt:lpstr>MS_0100_003_m</vt:lpstr>
      <vt:lpstr>MS_0100_003_p</vt:lpstr>
      <vt:lpstr>MS_0100_003_q</vt:lpstr>
      <vt:lpstr>MS_0100_004</vt:lpstr>
      <vt:lpstr>MS_0100_004_m</vt:lpstr>
      <vt:lpstr>MS_0100_004_p</vt:lpstr>
      <vt:lpstr>MS_0100_004_q</vt:lpstr>
      <vt:lpstr>MS_0100_005</vt:lpstr>
      <vt:lpstr>MS_0100_005_m</vt:lpstr>
      <vt:lpstr>MS_0100_005_p</vt:lpstr>
      <vt:lpstr>MS_0100_005_q</vt:lpstr>
      <vt:lpstr>MS_0100_006</vt:lpstr>
      <vt:lpstr>MS_0100_006_m</vt:lpstr>
      <vt:lpstr>MS_0100_006_p</vt:lpstr>
      <vt:lpstr>MS_0100_006_q</vt:lpstr>
      <vt:lpstr>MS_0100_007</vt:lpstr>
      <vt:lpstr>MS_0100_007_m</vt:lpstr>
      <vt:lpstr>MS_0100_007_p</vt:lpstr>
      <vt:lpstr>MS_0100_007_q</vt:lpstr>
      <vt:lpstr>MS_0100_008</vt:lpstr>
      <vt:lpstr>MS_0100_008_m</vt:lpstr>
      <vt:lpstr>MS_0100_008_p</vt:lpstr>
      <vt:lpstr>MS_0100_008_q</vt:lpstr>
      <vt:lpstr>MS_A0100</vt:lpstr>
      <vt:lpstr>MS_A0100_f</vt:lpstr>
      <vt:lpstr>MS_A0100_m</vt:lpstr>
      <vt:lpstr>MS_A0100_p</vt:lpstr>
      <vt:lpstr>MS_A0100_pa</vt:lpstr>
      <vt:lpstr>MS_A0100_q</vt:lpstr>
      <vt:lpstr>MS_A0100_t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2018-03-28T20:53:26Z</dcterms:modified>
  <dc:language>fr-FR</dc:language>
</cp:coreProperties>
</file>