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en\Documents\ECL\EPSA\Github\EN - Engine &amp; Powertrain\Cost\"/>
    </mc:Choice>
  </mc:AlternateContent>
  <xr:revisionPtr revIDLastSave="0" documentId="13_ncr:1_{7DC37771-FD9B-45AD-8044-0563E20D0700}" xr6:coauthVersionLast="28" xr6:coauthVersionMax="28" xr10:uidLastSave="{00000000-0000-0000-0000-000000000000}"/>
  <bookViews>
    <workbookView xWindow="4740" yWindow="60" windowWidth="16380" windowHeight="8190" firstSheet="4" activeTab="9" xr2:uid="{00000000-000D-0000-FFFF-FFFF00000000}"/>
  </bookViews>
  <sheets>
    <sheet name="Instructions" sheetId="7" r:id="rId1"/>
    <sheet name="BOM" sheetId="8" r:id="rId2"/>
    <sheet name="EN_A0900" sheetId="1" r:id="rId3"/>
    <sheet name="EN_0900_001" sheetId="2" r:id="rId4"/>
    <sheet name="EN_0900_002" sheetId="10" r:id="rId5"/>
    <sheet name="EN_0900_002 Drawing" sheetId="9" r:id="rId6"/>
    <sheet name="EN_0900_003" sheetId="13" r:id="rId7"/>
    <sheet name="EN_0900_003 Drawing" sheetId="22" r:id="rId8"/>
    <sheet name="EN_0900_004" sheetId="14" r:id="rId9"/>
    <sheet name="EN_0900_004 Drawing" sheetId="23" r:id="rId10"/>
    <sheet name="EN_0900_005" sheetId="15" r:id="rId11"/>
    <sheet name="EN_0900_006" sheetId="16" r:id="rId12"/>
    <sheet name="EN_0900_007" sheetId="17" r:id="rId13"/>
    <sheet name="EN_0900_008" sheetId="19" r:id="rId14"/>
    <sheet name="EN_0900_009" sheetId="20" r:id="rId15"/>
  </sheets>
  <externalReferences>
    <externalReference r:id="rId16"/>
  </externalReference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'EN_0900_002 Drawing'!$B$1</definedName>
    <definedName name="dede">#REF!</definedName>
    <definedName name="dEL_01001">'EN_0900_002 Drawing'!$B$1</definedName>
    <definedName name="dqwdqd">#REF!</definedName>
    <definedName name="eded">#REF!</definedName>
    <definedName name="EN_0900_001">EN_0900_001!$B$6</definedName>
    <definedName name="EN_0900_001_f">EN_0900_001!$J$40</definedName>
    <definedName name="EN_0900_001_m">EN_0900_001!$N$16</definedName>
    <definedName name="EN_0900_001_p">EN_0900_001!$I$33</definedName>
    <definedName name="EN_0900_002">EN_0900_002!$B$6</definedName>
    <definedName name="EN_0900_002_m">EN_0900_002!$N$13</definedName>
    <definedName name="EN_0900_002_p">EN_0900_002!$I$18</definedName>
    <definedName name="EN_0900_002_q">EN_0900_002!$N$3</definedName>
    <definedName name="EN_0900_003">EN_0900_003!$B$6</definedName>
    <definedName name="EN_0900_003_m">EN_0900_003!$N$13</definedName>
    <definedName name="EN_0900_003_p">EN_0900_003!$I$18</definedName>
    <definedName name="EN_0900_003_q">EN_0900_003!$N$3</definedName>
    <definedName name="EN_0900_004">EN_0900_004!$B$6</definedName>
    <definedName name="EN_0900_004_m">EN_0900_004!$N$13</definedName>
    <definedName name="EN_0900_004_p">EN_0900_004!$I$18</definedName>
    <definedName name="EN_0900_004_q">EN_0900_004!$N$3</definedName>
    <definedName name="EN_0900_005">EN_0900_005!$B$6</definedName>
    <definedName name="EN_0900_005_m">EN_0900_005!$N$13</definedName>
    <definedName name="EN_0900_005_p">EN_0900_005!$I$18</definedName>
    <definedName name="EN_0900_005_q">EN_0900_005!$N$3</definedName>
    <definedName name="EN_0900_006">EN_0900_006!$B$6</definedName>
    <definedName name="EN_0900_006_m">EN_0900_006!$N$13</definedName>
    <definedName name="EN_0900_006_p">EN_0900_006!$I$18</definedName>
    <definedName name="EN_0900_006_q">EN_0900_006!$N$3</definedName>
    <definedName name="EN_0900_007">EN_0900_007!$B$6</definedName>
    <definedName name="EN_0900_007_m">EN_0900_007!$N$13</definedName>
    <definedName name="EN_0900_007_p">EN_0900_007!$I$18</definedName>
    <definedName name="EN_0900_007_q">EN_0900_007!$N$3</definedName>
    <definedName name="EN_0900_008">EN_0900_008!$B$6</definedName>
    <definedName name="EN_0900_008_m">EN_0900_008!$N$13</definedName>
    <definedName name="EN_0900_008_p">EN_0900_008!$I$18</definedName>
    <definedName name="EN_0900_008_q">EN_0900_008!$N$3</definedName>
    <definedName name="EN_0900_009">EN_0900_009!$B$6</definedName>
    <definedName name="EN_0900_009_m">EN_0900_009!$N$13</definedName>
    <definedName name="EN_0900_009_p">EN_0900_009!$I$18</definedName>
    <definedName name="EN_0900_009_q">EN_0900_009!$N$3</definedName>
    <definedName name="EN_A0900">EN_A0900!$B$5</definedName>
    <definedName name="EN_A0900_f">EN_A0900!$J$56</definedName>
    <definedName name="EN_A0900_m">EN_A0900!$N$27</definedName>
    <definedName name="EN_A0900_p">EN_A0900!$I$44</definedName>
    <definedName name="EN_A0900_pa">EN_A0900!$E$19</definedName>
    <definedName name="EN_A0900_q">EN_A0900!$N$3</definedName>
    <definedName name="EN_A0900_t">EN_A0900!$I$60</definedName>
    <definedName name="EN_A0900p">EN_A0900!$I$44</definedName>
    <definedName name="EN_A090f">EN_A0900!$J$56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71027" iterateDelta="1E-4"/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C18" i="1"/>
  <c r="C17" i="1"/>
  <c r="C16" i="1"/>
  <c r="C15" i="1"/>
  <c r="C14" i="1"/>
  <c r="C13" i="1"/>
  <c r="C12" i="1"/>
  <c r="C11" i="1"/>
  <c r="J11" i="20"/>
  <c r="I17" i="20" l="1"/>
  <c r="H16" i="20"/>
  <c r="I16" i="20" s="1"/>
  <c r="K11" i="20"/>
  <c r="E11" i="20"/>
  <c r="H16" i="19"/>
  <c r="J11" i="19"/>
  <c r="E11" i="19" s="1"/>
  <c r="I17" i="19"/>
  <c r="I16" i="19"/>
  <c r="K11" i="19"/>
  <c r="N2" i="17"/>
  <c r="N5" i="17" s="1"/>
  <c r="J11" i="17"/>
  <c r="I17" i="17"/>
  <c r="H16" i="17"/>
  <c r="I16" i="17" s="1"/>
  <c r="K11" i="17"/>
  <c r="E11" i="17"/>
  <c r="N2" i="16"/>
  <c r="N5" i="16" s="1"/>
  <c r="I17" i="16"/>
  <c r="H16" i="16"/>
  <c r="I16" i="16" s="1"/>
  <c r="J11" i="16"/>
  <c r="E11" i="16" s="1"/>
  <c r="N11" i="16"/>
  <c r="N13" i="16" s="1"/>
  <c r="K11" i="16"/>
  <c r="N2" i="15"/>
  <c r="N2" i="14"/>
  <c r="N2" i="13"/>
  <c r="N5" i="13" s="1"/>
  <c r="N2" i="2"/>
  <c r="E16" i="1" s="1"/>
  <c r="J11" i="15"/>
  <c r="E11" i="15" s="1"/>
  <c r="K11" i="15"/>
  <c r="I17" i="15"/>
  <c r="I16" i="15"/>
  <c r="N11" i="15"/>
  <c r="N13" i="15" s="1"/>
  <c r="N5" i="15"/>
  <c r="I17" i="14"/>
  <c r="I18" i="14" s="1"/>
  <c r="I16" i="14"/>
  <c r="J11" i="14"/>
  <c r="P7" i="14"/>
  <c r="K11" i="14"/>
  <c r="N11" i="14"/>
  <c r="N13" i="14" s="1"/>
  <c r="E11" i="14"/>
  <c r="N5" i="14"/>
  <c r="J11" i="13"/>
  <c r="I17" i="13"/>
  <c r="I16" i="13"/>
  <c r="I18" i="13" s="1"/>
  <c r="N2" i="10"/>
  <c r="N5" i="10" s="1"/>
  <c r="I17" i="10"/>
  <c r="I16" i="10"/>
  <c r="J11" i="10"/>
  <c r="D22" i="1"/>
  <c r="N22" i="1" s="1"/>
  <c r="D55" i="1"/>
  <c r="J55" i="1" s="1"/>
  <c r="D54" i="1"/>
  <c r="J54" i="1" s="1"/>
  <c r="D53" i="1"/>
  <c r="J53" i="1" s="1"/>
  <c r="D52" i="1"/>
  <c r="J52" i="1" s="1"/>
  <c r="J51" i="1"/>
  <c r="D50" i="1"/>
  <c r="J50" i="1" s="1"/>
  <c r="D49" i="1"/>
  <c r="J49" i="1" s="1"/>
  <c r="D48" i="1"/>
  <c r="J48" i="1" s="1"/>
  <c r="D47" i="1"/>
  <c r="J47" i="1" s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E17" i="1"/>
  <c r="E14" i="1"/>
  <c r="J39" i="2"/>
  <c r="D38" i="2"/>
  <c r="J38" i="2" s="1"/>
  <c r="J37" i="2"/>
  <c r="D36" i="2"/>
  <c r="J36" i="2" s="1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J11" i="2"/>
  <c r="N11" i="2" s="1"/>
  <c r="N14" i="2"/>
  <c r="J13" i="2"/>
  <c r="N13" i="2" s="1"/>
  <c r="J12" i="2"/>
  <c r="N12" i="2" s="1"/>
  <c r="E11" i="2"/>
  <c r="D23" i="1"/>
  <c r="N23" i="1" s="1"/>
  <c r="N26" i="1"/>
  <c r="N25" i="1"/>
  <c r="N24" i="1"/>
  <c r="I44" i="1" l="1"/>
  <c r="I18" i="20"/>
  <c r="N11" i="20"/>
  <c r="N13" i="20" s="1"/>
  <c r="I18" i="19"/>
  <c r="N11" i="19"/>
  <c r="N13" i="19" s="1"/>
  <c r="I18" i="17"/>
  <c r="N11" i="17"/>
  <c r="N13" i="17" s="1"/>
  <c r="I18" i="16"/>
  <c r="E15" i="1"/>
  <c r="I18" i="15"/>
  <c r="E11" i="13"/>
  <c r="N11" i="13" s="1"/>
  <c r="N13" i="13" s="1"/>
  <c r="E13" i="1"/>
  <c r="E11" i="1"/>
  <c r="E12" i="1"/>
  <c r="C10" i="1"/>
  <c r="E10" i="1" s="1"/>
  <c r="E18" i="1"/>
  <c r="I18" i="10"/>
  <c r="E11" i="10"/>
  <c r="N11" i="10" s="1"/>
  <c r="N13" i="10" s="1"/>
  <c r="I33" i="2"/>
  <c r="E13" i="2"/>
  <c r="E12" i="2"/>
  <c r="N2" i="20" l="1"/>
  <c r="N5" i="20" s="1"/>
  <c r="N2" i="19"/>
  <c r="N5" i="19" s="1"/>
  <c r="E19" i="1"/>
  <c r="C7" i="8" l="1"/>
  <c r="B9" i="8"/>
  <c r="B10" i="8"/>
  <c r="B11" i="8"/>
  <c r="B12" i="8"/>
  <c r="B13" i="8"/>
  <c r="B14" i="8"/>
  <c r="B15" i="8"/>
  <c r="B16" i="8"/>
  <c r="B17" i="8"/>
  <c r="B8" i="8"/>
  <c r="B7" i="8"/>
  <c r="I7" i="8"/>
  <c r="C8" i="8"/>
  <c r="F8" i="8"/>
  <c r="F7" i="8"/>
  <c r="I8" i="8"/>
  <c r="B18" i="8" l="1"/>
  <c r="E8" i="8" l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M8" i="8"/>
  <c r="N16" i="2"/>
  <c r="I59" i="1"/>
  <c r="J40" i="2" l="1"/>
  <c r="L8" i="8" s="1"/>
  <c r="J8" i="8"/>
  <c r="J56" i="1"/>
  <c r="L7" i="8" s="1"/>
  <c r="K7" i="8"/>
  <c r="I60" i="1"/>
  <c r="M7" i="8" s="1"/>
  <c r="M18" i="8" s="1"/>
  <c r="K8" i="8"/>
  <c r="N27" i="1"/>
  <c r="J7" i="8" l="1"/>
  <c r="H7" i="8" s="1"/>
  <c r="N2" i="1"/>
  <c r="L18" i="8"/>
  <c r="N5" i="2"/>
  <c r="K18" i="8"/>
  <c r="N7" i="8"/>
  <c r="H8" i="8"/>
  <c r="N8" i="8" s="1"/>
  <c r="J18" i="8"/>
  <c r="O1" i="8"/>
  <c r="N18" i="8" l="1"/>
  <c r="N5" i="1" l="1"/>
</calcChain>
</file>

<file path=xl/sharedStrings.xml><?xml version="1.0" encoding="utf-8"?>
<sst xmlns="http://schemas.openxmlformats.org/spreadsheetml/2006/main" count="899" uniqueCount="249">
  <si>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</si>
  <si>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</si>
  <si>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</si>
  <si>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</si>
  <si>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</si>
  <si>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</si>
  <si>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</si>
  <si>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</si>
  <si>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</si>
  <si>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</si>
  <si>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</si>
  <si>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</si>
  <si>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</si>
  <si>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</si>
  <si>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</si>
  <si>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</si>
  <si>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</si>
  <si>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</si>
  <si>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</si>
  <si>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</si>
  <si>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</si>
  <si>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</si>
  <si>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</si>
  <si>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</si>
  <si>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</si>
  <si>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</si>
  <si>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</si>
  <si>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</si>
  <si>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</si>
  <si>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</si>
  <si>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</si>
  <si>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</si>
  <si>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</si>
  <si>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</si>
  <si>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</si>
  <si>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</si>
  <si>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</si>
  <si>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Tooling</t>
  </si>
  <si>
    <t>PVF</t>
  </si>
  <si>
    <t>FractionIncluded</t>
  </si>
  <si>
    <t>Welds - Welding Fixture</t>
  </si>
  <si>
    <t>Exemple de Tooling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</si>
  <si>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</si>
  <si>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</si>
  <si>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</si>
  <si>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</si>
  <si>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</si>
  <si>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</si>
  <si>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</si>
  <si>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</si>
  <si>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</si>
  <si>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</si>
  <si>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</si>
  <si>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</si>
  <si>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</si>
  <si>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</si>
  <si>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</si>
  <si>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</si>
  <si>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</si>
  <si>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</si>
  <si>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</si>
  <si>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</si>
  <si>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</si>
  <si>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</si>
  <si>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</si>
  <si>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</si>
  <si>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</si>
  <si>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</si>
  <si>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</si>
  <si>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</si>
  <si>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</si>
  <si>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</si>
  <si>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</si>
  <si>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</si>
  <si>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</si>
  <si>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</si>
  <si>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</si>
  <si>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</si>
  <si>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</si>
  <si>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</si>
  <si>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</si>
  <si>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</si>
  <si>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</si>
  <si>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</si>
  <si>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</si>
  <si>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</si>
  <si>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</si>
  <si>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</si>
  <si>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</si>
  <si>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</si>
  <si>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</si>
  <si>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</si>
  <si>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</si>
  <si>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</si>
  <si>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</si>
  <si>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</si>
  <si>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</si>
  <si>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</si>
  <si>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</si>
  <si>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</si>
  <si>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</si>
  <si>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</si>
  <si>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</si>
  <si>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</si>
  <si>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</si>
  <si>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</si>
  <si>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</si>
  <si>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Renommer les cases quantité (cellule N3), et sous-totaux de chaque part respectivement code_de_la_part_x avec x = q pour quantité, m pour material, f pour fastener, t pour tooling et p pour process</t>
  </si>
  <si>
    <t>Remplir la quantité, Material, Process, Fastener, Tooling. Dans le cas où une table n'est pas concernée (elle est restée vide), la supprimer complètement.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</si>
  <si>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</si>
  <si>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</si>
  <si>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</si>
  <si>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</si>
  <si>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</si>
  <si>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</si>
  <si>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</si>
  <si>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</si>
  <si>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Renommer l'onglet avec ce même code</t>
  </si>
  <si>
    <t>Viennent ensuite les Parts. Pour chaque Part :</t>
  </si>
  <si>
    <t>FSAEI</t>
  </si>
  <si>
    <t>Back to BOM</t>
  </si>
  <si>
    <t>Petite marche à suivre pour remplir cette merveille qu'est le cost</t>
  </si>
  <si>
    <t>Feuille EN Assembly : Feuille pour 1 assemblage du système EN. Pour un nouvel assemblage, créer un nouveau document à partir du template. 1 document Excel = 1 assemblage</t>
  </si>
  <si>
    <t>ex EN_A0001_q, …</t>
  </si>
  <si>
    <t>Feuille EN Part x : Feuille pour 1 part de l'assemblage. Pour faire une nouvelle part, créer un nouvel onglet à partir du template. 1 onglet = 1 part.</t>
  </si>
  <si>
    <t>Renommer cette cellule du nom du code qu'elle comprend mais avec un _ comme séparateur : ex EN_01001</t>
  </si>
  <si>
    <t>Créer un lien vers l'assemblage : sélectionner la cellule, faites Ctrl+K, il apparait une fenetre, en référence de la cellule (A1 par défaut) indiquez le nom de la cellule renommé de l'assemblage (par ex EN_A0001)</t>
  </si>
  <si>
    <t>ex : EN_01001_q, …</t>
  </si>
  <si>
    <t>Faites une capture d'écran du plan de la part en question et coller l'image dans l'onglet "EN Drawing 1"</t>
  </si>
  <si>
    <t>Renommer la cellule avec le nouveau lien d_code_de_la_part, ex dEN_01001</t>
  </si>
  <si>
    <t>Dans le détail de la part (onglet "EN Part x") écrire à côté de cellule File Link "Drawing" et mettre un lien vers la cellule surplombant le plan ayant le code d_code_de_la_part (ex dEN_01001)</t>
  </si>
  <si>
    <t>sélectionner la cellule, faites Ctrl+K, apparait une fenetre, en référence de la cellule (A1 par défaut) indiquez le nom de la cellule renommé de la Part (par ex EN_01001)</t>
  </si>
  <si>
    <t>Insérer un lien vers la Part sur le plan par clic droit sur l'image. Cible du lien vers la Part (ex EN_01001)</t>
  </si>
  <si>
    <t>Renomme cette cellule du nom du code qu'elle comprend mais avec un _ comme séparateur : ex EN_A0001</t>
  </si>
  <si>
    <t>Consulter le tutoriel disponible sur GitHub, dans Vulcanix-v1.0/Cost Report, pour plus d'informations sur cette étape.</t>
  </si>
  <si>
    <t>Engine &amp; Drivetrain</t>
  </si>
  <si>
    <t>Differential</t>
  </si>
  <si>
    <t>Differential housing and mounting assembly</t>
  </si>
  <si>
    <t>Housing</t>
  </si>
  <si>
    <t>Right Eccentric</t>
  </si>
  <si>
    <t>Left Eccentric</t>
  </si>
  <si>
    <t>Differential Assembly</t>
  </si>
  <si>
    <t>Right differential bearing</t>
  </si>
  <si>
    <t>Left differential bearing</t>
  </si>
  <si>
    <t>Paint</t>
  </si>
  <si>
    <t>Paint the tabs</t>
  </si>
  <si>
    <t>m^2</t>
  </si>
  <si>
    <t>Fluid, Oil</t>
  </si>
  <si>
    <t>Differential oil</t>
  </si>
  <si>
    <t>litre</t>
  </si>
  <si>
    <t>Differential Internals, Limited Slip, Salisbury or Powerflow or Clutch Style</t>
  </si>
  <si>
    <t>Bearing, Ball, Deep groove</t>
  </si>
  <si>
    <t>Paint the brackets</t>
  </si>
  <si>
    <t>Left Jacking Bar bracket</t>
  </si>
  <si>
    <t>Bought, cost as made</t>
  </si>
  <si>
    <t>Aluminium, Premium</t>
  </si>
  <si>
    <t>kg</t>
  </si>
  <si>
    <t>Round 102mm diam.</t>
  </si>
  <si>
    <t>Seal, O-Ring, Elastomer</t>
  </si>
  <si>
    <t>EN_0900_001</t>
  </si>
  <si>
    <t>EN_A0900</t>
  </si>
  <si>
    <t>Setup and removal</t>
  </si>
  <si>
    <t>Machining</t>
  </si>
  <si>
    <t>cm^3</t>
  </si>
  <si>
    <t>Material-Aluminium</t>
  </si>
  <si>
    <t>Tapping holes</t>
  </si>
  <si>
    <t>Tapping lateral holes</t>
  </si>
  <si>
    <t>hole</t>
  </si>
  <si>
    <t>Tapping central holes</t>
  </si>
  <si>
    <t>Drilled holes &lt; 25.4 mm dia.</t>
  </si>
  <si>
    <t>Hole for the diff. Housing</t>
  </si>
  <si>
    <t>Broach, External</t>
  </si>
  <si>
    <t>Broach the housing cover</t>
  </si>
  <si>
    <t>Hole for the diff. Cover</t>
  </si>
  <si>
    <t>Assemble, 1 kg, Line-on-Line</t>
  </si>
  <si>
    <t>Assemble the three parts</t>
  </si>
  <si>
    <t>Ratchet &lt;= 6.35 mm</t>
  </si>
  <si>
    <t>Ratchet &lt;= 25.4 mm</t>
  </si>
  <si>
    <t>Bolt the drain</t>
  </si>
  <si>
    <t>Bolt, Grade 12.9</t>
  </si>
  <si>
    <t>Assembly of the three parts</t>
  </si>
  <si>
    <t>Washer, Grade 12.9</t>
  </si>
  <si>
    <t>Bolt, Grade 10.9 (SAE 8)</t>
  </si>
  <si>
    <t>Washer, Crush</t>
  </si>
  <si>
    <t>Weld</t>
  </si>
  <si>
    <t>Weld tabs to frame</t>
  </si>
  <si>
    <t>Aerosol apply</t>
  </si>
  <si>
    <t>Assemble, 3 kg, Interference</t>
  </si>
  <si>
    <t>Assemble the housing</t>
  </si>
  <si>
    <t>Assemble, 1 kg, Interference</t>
  </si>
  <si>
    <t>Assemble the right bearing and eccentric</t>
  </si>
  <si>
    <t>Assemble the left bearing and eccentric</t>
  </si>
  <si>
    <t>Assemble the bearing carriers and the bearings</t>
  </si>
  <si>
    <t>Ratchet &lt;= 6,35mm</t>
  </si>
  <si>
    <t>Bolt the bearing carriers to eccentric</t>
  </si>
  <si>
    <t>Reaction Tool &lt;=6,35mm</t>
  </si>
  <si>
    <t>Assemble, 3kg, Line-on-Line</t>
  </si>
  <si>
    <t>Put the bearing carriers and tabs in place</t>
  </si>
  <si>
    <t>Assemble, 1kg, Loose</t>
  </si>
  <si>
    <t>Put two washers on bolt</t>
  </si>
  <si>
    <t>Ratchet &lt;=25,4mm</t>
  </si>
  <si>
    <t>Bolt the left bearing carrier to tabs</t>
  </si>
  <si>
    <t>Reaction Tool &lt;=25,4mm</t>
  </si>
  <si>
    <t>Bolt the right bearing carrier to tabs</t>
  </si>
  <si>
    <t>Bolt, Grade 8,8 (SAE 5)</t>
  </si>
  <si>
    <t>Assemble left bearing carrier and tabs</t>
  </si>
  <si>
    <t>Nut, Grade 8,8 (SAE 5)</t>
  </si>
  <si>
    <t>Blocking left bearing carrier and left eccentric</t>
  </si>
  <si>
    <t>Washer, Grade 8,8 (SAE 5)</t>
  </si>
  <si>
    <t>Blocking eccentric</t>
  </si>
  <si>
    <t>Assemble right bearing carrier and tabs</t>
  </si>
  <si>
    <t>Blocking right bearing carrier and right eccentric</t>
  </si>
  <si>
    <t>EN_0900_002</t>
  </si>
  <si>
    <t>Left Eccentric Carrier</t>
  </si>
  <si>
    <t>Right Eccentric Carrier</t>
  </si>
  <si>
    <t>Upper Eccentric Carrier bracket</t>
  </si>
  <si>
    <t>Lower Eccentric Carrier bracket</t>
  </si>
  <si>
    <t>Plastic, Polyoxymethylene (POM)</t>
  </si>
  <si>
    <t>175mm diam</t>
  </si>
  <si>
    <t>Setup for machining</t>
  </si>
  <si>
    <t>Holes</t>
  </si>
  <si>
    <t>Material - Plastic</t>
  </si>
  <si>
    <t>EN_0900_003</t>
  </si>
  <si>
    <t>165mm diam</t>
  </si>
  <si>
    <t>EN_0900_004</t>
  </si>
  <si>
    <t>Left Eccentric carrier</t>
  </si>
  <si>
    <t>Material for the left bearing carrier</t>
  </si>
  <si>
    <t>Rectangular area 374x130 mm</t>
  </si>
  <si>
    <t>Setup and removal of the machining of the right bearing carrier</t>
  </si>
  <si>
    <t>Shaping of the differential bearing carrier</t>
  </si>
  <si>
    <t>Material - Aluminium</t>
  </si>
  <si>
    <t>Right Eccentric carrier</t>
  </si>
  <si>
    <t>EN_0900_005</t>
  </si>
  <si>
    <t>Rectangular area 374x120 mm</t>
  </si>
  <si>
    <t>EN_0900_006</t>
  </si>
  <si>
    <t>Steel, Mild</t>
  </si>
  <si>
    <t>Material for the bracket</t>
  </si>
  <si>
    <t>Rectangular area 46x34 mm</t>
  </si>
  <si>
    <t>8 parts cut from a single machine setup</t>
  </si>
  <si>
    <t>Material, Steel</t>
  </si>
  <si>
    <t>Shaping of the brackets and holes</t>
  </si>
  <si>
    <t>EN_0900_007</t>
  </si>
  <si>
    <t>Rectangular area 46x29 mm</t>
  </si>
  <si>
    <t>EN_0900_008</t>
  </si>
  <si>
    <t>Rectangular area 60x47 mm</t>
  </si>
  <si>
    <t>2 parts cut from a single machine setup</t>
  </si>
  <si>
    <t>Right Jacking Bar bracket</t>
  </si>
  <si>
    <t>EN_0900_009</t>
  </si>
  <si>
    <t>Rectangular area 61x47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</si>
</sst>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[$$-409]* #,##0.00_ ;_-[$$-409]* \-#,##0.00\ ;_-[$$-409]* &quot;-&quot;??_ ;_-@_ "/>
    <numFmt numFmtId="171" formatCode="0.000"/>
    <numFmt numFmtId="172" formatCode="_(* #,##0_);_(* \(#,##0\);_(* &quot;-&quot;??_);_(@_)"/>
    <numFmt numFmtId="173" formatCode="_(* #,##0.000_);_(* \(#,##0.000\);_(* &quot;-&quot;??_);_(@_)"/>
    <numFmt numFmtId="174" formatCode="_-* #,##0.000\ _€_-;\-* #,##0.000\ _€_-;_-* &quot;-&quot;???\ _€_-;_-@_-"/>
    <numFmt numFmtId="175" formatCode="0.0000E+00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CD5B5"/>
      </patternFill>
    </fill>
    <fill>
      <patternFill patternType="solid">
        <fgColor theme="6" tint="0.59999389629810485"/>
        <bgColor rgb="FFFAC090"/>
      </patternFill>
    </fill>
  </fills>
  <borders count="48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">
    <xf numFmtId="0" fontId="0" fillId="0" borderId="0"/>
    <xf numFmtId="0" fontId="7" fillId="0" borderId="0"/>
    <xf numFmtId="168" fontId="7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6" fillId="2" borderId="6">
      <alignment vertical="center" wrapText="1"/>
    </xf>
    <xf numFmtId="169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169" fontId="15" fillId="0" borderId="0" applyFont="0" applyFill="0" applyBorder="0" applyAlignment="0" applyProtection="0"/>
    <xf numFmtId="0" fontId="26" fillId="0" borderId="0"/>
    <xf numFmtId="0" fontId="5" fillId="0" borderId="0"/>
    <xf numFmtId="168" fontId="1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25">
    <xf numFmtId="0" fontId="0" fillId="0" borderId="0" xfId="0"/>
    <xf numFmtId="18" fontId="11" fillId="0" borderId="7" xfId="1" applyNumberFormat="1" applyFont="1" applyFill="1" applyBorder="1" applyAlignment="1" applyProtection="1">
      <protection locked="0"/>
    </xf>
    <xf numFmtId="0" fontId="11" fillId="0" borderId="7" xfId="1" applyFont="1" applyFill="1" applyBorder="1" applyAlignment="1">
      <alignment horizontal="center"/>
    </xf>
    <xf numFmtId="169" fontId="11" fillId="0" borderId="7" xfId="5" applyFont="1" applyFill="1" applyBorder="1" applyProtection="1">
      <protection locked="0"/>
    </xf>
    <xf numFmtId="0" fontId="11" fillId="0" borderId="7" xfId="1" applyFont="1" applyFill="1" applyBorder="1" applyAlignment="1" applyProtection="1">
      <alignment horizontal="center"/>
      <protection locked="0"/>
    </xf>
    <xf numFmtId="0" fontId="11" fillId="0" borderId="7" xfId="1" applyFont="1" applyFill="1" applyBorder="1" applyProtection="1">
      <protection locked="0"/>
    </xf>
    <xf numFmtId="169" fontId="8" fillId="0" borderId="0" xfId="5" applyFont="1"/>
    <xf numFmtId="0" fontId="8" fillId="0" borderId="0" xfId="1" applyFont="1" applyProtection="1">
      <protection locked="0"/>
    </xf>
    <xf numFmtId="169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0" fillId="0" borderId="0" xfId="0" applyFont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3" fillId="0" borderId="4" xfId="0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7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69" fontId="7" fillId="0" borderId="0" xfId="1" applyNumberFormat="1" applyFont="1"/>
    <xf numFmtId="0" fontId="12" fillId="0" borderId="8" xfId="1" applyFont="1" applyBorder="1" applyAlignment="1">
      <alignment horizontal="center" wrapText="1"/>
    </xf>
    <xf numFmtId="2" fontId="12" fillId="0" borderId="8" xfId="1" applyNumberFormat="1" applyFont="1" applyBorder="1" applyAlignment="1">
      <alignment horizontal="center" wrapText="1"/>
    </xf>
    <xf numFmtId="169" fontId="12" fillId="0" borderId="8" xfId="5" applyFont="1" applyBorder="1" applyAlignment="1">
      <alignment horizontal="center" wrapText="1"/>
    </xf>
    <xf numFmtId="0" fontId="17" fillId="4" borderId="9" xfId="6" applyFont="1" applyFill="1" applyBorder="1"/>
    <xf numFmtId="0" fontId="17" fillId="4" borderId="11" xfId="6" applyFont="1" applyFill="1" applyBorder="1"/>
    <xf numFmtId="0" fontId="17" fillId="4" borderId="10" xfId="6" applyFont="1" applyFill="1" applyBorder="1"/>
    <xf numFmtId="0" fontId="17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165" fontId="4" fillId="0" borderId="16" xfId="7" applyNumberFormat="1" applyFont="1" applyBorder="1" applyAlignment="1" applyProtection="1"/>
    <xf numFmtId="37" fontId="4" fillId="0" borderId="16" xfId="7" applyNumberFormat="1" applyFont="1" applyBorder="1" applyAlignment="1" applyProtection="1"/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19" fillId="0" borderId="0" xfId="0" applyFont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0" fontId="4" fillId="0" borderId="16" xfId="7" applyNumberFormat="1" applyFont="1" applyBorder="1" applyAlignment="1" applyProtection="1"/>
    <xf numFmtId="170" fontId="11" fillId="0" borderId="7" xfId="1" applyNumberFormat="1" applyFont="1" applyFill="1" applyBorder="1" applyAlignment="1">
      <alignment horizontal="right"/>
    </xf>
    <xf numFmtId="0" fontId="11" fillId="7" borderId="3" xfId="1" applyFont="1" applyFill="1" applyBorder="1" applyProtection="1">
      <protection locked="0"/>
    </xf>
    <xf numFmtId="0" fontId="11" fillId="7" borderId="3" xfId="1" applyFont="1" applyFill="1" applyBorder="1" applyAlignment="1">
      <alignment horizontal="left"/>
    </xf>
    <xf numFmtId="18" fontId="11" fillId="7" borderId="3" xfId="1" applyNumberFormat="1" applyFont="1" applyFill="1" applyBorder="1" applyAlignment="1" applyProtection="1">
      <protection locked="0"/>
    </xf>
    <xf numFmtId="0" fontId="18" fillId="7" borderId="3" xfId="8" applyFill="1" applyBorder="1" applyAlignment="1">
      <alignment horizontal="left"/>
    </xf>
    <xf numFmtId="170" fontId="11" fillId="7" borderId="3" xfId="5" applyNumberFormat="1" applyFont="1" applyFill="1" applyBorder="1" applyProtection="1">
      <protection locked="0"/>
    </xf>
    <xf numFmtId="37" fontId="11" fillId="7" borderId="3" xfId="1" applyNumberFormat="1" applyFont="1" applyFill="1" applyBorder="1" applyAlignment="1" applyProtection="1">
      <alignment horizontal="center"/>
      <protection locked="0"/>
    </xf>
    <xf numFmtId="170" fontId="11" fillId="7" borderId="3" xfId="1" applyNumberFormat="1" applyFont="1" applyFill="1" applyBorder="1" applyAlignment="1" applyProtection="1">
      <alignment horizontal="center"/>
      <protection locked="0"/>
    </xf>
    <xf numFmtId="170" fontId="11" fillId="7" borderId="3" xfId="1" applyNumberFormat="1" applyFont="1" applyFill="1" applyBorder="1" applyAlignment="1">
      <alignment horizontal="right"/>
    </xf>
    <xf numFmtId="0" fontId="11" fillId="7" borderId="3" xfId="1" applyFont="1" applyFill="1" applyBorder="1" applyAlignment="1">
      <alignment horizontal="center"/>
    </xf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alignment horizontal="right"/>
      <protection locked="0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0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0" fontId="11" fillId="8" borderId="3" xfId="1" applyNumberFormat="1" applyFont="1" applyFill="1" applyBorder="1" applyAlignment="1" applyProtection="1">
      <alignment horizontal="center"/>
      <protection locked="0"/>
    </xf>
    <xf numFmtId="170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8" borderId="3" xfId="1" applyFont="1" applyFill="1" applyBorder="1" applyAlignment="1" applyProtection="1">
      <alignment horizontal="center"/>
      <protection locked="0"/>
    </xf>
    <xf numFmtId="11" fontId="11" fillId="8" borderId="3" xfId="1" applyNumberFormat="1" applyFont="1" applyFill="1" applyBorder="1" applyAlignment="1" applyProtection="1">
      <protection locked="0"/>
    </xf>
    <xf numFmtId="0" fontId="3" fillId="9" borderId="16" xfId="0" applyFont="1" applyFill="1" applyBorder="1"/>
    <xf numFmtId="0" fontId="3" fillId="9" borderId="16" xfId="0" applyFont="1" applyFill="1" applyBorder="1" applyAlignment="1">
      <alignment horizontal="right"/>
    </xf>
    <xf numFmtId="165" fontId="3" fillId="9" borderId="16" xfId="0" applyNumberFormat="1" applyFont="1" applyFill="1" applyBorder="1"/>
    <xf numFmtId="0" fontId="3" fillId="9" borderId="0" xfId="0" applyFont="1" applyFill="1" applyBorder="1"/>
    <xf numFmtId="0" fontId="3" fillId="9" borderId="26" xfId="0" applyFont="1" applyFill="1" applyBorder="1" applyAlignment="1">
      <alignment horizontal="right"/>
    </xf>
    <xf numFmtId="165" fontId="3" fillId="9" borderId="26" xfId="0" applyNumberFormat="1" applyFont="1" applyFill="1" applyBorder="1"/>
    <xf numFmtId="0" fontId="3" fillId="10" borderId="16" xfId="0" applyFont="1" applyFill="1" applyBorder="1"/>
    <xf numFmtId="0" fontId="3" fillId="10" borderId="16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8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22" xfId="0" applyFont="1" applyFill="1" applyBorder="1"/>
    <xf numFmtId="0" fontId="3" fillId="10" borderId="5" xfId="0" applyFont="1" applyFill="1" applyBorder="1" applyAlignment="1">
      <alignment horizontal="right"/>
    </xf>
    <xf numFmtId="0" fontId="24" fillId="0" borderId="0" xfId="0" applyFont="1" applyFill="1" applyBorder="1"/>
    <xf numFmtId="0" fontId="24" fillId="0" borderId="0" xfId="0" applyFont="1" applyFill="1" applyBorder="1" applyAlignment="1">
      <alignment horizontal="left"/>
    </xf>
    <xf numFmtId="0" fontId="24" fillId="0" borderId="3" xfId="0" applyFont="1" applyFill="1" applyBorder="1"/>
    <xf numFmtId="168" fontId="24" fillId="0" borderId="3" xfId="3" applyFont="1" applyFill="1" applyBorder="1"/>
    <xf numFmtId="0" fontId="24" fillId="0" borderId="3" xfId="0" applyNumberFormat="1" applyFont="1" applyFill="1" applyBorder="1"/>
    <xf numFmtId="170" fontId="24" fillId="0" borderId="3" xfId="3" applyNumberFormat="1" applyFont="1" applyFill="1" applyBorder="1"/>
    <xf numFmtId="0" fontId="3" fillId="9" borderId="29" xfId="0" applyFont="1" applyFill="1" applyBorder="1"/>
    <xf numFmtId="169" fontId="24" fillId="0" borderId="3" xfId="9" applyFont="1" applyFill="1" applyBorder="1"/>
    <xf numFmtId="11" fontId="24" fillId="0" borderId="3" xfId="0" applyNumberFormat="1" applyFont="1" applyFill="1" applyBorder="1"/>
    <xf numFmtId="172" fontId="24" fillId="0" borderId="3" xfId="9" applyNumberFormat="1" applyFont="1" applyFill="1" applyBorder="1"/>
    <xf numFmtId="0" fontId="24" fillId="0" borderId="3" xfId="9" applyNumberFormat="1" applyFont="1" applyFill="1" applyBorder="1"/>
    <xf numFmtId="168" fontId="24" fillId="0" borderId="3" xfId="3" applyNumberFormat="1" applyFont="1" applyFill="1" applyBorder="1"/>
    <xf numFmtId="2" fontId="24" fillId="0" borderId="3" xfId="3" applyNumberFormat="1" applyFont="1" applyFill="1" applyBorder="1"/>
    <xf numFmtId="11" fontId="24" fillId="0" borderId="3" xfId="9" applyNumberFormat="1" applyFont="1" applyFill="1" applyBorder="1"/>
    <xf numFmtId="0" fontId="24" fillId="0" borderId="3" xfId="0" applyFont="1" applyFill="1" applyBorder="1" applyAlignment="1" applyProtection="1">
      <alignment vertical="center" wrapText="1"/>
    </xf>
    <xf numFmtId="0" fontId="25" fillId="0" borderId="0" xfId="0" applyFont="1"/>
    <xf numFmtId="0" fontId="25" fillId="0" borderId="0" xfId="0" applyFont="1" applyAlignment="1">
      <alignment horizontal="left"/>
    </xf>
    <xf numFmtId="0" fontId="4" fillId="0" borderId="21" xfId="0" applyFont="1" applyBorder="1" applyAlignment="1"/>
    <xf numFmtId="0" fontId="4" fillId="0" borderId="0" xfId="0" applyFont="1" applyBorder="1" applyAlignment="1" applyProtection="1"/>
    <xf numFmtId="0" fontId="4" fillId="0" borderId="0" xfId="0" applyFont="1" applyBorder="1" applyAlignment="1"/>
    <xf numFmtId="165" fontId="4" fillId="0" borderId="0" xfId="7" applyNumberFormat="1" applyFont="1" applyBorder="1" applyAlignment="1" applyProtection="1"/>
    <xf numFmtId="164" fontId="4" fillId="0" borderId="0" xfId="7" applyNumberFormat="1" applyFont="1" applyBorder="1" applyAlignment="1" applyProtection="1"/>
    <xf numFmtId="11" fontId="4" fillId="0" borderId="0" xfId="0" applyNumberFormat="1" applyFont="1" applyBorder="1" applyAlignment="1"/>
    <xf numFmtId="171" fontId="4" fillId="0" borderId="0" xfId="7" applyNumberFormat="1" applyFont="1" applyBorder="1" applyAlignment="1" applyProtection="1"/>
    <xf numFmtId="167" fontId="4" fillId="0" borderId="0" xfId="7" applyNumberFormat="1" applyFont="1" applyBorder="1" applyAlignment="1" applyProtection="1"/>
    <xf numFmtId="3" fontId="0" fillId="0" borderId="0" xfId="0" applyNumberFormat="1" applyBorder="1" applyAlignment="1"/>
    <xf numFmtId="165" fontId="4" fillId="0" borderId="5" xfId="7" applyNumberFormat="1" applyFont="1" applyBorder="1" applyAlignment="1" applyProtection="1"/>
    <xf numFmtId="0" fontId="25" fillId="0" borderId="5" xfId="0" applyFont="1" applyBorder="1"/>
    <xf numFmtId="0" fontId="25" fillId="0" borderId="30" xfId="0" applyFont="1" applyBorder="1"/>
    <xf numFmtId="168" fontId="25" fillId="0" borderId="30" xfId="0" applyNumberFormat="1" applyFont="1" applyBorder="1"/>
    <xf numFmtId="171" fontId="25" fillId="0" borderId="30" xfId="0" applyNumberFormat="1" applyFont="1" applyBorder="1"/>
    <xf numFmtId="169" fontId="25" fillId="0" borderId="30" xfId="0" applyNumberFormat="1" applyFont="1" applyBorder="1"/>
    <xf numFmtId="11" fontId="25" fillId="0" borderId="30" xfId="0" applyNumberFormat="1" applyFont="1" applyBorder="1"/>
    <xf numFmtId="173" fontId="25" fillId="0" borderId="30" xfId="0" applyNumberFormat="1" applyFont="1" applyBorder="1"/>
    <xf numFmtId="0" fontId="25" fillId="0" borderId="30" xfId="0" applyNumberFormat="1" applyFont="1" applyBorder="1"/>
    <xf numFmtId="2" fontId="25" fillId="0" borderId="30" xfId="0" applyNumberFormat="1" applyFont="1" applyBorder="1"/>
    <xf numFmtId="172" fontId="25" fillId="0" borderId="30" xfId="0" applyNumberFormat="1" applyFont="1" applyBorder="1"/>
    <xf numFmtId="0" fontId="25" fillId="0" borderId="3" xfId="0" applyFont="1" applyBorder="1"/>
    <xf numFmtId="170" fontId="25" fillId="0" borderId="30" xfId="0" applyNumberFormat="1" applyFont="1" applyBorder="1"/>
    <xf numFmtId="0" fontId="15" fillId="0" borderId="3" xfId="10" applyFont="1" applyFill="1" applyBorder="1" applyAlignment="1">
      <alignment wrapText="1"/>
    </xf>
    <xf numFmtId="170" fontId="25" fillId="0" borderId="3" xfId="3" applyNumberFormat="1" applyFont="1" applyBorder="1"/>
    <xf numFmtId="39" fontId="25" fillId="0" borderId="3" xfId="0" applyNumberFormat="1" applyFont="1" applyBorder="1"/>
    <xf numFmtId="37" fontId="25" fillId="0" borderId="3" xfId="0" applyNumberFormat="1" applyFont="1" applyBorder="1"/>
    <xf numFmtId="170" fontId="25" fillId="0" borderId="3" xfId="0" applyNumberFormat="1" applyFont="1" applyBorder="1"/>
    <xf numFmtId="0" fontId="27" fillId="0" borderId="0" xfId="0" applyFont="1" applyFill="1" applyBorder="1"/>
    <xf numFmtId="170" fontId="24" fillId="0" borderId="3" xfId="0" applyNumberFormat="1" applyFont="1" applyFill="1" applyBorder="1"/>
    <xf numFmtId="39" fontId="24" fillId="0" borderId="3" xfId="3" applyNumberFormat="1" applyFont="1" applyFill="1" applyBorder="1"/>
    <xf numFmtId="37" fontId="24" fillId="0" borderId="3" xfId="3" applyNumberFormat="1" applyFon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3" fillId="9" borderId="34" xfId="0" applyFont="1" applyFill="1" applyBorder="1"/>
    <xf numFmtId="0" fontId="0" fillId="0" borderId="35" xfId="0" applyBorder="1"/>
    <xf numFmtId="0" fontId="0" fillId="0" borderId="36" xfId="0" applyBorder="1"/>
    <xf numFmtId="0" fontId="24" fillId="0" borderId="37" xfId="0" applyFont="1" applyFill="1" applyBorder="1"/>
    <xf numFmtId="0" fontId="4" fillId="0" borderId="35" xfId="7" applyNumberFormat="1" applyFont="1" applyBorder="1" applyAlignment="1"/>
    <xf numFmtId="0" fontId="0" fillId="0" borderId="35" xfId="0" applyBorder="1" applyAlignment="1"/>
    <xf numFmtId="0" fontId="3" fillId="0" borderId="36" xfId="0" applyFont="1" applyBorder="1"/>
    <xf numFmtId="0" fontId="0" fillId="0" borderId="35" xfId="0" applyBorder="1" applyAlignment="1">
      <alignment wrapText="1"/>
    </xf>
    <xf numFmtId="0" fontId="0" fillId="0" borderId="35" xfId="0" applyFont="1" applyBorder="1"/>
    <xf numFmtId="0" fontId="4" fillId="0" borderId="34" xfId="0" applyFon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5" fillId="0" borderId="0" xfId="0" applyFont="1" applyBorder="1" applyAlignment="1">
      <alignment horizontal="left"/>
    </xf>
    <xf numFmtId="37" fontId="24" fillId="0" borderId="3" xfId="0" applyNumberFormat="1" applyFont="1" applyFill="1" applyBorder="1"/>
    <xf numFmtId="11" fontId="0" fillId="0" borderId="0" xfId="0" applyNumberFormat="1" applyBorder="1"/>
    <xf numFmtId="175" fontId="0" fillId="0" borderId="0" xfId="0" applyNumberFormat="1" applyBorder="1"/>
    <xf numFmtId="0" fontId="3" fillId="10" borderId="34" xfId="0" applyFont="1" applyFill="1" applyBorder="1"/>
    <xf numFmtId="0" fontId="25" fillId="0" borderId="0" xfId="0" applyFont="1" applyBorder="1"/>
    <xf numFmtId="0" fontId="3" fillId="10" borderId="41" xfId="0" applyFont="1" applyFill="1" applyBorder="1"/>
    <xf numFmtId="0" fontId="3" fillId="10" borderId="42" xfId="0" applyFont="1" applyFill="1" applyBorder="1"/>
    <xf numFmtId="0" fontId="3" fillId="10" borderId="43" xfId="0" applyFont="1" applyFill="1" applyBorder="1"/>
    <xf numFmtId="0" fontId="3" fillId="0" borderId="44" xfId="0" applyFont="1" applyBorder="1"/>
    <xf numFmtId="0" fontId="3" fillId="10" borderId="45" xfId="0" applyFont="1" applyFill="1" applyBorder="1"/>
    <xf numFmtId="0" fontId="3" fillId="10" borderId="46" xfId="0" applyFont="1" applyFill="1" applyBorder="1"/>
    <xf numFmtId="0" fontId="25" fillId="0" borderId="45" xfId="0" applyFont="1" applyBorder="1"/>
    <xf numFmtId="0" fontId="24" fillId="0" borderId="46" xfId="0" applyFont="1" applyFill="1" applyBorder="1" applyAlignment="1" applyProtection="1">
      <alignment wrapText="1"/>
    </xf>
    <xf numFmtId="0" fontId="25" fillId="0" borderId="46" xfId="0" applyFont="1" applyBorder="1"/>
    <xf numFmtId="0" fontId="4" fillId="0" borderId="36" xfId="0" applyFont="1" applyBorder="1" applyAlignment="1"/>
    <xf numFmtId="2" fontId="4" fillId="0" borderId="46" xfId="7" applyNumberFormat="1" applyFont="1" applyBorder="1" applyAlignment="1" applyProtection="1"/>
    <xf numFmtId="0" fontId="3" fillId="10" borderId="46" xfId="0" applyFont="1" applyFill="1" applyBorder="1" applyAlignment="1">
      <alignment horizontal="right"/>
    </xf>
    <xf numFmtId="0" fontId="25" fillId="0" borderId="42" xfId="0" applyFont="1" applyBorder="1"/>
    <xf numFmtId="0" fontId="24" fillId="0" borderId="46" xfId="10" applyFont="1" applyFill="1" applyBorder="1" applyAlignment="1">
      <alignment wrapText="1"/>
    </xf>
    <xf numFmtId="0" fontId="24" fillId="0" borderId="46" xfId="11" applyNumberFormat="1" applyFont="1" applyFill="1" applyBorder="1"/>
    <xf numFmtId="170" fontId="24" fillId="0" borderId="46" xfId="12" applyNumberFormat="1" applyFont="1" applyFill="1" applyBorder="1" applyAlignment="1">
      <alignment horizontal="left"/>
    </xf>
    <xf numFmtId="0" fontId="24" fillId="0" borderId="46" xfId="11" applyFont="1" applyFill="1" applyBorder="1"/>
    <xf numFmtId="0" fontId="24" fillId="0" borderId="46" xfId="11" applyFont="1" applyFill="1" applyBorder="1" applyAlignment="1">
      <alignment horizontal="center" wrapText="1"/>
    </xf>
    <xf numFmtId="170" fontId="24" fillId="0" borderId="46" xfId="7" applyNumberFormat="1" applyFont="1" applyBorder="1" applyAlignment="1" applyProtection="1"/>
    <xf numFmtId="0" fontId="15" fillId="0" borderId="46" xfId="10" applyFont="1" applyFill="1" applyBorder="1" applyAlignment="1">
      <alignment wrapText="1"/>
    </xf>
    <xf numFmtId="170" fontId="24" fillId="0" borderId="46" xfId="13" applyNumberFormat="1" applyFont="1" applyFill="1" applyBorder="1" applyAlignment="1">
      <alignment horizontal="left" wrapText="1"/>
    </xf>
    <xf numFmtId="0" fontId="24" fillId="0" borderId="46" xfId="11" applyFont="1" applyFill="1" applyBorder="1" applyAlignment="1">
      <alignment horizontal="left" wrapText="1" indent="1"/>
    </xf>
    <xf numFmtId="2" fontId="24" fillId="0" borderId="46" xfId="11" applyNumberFormat="1" applyFont="1" applyFill="1" applyBorder="1"/>
    <xf numFmtId="0" fontId="5" fillId="0" borderId="46" xfId="11" applyBorder="1"/>
    <xf numFmtId="0" fontId="24" fillId="0" borderId="42" xfId="11" applyFont="1" applyFill="1" applyBorder="1"/>
    <xf numFmtId="0" fontId="24" fillId="0" borderId="46" xfId="11" applyFont="1" applyFill="1" applyBorder="1" applyAlignment="1" applyProtection="1">
      <alignment wrapText="1"/>
    </xf>
    <xf numFmtId="0" fontId="24" fillId="0" borderId="46" xfId="11" applyFont="1" applyFill="1" applyBorder="1" applyAlignment="1">
      <alignment horizontal="left" wrapText="1"/>
    </xf>
    <xf numFmtId="168" fontId="24" fillId="0" borderId="46" xfId="3" applyFont="1" applyFill="1" applyBorder="1"/>
    <xf numFmtId="171" fontId="24" fillId="0" borderId="46" xfId="11" applyNumberFormat="1" applyFont="1" applyFill="1" applyBorder="1"/>
    <xf numFmtId="169" fontId="24" fillId="0" borderId="46" xfId="9" applyFont="1" applyFill="1" applyBorder="1"/>
    <xf numFmtId="11" fontId="24" fillId="0" borderId="46" xfId="11" applyNumberFormat="1" applyFont="1" applyFill="1" applyBorder="1" applyAlignment="1">
      <alignment horizontal="left" wrapText="1"/>
    </xf>
    <xf numFmtId="11" fontId="24" fillId="0" borderId="46" xfId="14" applyNumberFormat="1" applyFont="1" applyFill="1" applyBorder="1"/>
    <xf numFmtId="173" fontId="24" fillId="0" borderId="46" xfId="9" applyNumberFormat="1" applyFont="1" applyFill="1" applyBorder="1"/>
    <xf numFmtId="0" fontId="24" fillId="0" borderId="46" xfId="9" applyNumberFormat="1" applyFont="1" applyFill="1" applyBorder="1"/>
    <xf numFmtId="165" fontId="24" fillId="0" borderId="46" xfId="7" applyNumberFormat="1" applyFont="1" applyBorder="1" applyAlignment="1" applyProtection="1"/>
    <xf numFmtId="0" fontId="24" fillId="0" borderId="46" xfId="11" applyNumberFormat="1" applyFont="1" applyFill="1" applyBorder="1" applyAlignment="1">
      <alignment horizontal="left" wrapText="1"/>
    </xf>
    <xf numFmtId="0" fontId="24" fillId="0" borderId="46" xfId="11" applyFont="1" applyBorder="1"/>
    <xf numFmtId="174" fontId="0" fillId="0" borderId="0" xfId="0" applyNumberFormat="1" applyBorder="1"/>
    <xf numFmtId="0" fontId="24" fillId="0" borderId="46" xfId="0" applyFont="1" applyFill="1" applyBorder="1" applyAlignment="1" applyProtection="1">
      <alignment vertical="center" wrapText="1"/>
    </xf>
    <xf numFmtId="0" fontId="24" fillId="0" borderId="47" xfId="10" applyFont="1" applyFill="1" applyBorder="1" applyAlignment="1">
      <alignment wrapText="1"/>
    </xf>
    <xf numFmtId="168" fontId="24" fillId="0" borderId="46" xfId="12" applyFont="1" applyFill="1" applyBorder="1"/>
    <xf numFmtId="0" fontId="18" fillId="10" borderId="16" xfId="8" applyFill="1" applyBorder="1"/>
    <xf numFmtId="0" fontId="18" fillId="0" borderId="0" xfId="8" quotePrefix="1" applyFill="1"/>
  </cellXfs>
  <cellStyles count="15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illiers 2" xfId="9" xr:uid="{BCD80422-4E58-4C46-B7FA-7B089F38F7E1}"/>
    <cellStyle name="Milliers 3" xfId="14" xr:uid="{99EADCB2-1CC0-4C85-8772-9542F23A219F}"/>
    <cellStyle name="Monétaire 10" xfId="12" xr:uid="{091E9DD3-9967-4F5F-B96A-4CF785A594E7}"/>
    <cellStyle name="Monétaire 2" xfId="3" xr:uid="{00000000-0005-0000-0000-000004000000}"/>
    <cellStyle name="Monétaire 3" xfId="13" xr:uid="{005E21D1-743F-48E1-8D66-AB10F384CE90}"/>
    <cellStyle name="Normal" xfId="0" builtinId="0"/>
    <cellStyle name="Normal 2" xfId="1" xr:uid="{00000000-0005-0000-0000-000006000000}"/>
    <cellStyle name="Normal 3" xfId="6" xr:uid="{00000000-0005-0000-0000-000007000000}"/>
    <cellStyle name="Normal 4" xfId="11" xr:uid="{CFACC039-0295-4B44-8500-74B870326428}"/>
    <cellStyle name="Normal_Sheet1" xfId="10" xr:uid="{D20A7D3D-6890-435E-937C-A40A028BB702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412216</xdr:colOff>
      <xdr:row>19</xdr:row>
      <xdr:rowOff>174493</xdr:rowOff>
    </xdr:from>
    <xdr:to>
      <xdr:col>13</xdr:col>
      <xdr:colOff>394607</xdr:colOff>
      <xdr:row>30</xdr:row>
      <xdr:rowOff>51893</xdr:rowOff>
    </xdr:to>
    <xdr:pic>
      <xdr:nvPicPr>
        <xdr:cNvPr id="2" name="Image 1" descr="https://murmotorsports.eng.unimelb.edu.au/__data/assets/image/0005/2367968/varieties/medium.jpg">
          <a:extLst>
            <a:ext uri="{FF2B5EF4-FFF2-40B4-BE49-F238E27FC236}">
              <a16:creationId xmlns:a16="http://schemas.microsoft.com/office/drawing/2014/main" id="{26CE718F-865D-443F-9717-D3C7B3167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645" y="3793993"/>
          <a:ext cx="3125641" cy="197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419922</xdr:colOff>
      <xdr:row>13</xdr:row>
      <xdr:rowOff>152399</xdr:rowOff>
    </xdr:from>
    <xdr:to>
      <xdr:col>11</xdr:col>
      <xdr:colOff>732771</xdr:colOff>
      <xdr:row>23</xdr:row>
      <xdr:rowOff>151586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30A659E-5C3D-4AB5-AC1E-73ADF3B2E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26072" y="2628899"/>
          <a:ext cx="1836849" cy="228518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477148</xdr:colOff>
      <xdr:row>13</xdr:row>
      <xdr:rowOff>133349</xdr:rowOff>
    </xdr:from>
    <xdr:to>
      <xdr:col>11</xdr:col>
      <xdr:colOff>590549</xdr:colOff>
      <xdr:row>23</xdr:row>
      <xdr:rowOff>183624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D2AD27-052D-4F7E-8C2F-7B70B3E51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88123" y="2609849"/>
          <a:ext cx="1637401" cy="2145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71467</xdr:colOff>
      <xdr:row>14</xdr:row>
      <xdr:rowOff>104775</xdr:rowOff>
    </xdr:from>
    <xdr:to>
      <xdr:col>13</xdr:col>
      <xdr:colOff>303654</xdr:colOff>
      <xdr:row>24</xdr:row>
      <xdr:rowOff>66675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3FA679-96BD-43D5-BF35-DF976C85D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9842" y="2771775"/>
          <a:ext cx="2518187" cy="2057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</xdr:row>
      <xdr:rowOff>28575</xdr:rowOff>
    </xdr:from>
    <xdr:to>
      <xdr:col>13</xdr:col>
      <xdr:colOff>55912</xdr:colOff>
      <xdr:row>38</xdr:row>
      <xdr:rowOff>170575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D8E5EB1-39DA-4C6D-ADD3-37054688B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09575"/>
          <a:ext cx="9904762" cy="70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58419</xdr:colOff>
      <xdr:row>14</xdr:row>
      <xdr:rowOff>104775</xdr:rowOff>
    </xdr:from>
    <xdr:to>
      <xdr:col>12</xdr:col>
      <xdr:colOff>590550</xdr:colOff>
      <xdr:row>24</xdr:row>
      <xdr:rowOff>64752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CF1CCA-D0A1-4C0C-AF3C-C938BFEB8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4319" y="2771775"/>
          <a:ext cx="2056131" cy="22459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171450</xdr:rowOff>
    </xdr:from>
    <xdr:to>
      <xdr:col>13</xdr:col>
      <xdr:colOff>208317</xdr:colOff>
      <xdr:row>38</xdr:row>
      <xdr:rowOff>94378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AC9B739-30D5-4C64-B1F1-7DB8C6C84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61950"/>
          <a:ext cx="9866667" cy="69714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12</xdr:row>
      <xdr:rowOff>117426</xdr:rowOff>
    </xdr:from>
    <xdr:to>
      <xdr:col>11</xdr:col>
      <xdr:colOff>285750</xdr:colOff>
      <xdr:row>25</xdr:row>
      <xdr:rowOff>8710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FF74699-F881-4FB4-B779-B78B9B954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0" y="2403426"/>
          <a:ext cx="1495425" cy="29392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12</xdr:row>
      <xdr:rowOff>19787</xdr:rowOff>
    </xdr:from>
    <xdr:to>
      <xdr:col>11</xdr:col>
      <xdr:colOff>371475</xdr:colOff>
      <xdr:row>26</xdr:row>
      <xdr:rowOff>110835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CA6A76C-D9AE-4B4E-8BDC-405BE2BA3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3200" y="2305787"/>
          <a:ext cx="1581150" cy="31390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393872</xdr:colOff>
      <xdr:row>15</xdr:row>
      <xdr:rowOff>9524</xdr:rowOff>
    </xdr:from>
    <xdr:to>
      <xdr:col>13</xdr:col>
      <xdr:colOff>170517</xdr:colOff>
      <xdr:row>25</xdr:row>
      <xdr:rowOff>180225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1B9F1C7-A378-4716-9DDB-4B0B4ADA3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4947" y="2867024"/>
          <a:ext cx="2824645" cy="226620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14</xdr:row>
      <xdr:rowOff>66675</xdr:rowOff>
    </xdr:from>
    <xdr:to>
      <xdr:col>13</xdr:col>
      <xdr:colOff>75451</xdr:colOff>
      <xdr:row>24</xdr:row>
      <xdr:rowOff>94542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3DDF04F-B410-4463-A054-47A66011C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73050" y="2733675"/>
          <a:ext cx="2351926" cy="19328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%20Assembl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BR Assembly"/>
      <sheetName val="BR Part 1"/>
      <sheetName val="BR Drawing Part 1"/>
      <sheetName val="EN Assembly"/>
    </sheetNames>
    <sheetDataSet>
      <sheetData sheetId="0" refreshError="1"/>
      <sheetData sheetId="1" refreshError="1"/>
      <sheetData sheetId="2" refreshError="1">
        <row r="3">
          <cell r="B3" t="str">
            <v>Brake System</v>
          </cell>
        </row>
        <row r="4">
          <cell r="B4" t="str">
            <v>Nom de l'assemblage 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7" workbookViewId="0">
      <selection activeCell="F21" sqref="F21"/>
    </sheetView>
  </sheetViews>
  <sheetFormatPr baseColWidth="10" defaultRowHeight="15" x14ac:dyDescent="0.25"/>
  <sheetData>
    <row r="1" spans="1:2" x14ac:dyDescent="0.25">
      <c r="A1" s="69" t="s">
        <v>121</v>
      </c>
    </row>
    <row r="3" spans="1:2" x14ac:dyDescent="0.25">
      <c r="A3" s="68" t="s">
        <v>66</v>
      </c>
      <c r="B3" s="66" t="s">
        <v>67</v>
      </c>
    </row>
    <row r="5" spans="1:2" x14ac:dyDescent="0.25">
      <c r="A5" t="s">
        <v>122</v>
      </c>
    </row>
    <row r="6" spans="1:2" x14ac:dyDescent="0.25">
      <c r="A6" t="s">
        <v>99</v>
      </c>
    </row>
    <row r="7" spans="1:2" x14ac:dyDescent="0.25">
      <c r="A7" t="s">
        <v>105</v>
      </c>
    </row>
    <row r="8" spans="1:2" x14ac:dyDescent="0.25">
      <c r="A8" t="s">
        <v>103</v>
      </c>
    </row>
    <row r="9" spans="1:2" x14ac:dyDescent="0.25">
      <c r="A9" t="s">
        <v>68</v>
      </c>
    </row>
    <row r="10" spans="1:2" x14ac:dyDescent="0.25">
      <c r="A10" s="66" t="s">
        <v>96</v>
      </c>
    </row>
    <row r="11" spans="1:2" x14ac:dyDescent="0.25">
      <c r="A11" t="s">
        <v>133</v>
      </c>
    </row>
    <row r="12" spans="1:2" x14ac:dyDescent="0.25">
      <c r="A12" t="s">
        <v>69</v>
      </c>
    </row>
    <row r="14" spans="1:2" x14ac:dyDescent="0.25">
      <c r="A14" t="s">
        <v>98</v>
      </c>
    </row>
    <row r="15" spans="1:2" x14ac:dyDescent="0.25">
      <c r="A15" t="s">
        <v>123</v>
      </c>
    </row>
    <row r="16" spans="1:2" x14ac:dyDescent="0.25">
      <c r="A16" t="s">
        <v>109</v>
      </c>
    </row>
    <row r="18" spans="1:3" x14ac:dyDescent="0.25">
      <c r="A18" s="68" t="s">
        <v>70</v>
      </c>
      <c r="B18" s="66" t="s">
        <v>101</v>
      </c>
      <c r="C18" s="66"/>
    </row>
    <row r="20" spans="1:3" x14ac:dyDescent="0.25">
      <c r="A20" t="s">
        <v>108</v>
      </c>
    </row>
    <row r="21" spans="1:3" x14ac:dyDescent="0.25">
      <c r="A21" t="s">
        <v>134</v>
      </c>
    </row>
    <row r="23" spans="1:3" x14ac:dyDescent="0.25">
      <c r="A23" s="68" t="s">
        <v>72</v>
      </c>
      <c r="B23" s="66" t="s">
        <v>73</v>
      </c>
    </row>
    <row r="25" spans="1:3" x14ac:dyDescent="0.25">
      <c r="A25" t="s">
        <v>124</v>
      </c>
    </row>
    <row r="26" spans="1:3" x14ac:dyDescent="0.25">
      <c r="A26" t="s">
        <v>79</v>
      </c>
    </row>
    <row r="27" spans="1:3" x14ac:dyDescent="0.25">
      <c r="A27" t="s">
        <v>74</v>
      </c>
    </row>
    <row r="28" spans="1:3" x14ac:dyDescent="0.25">
      <c r="A28" t="s">
        <v>106</v>
      </c>
    </row>
    <row r="29" spans="1:3" x14ac:dyDescent="0.25">
      <c r="A29" t="s">
        <v>104</v>
      </c>
    </row>
    <row r="30" spans="1:3" x14ac:dyDescent="0.25">
      <c r="A30" t="s">
        <v>75</v>
      </c>
    </row>
    <row r="31" spans="1:3" x14ac:dyDescent="0.25">
      <c r="A31" s="66" t="s">
        <v>96</v>
      </c>
    </row>
    <row r="32" spans="1:3" x14ac:dyDescent="0.25">
      <c r="A32" t="s">
        <v>125</v>
      </c>
    </row>
    <row r="33" spans="1:2" x14ac:dyDescent="0.25">
      <c r="A33" t="s">
        <v>126</v>
      </c>
    </row>
    <row r="35" spans="1:2" x14ac:dyDescent="0.25">
      <c r="A35" t="s">
        <v>107</v>
      </c>
    </row>
    <row r="36" spans="1:2" x14ac:dyDescent="0.25">
      <c r="A36" t="s">
        <v>127</v>
      </c>
    </row>
    <row r="37" spans="1:2" x14ac:dyDescent="0.25">
      <c r="A37" t="s">
        <v>110</v>
      </c>
    </row>
    <row r="39" spans="1:2" x14ac:dyDescent="0.25">
      <c r="A39" s="68" t="s">
        <v>76</v>
      </c>
      <c r="B39" s="66" t="s">
        <v>71</v>
      </c>
    </row>
    <row r="41" spans="1:2" x14ac:dyDescent="0.25">
      <c r="A41" t="s">
        <v>115</v>
      </c>
    </row>
    <row r="42" spans="1:2" x14ac:dyDescent="0.25">
      <c r="A42" t="s">
        <v>116</v>
      </c>
    </row>
    <row r="43" spans="1:2" x14ac:dyDescent="0.25">
      <c r="A43" t="s">
        <v>100</v>
      </c>
    </row>
    <row r="45" spans="1:2" x14ac:dyDescent="0.25">
      <c r="A45" s="68" t="s">
        <v>77</v>
      </c>
      <c r="B45" s="66" t="s">
        <v>93</v>
      </c>
    </row>
    <row r="47" spans="1:2" x14ac:dyDescent="0.25">
      <c r="A47" t="s">
        <v>128</v>
      </c>
    </row>
    <row r="48" spans="1:2" x14ac:dyDescent="0.25">
      <c r="A48" t="s">
        <v>94</v>
      </c>
    </row>
    <row r="49" spans="1:2" x14ac:dyDescent="0.25">
      <c r="A49" t="s">
        <v>95</v>
      </c>
    </row>
    <row r="50" spans="1:2" x14ac:dyDescent="0.25">
      <c r="A50" t="s">
        <v>129</v>
      </c>
    </row>
    <row r="51" spans="1:2" x14ac:dyDescent="0.25">
      <c r="A51" t="s">
        <v>117</v>
      </c>
    </row>
    <row r="52" spans="1:2" x14ac:dyDescent="0.25">
      <c r="A52" t="s">
        <v>130</v>
      </c>
    </row>
    <row r="53" spans="1:2" x14ac:dyDescent="0.25">
      <c r="A53" t="s">
        <v>132</v>
      </c>
    </row>
    <row r="55" spans="1:2" x14ac:dyDescent="0.25">
      <c r="A55" t="s">
        <v>111</v>
      </c>
    </row>
    <row r="57" spans="1:2" x14ac:dyDescent="0.25">
      <c r="A57" s="68" t="s">
        <v>81</v>
      </c>
      <c r="B57" s="66" t="s">
        <v>78</v>
      </c>
    </row>
    <row r="59" spans="1:2" x14ac:dyDescent="0.25">
      <c r="A59" t="s">
        <v>80</v>
      </c>
    </row>
    <row r="60" spans="1:2" x14ac:dyDescent="0.25">
      <c r="A60" t="s">
        <v>112</v>
      </c>
    </row>
    <row r="61" spans="1:2" x14ac:dyDescent="0.25">
      <c r="A61" t="s">
        <v>131</v>
      </c>
    </row>
    <row r="63" spans="1:2" x14ac:dyDescent="0.25">
      <c r="A63" s="68" t="s">
        <v>92</v>
      </c>
      <c r="B63" s="66" t="s">
        <v>82</v>
      </c>
    </row>
    <row r="65" spans="1:1" x14ac:dyDescent="0.25">
      <c r="A65" t="s">
        <v>83</v>
      </c>
    </row>
    <row r="66" spans="1:1" x14ac:dyDescent="0.25">
      <c r="A66" t="s">
        <v>85</v>
      </c>
    </row>
    <row r="67" spans="1:1" x14ac:dyDescent="0.25">
      <c r="A67" t="s">
        <v>84</v>
      </c>
    </row>
    <row r="68" spans="1:1" x14ac:dyDescent="0.25">
      <c r="A68" t="s">
        <v>86</v>
      </c>
    </row>
    <row r="69" spans="1:1" x14ac:dyDescent="0.25">
      <c r="A69" t="s">
        <v>87</v>
      </c>
    </row>
    <row r="70" spans="1:1" x14ac:dyDescent="0.25">
      <c r="A70" t="s">
        <v>88</v>
      </c>
    </row>
    <row r="71" spans="1:1" x14ac:dyDescent="0.25">
      <c r="A71" t="s">
        <v>113</v>
      </c>
    </row>
    <row r="72" spans="1:1" x14ac:dyDescent="0.25">
      <c r="A72" t="s">
        <v>114</v>
      </c>
    </row>
    <row r="74" spans="1:1" x14ac:dyDescent="0.25">
      <c r="A74" t="s">
        <v>118</v>
      </c>
    </row>
    <row r="75" spans="1:1" x14ac:dyDescent="0.25">
      <c r="A75" t="s">
        <v>89</v>
      </c>
    </row>
    <row r="76" spans="1:1" x14ac:dyDescent="0.25">
      <c r="A76" t="s">
        <v>90</v>
      </c>
    </row>
    <row r="77" spans="1:1" x14ac:dyDescent="0.25">
      <c r="A77" t="s">
        <v>113</v>
      </c>
    </row>
    <row r="78" spans="1:1" x14ac:dyDescent="0.25">
      <c r="A78" t="s">
        <v>114</v>
      </c>
    </row>
    <row r="80" spans="1:1" x14ac:dyDescent="0.25">
      <c r="A80" s="66" t="s">
        <v>97</v>
      </c>
    </row>
    <row r="82" spans="1:1" x14ac:dyDescent="0.25">
      <c r="A82" s="69" t="s">
        <v>102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83026-3302-4202-B427-41AC0D6EAB9C}">
  <sheetPr>
    <tabColor theme="6" tint="0.39997558519241921"/>
  </sheetPr>
  <dimension ref="A1"/>
  <sheetViews>
    <sheetView tabSelected="1" workbookViewId="0">
      <selection activeCell="L12" sqref="L12"/>
    </sheetView>
  </sheetViews>
  <sheetFormatPr baseColWidth="10" defaultRowHeight="15" x14ac:dyDescent="0.25"/>
  <sheetData>
    <row r="1" spans="1:1" x14ac:dyDescent="0.25">
      <c r="A1" s="224" t="s">
        <v>224</v>
      </c>
    </row>
  </sheetData>
  <hyperlinks>
    <hyperlink ref="A1" location="EN_0900_004" display="EN_0900_004" xr:uid="{2E4E2DB0-CD4F-4100-BC62-30408841A31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611C-5FF0-43D8-A173-C5E8D33A1FBB}">
  <sheetPr>
    <tabColor theme="6" tint="0.39997558519241921"/>
  </sheetPr>
  <dimension ref="A1:O28"/>
  <sheetViews>
    <sheetView workbookViewId="0">
      <selection activeCell="F17" sqref="F17"/>
    </sheetView>
  </sheetViews>
  <sheetFormatPr baseColWidth="10" defaultRowHeight="15" x14ac:dyDescent="0.25"/>
  <cols>
    <col min="2" max="2" width="21.28515625" bestFit="1" customWidth="1"/>
    <col min="3" max="3" width="33.42578125" bestFit="1" customWidth="1"/>
    <col min="9" max="9" width="27.42578125" bestFit="1" customWidth="1"/>
  </cols>
  <sheetData>
    <row r="1" spans="1:15" x14ac:dyDescent="0.2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</row>
    <row r="2" spans="1:15" x14ac:dyDescent="0.25">
      <c r="A2" s="180" t="s">
        <v>0</v>
      </c>
      <c r="B2" s="181" t="s">
        <v>43</v>
      </c>
      <c r="C2" s="46"/>
      <c r="D2" s="46"/>
      <c r="E2" s="46"/>
      <c r="F2" s="46"/>
      <c r="G2" s="46" t="s">
        <v>120</v>
      </c>
      <c r="H2" s="46"/>
      <c r="I2" s="46"/>
      <c r="J2" s="103" t="s">
        <v>1</v>
      </c>
      <c r="K2" s="64">
        <v>81</v>
      </c>
      <c r="L2" s="46"/>
      <c r="M2" s="102" t="s">
        <v>16</v>
      </c>
      <c r="N2" s="62">
        <f>EN_0900_005_m+EN_0900_005_p</f>
        <v>17.198412672</v>
      </c>
      <c r="O2" s="164"/>
    </row>
    <row r="3" spans="1:15" x14ac:dyDescent="0.25">
      <c r="A3" s="182" t="s">
        <v>3</v>
      </c>
      <c r="B3" s="181" t="s">
        <v>135</v>
      </c>
      <c r="C3" s="46"/>
      <c r="D3" s="102" t="s">
        <v>6</v>
      </c>
      <c r="E3" s="46" t="s">
        <v>91</v>
      </c>
      <c r="F3" s="46"/>
      <c r="G3" s="46"/>
      <c r="H3" s="46"/>
      <c r="I3" s="46"/>
      <c r="J3" s="46"/>
      <c r="K3" s="46"/>
      <c r="L3" s="46"/>
      <c r="M3" s="102" t="s">
        <v>4</v>
      </c>
      <c r="N3" s="63">
        <v>1</v>
      </c>
      <c r="O3" s="164"/>
    </row>
    <row r="4" spans="1:15" x14ac:dyDescent="0.25">
      <c r="A4" s="183" t="s">
        <v>5</v>
      </c>
      <c r="B4" s="46" t="s">
        <v>136</v>
      </c>
      <c r="C4" s="46"/>
      <c r="D4" s="102" t="s">
        <v>8</v>
      </c>
      <c r="E4" s="46"/>
      <c r="F4" s="46"/>
      <c r="G4" s="46"/>
      <c r="H4" s="46"/>
      <c r="I4" s="46"/>
      <c r="J4" s="104" t="s">
        <v>6</v>
      </c>
      <c r="K4" s="46"/>
      <c r="L4" s="46"/>
      <c r="M4" s="46"/>
      <c r="N4" s="46"/>
      <c r="O4" s="164"/>
    </row>
    <row r="5" spans="1:15" x14ac:dyDescent="0.25">
      <c r="A5" s="183" t="s">
        <v>15</v>
      </c>
      <c r="B5" s="46" t="s">
        <v>231</v>
      </c>
      <c r="C5" s="46"/>
      <c r="D5" s="102" t="s">
        <v>12</v>
      </c>
      <c r="E5" s="46"/>
      <c r="F5" s="46"/>
      <c r="G5" s="46"/>
      <c r="H5" s="46"/>
      <c r="I5" s="46"/>
      <c r="J5" s="104" t="s">
        <v>8</v>
      </c>
      <c r="K5" s="46"/>
      <c r="L5" s="46"/>
      <c r="M5" s="102" t="s">
        <v>9</v>
      </c>
      <c r="N5" s="62">
        <f>N3*N2</f>
        <v>17.198412672</v>
      </c>
      <c r="O5" s="164"/>
    </row>
    <row r="6" spans="1:15" x14ac:dyDescent="0.25">
      <c r="A6" s="183" t="s">
        <v>7</v>
      </c>
      <c r="B6" s="176" t="s">
        <v>232</v>
      </c>
      <c r="C6" s="46"/>
      <c r="D6" s="46"/>
      <c r="E6" s="46"/>
      <c r="F6" s="46"/>
      <c r="G6" s="46"/>
      <c r="H6" s="46"/>
      <c r="I6" s="46"/>
      <c r="J6" s="104" t="s">
        <v>12</v>
      </c>
      <c r="K6" s="46"/>
      <c r="L6" s="46"/>
      <c r="M6" s="46"/>
      <c r="N6" s="46"/>
      <c r="O6" s="164"/>
    </row>
    <row r="7" spans="1:15" x14ac:dyDescent="0.25">
      <c r="A7" s="184" t="s">
        <v>10</v>
      </c>
      <c r="B7" s="181" t="s">
        <v>11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164"/>
    </row>
    <row r="8" spans="1:15" x14ac:dyDescent="0.25">
      <c r="A8" s="180" t="s">
        <v>13</v>
      </c>
      <c r="B8" s="112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164"/>
    </row>
    <row r="9" spans="1:15" x14ac:dyDescent="0.25">
      <c r="A9" s="185"/>
      <c r="B9" s="22"/>
      <c r="C9" s="22"/>
      <c r="D9" s="22"/>
      <c r="E9" s="22"/>
      <c r="F9" s="46"/>
      <c r="G9" s="46"/>
      <c r="H9" s="46"/>
      <c r="I9" s="46"/>
      <c r="J9" s="46"/>
      <c r="K9" s="46"/>
      <c r="L9" s="46"/>
      <c r="M9" s="46"/>
      <c r="N9" s="46"/>
      <c r="O9" s="164"/>
    </row>
    <row r="10" spans="1:15" x14ac:dyDescent="0.25">
      <c r="A10" s="186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87" t="s">
        <v>23</v>
      </c>
      <c r="G10" s="187" t="s">
        <v>24</v>
      </c>
      <c r="H10" s="187" t="s">
        <v>25</v>
      </c>
      <c r="I10" s="187" t="s">
        <v>26</v>
      </c>
      <c r="J10" s="187" t="s">
        <v>27</v>
      </c>
      <c r="K10" s="187" t="s">
        <v>28</v>
      </c>
      <c r="L10" s="187" t="s">
        <v>29</v>
      </c>
      <c r="M10" s="187" t="s">
        <v>17</v>
      </c>
      <c r="N10" s="187" t="s">
        <v>18</v>
      </c>
      <c r="O10" s="164"/>
    </row>
    <row r="11" spans="1:15" x14ac:dyDescent="0.25">
      <c r="A11" s="206">
        <v>10</v>
      </c>
      <c r="B11" s="207" t="s">
        <v>155</v>
      </c>
      <c r="C11" s="208" t="s">
        <v>226</v>
      </c>
      <c r="D11" s="209">
        <v>4.2</v>
      </c>
      <c r="E11" s="210">
        <f>J11*K11*L11</f>
        <v>1.3388601600000001</v>
      </c>
      <c r="F11" s="198" t="s">
        <v>156</v>
      </c>
      <c r="G11" s="198"/>
      <c r="H11" s="211"/>
      <c r="I11" s="212" t="s">
        <v>233</v>
      </c>
      <c r="J11" s="213">
        <f>374*120/1000000</f>
        <v>4.4880000000000003E-2</v>
      </c>
      <c r="K11" s="214">
        <f>11/1000</f>
        <v>1.0999999999999999E-2</v>
      </c>
      <c r="L11" s="215">
        <v>2712</v>
      </c>
      <c r="M11" s="215">
        <v>1</v>
      </c>
      <c r="N11" s="216">
        <f>IF(J11="",D11*M11,D11*J11*K11*L11*M11)</f>
        <v>5.6232126720000002</v>
      </c>
      <c r="O11" s="168"/>
    </row>
    <row r="12" spans="1:15" x14ac:dyDescent="0.25">
      <c r="A12" s="191"/>
      <c r="B12" s="130"/>
      <c r="C12" s="131"/>
      <c r="D12" s="132"/>
      <c r="E12" s="131"/>
      <c r="F12" s="131"/>
      <c r="G12" s="131"/>
      <c r="H12" s="133"/>
      <c r="I12" s="134"/>
      <c r="J12" s="135"/>
      <c r="K12" s="136"/>
      <c r="L12" s="137"/>
      <c r="M12" s="192"/>
      <c r="N12" s="138"/>
      <c r="O12" s="168"/>
    </row>
    <row r="13" spans="1:15" x14ac:dyDescent="0.25">
      <c r="A13" s="16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3" t="s">
        <v>18</v>
      </c>
      <c r="N13" s="106">
        <f>SUM(N11:N11)</f>
        <v>5.6232126720000002</v>
      </c>
      <c r="O13" s="164"/>
    </row>
    <row r="14" spans="1:15" x14ac:dyDescent="0.25">
      <c r="A14" s="16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164"/>
    </row>
    <row r="15" spans="1:15" x14ac:dyDescent="0.25">
      <c r="A15" s="183" t="s">
        <v>14</v>
      </c>
      <c r="B15" s="187" t="s">
        <v>31</v>
      </c>
      <c r="C15" s="187" t="s">
        <v>20</v>
      </c>
      <c r="D15" s="187" t="s">
        <v>21</v>
      </c>
      <c r="E15" s="187" t="s">
        <v>32</v>
      </c>
      <c r="F15" s="187" t="s">
        <v>17</v>
      </c>
      <c r="G15" s="187" t="s">
        <v>33</v>
      </c>
      <c r="H15" s="187" t="s">
        <v>34</v>
      </c>
      <c r="I15" s="187" t="s">
        <v>18</v>
      </c>
      <c r="J15" s="19"/>
      <c r="K15" s="19"/>
      <c r="L15" s="19"/>
      <c r="M15" s="19"/>
      <c r="N15" s="19"/>
      <c r="O15" s="164"/>
    </row>
    <row r="16" spans="1:15" ht="30" x14ac:dyDescent="0.25">
      <c r="A16" s="188">
        <v>10</v>
      </c>
      <c r="B16" s="217" t="s">
        <v>44</v>
      </c>
      <c r="C16" s="217" t="s">
        <v>228</v>
      </c>
      <c r="D16" s="209">
        <v>1.3</v>
      </c>
      <c r="E16" s="195" t="s">
        <v>32</v>
      </c>
      <c r="F16" s="218">
        <v>1</v>
      </c>
      <c r="G16" s="218"/>
      <c r="H16" s="205"/>
      <c r="I16" s="216">
        <f>IF(H16="",D16*F16,D16*F16*H16)</f>
        <v>1.3</v>
      </c>
      <c r="J16" s="48"/>
      <c r="K16" s="48"/>
      <c r="L16" s="48"/>
      <c r="M16" s="48"/>
      <c r="N16" s="48"/>
      <c r="O16" s="170"/>
    </row>
    <row r="17" spans="1:15" ht="30" x14ac:dyDescent="0.25">
      <c r="A17" s="188">
        <v>20</v>
      </c>
      <c r="B17" s="217" t="s">
        <v>162</v>
      </c>
      <c r="C17" s="217" t="s">
        <v>229</v>
      </c>
      <c r="D17" s="209">
        <v>0.04</v>
      </c>
      <c r="E17" s="198" t="s">
        <v>163</v>
      </c>
      <c r="F17" s="204">
        <v>256.88</v>
      </c>
      <c r="G17" s="195" t="s">
        <v>230</v>
      </c>
      <c r="H17" s="205">
        <v>1</v>
      </c>
      <c r="I17" s="216">
        <f>IF(H17="",D17*F17,D17*F17*H17)</f>
        <v>10.2752</v>
      </c>
      <c r="J17" s="48"/>
      <c r="K17" s="48"/>
      <c r="L17" s="48"/>
      <c r="M17" s="48"/>
      <c r="N17" s="48"/>
      <c r="O17" s="170"/>
    </row>
    <row r="18" spans="1:15" x14ac:dyDescent="0.25">
      <c r="A18" s="169"/>
      <c r="B18" s="19"/>
      <c r="C18" s="19"/>
      <c r="D18" s="19"/>
      <c r="E18" s="19"/>
      <c r="F18" s="19"/>
      <c r="G18" s="19"/>
      <c r="H18" s="111" t="s">
        <v>18</v>
      </c>
      <c r="I18" s="106">
        <f>SUM(I16:I17)</f>
        <v>11.575200000000001</v>
      </c>
      <c r="J18" s="19"/>
      <c r="K18" s="19"/>
      <c r="L18" s="19"/>
      <c r="M18" s="19"/>
      <c r="N18" s="19"/>
      <c r="O18" s="164"/>
    </row>
    <row r="19" spans="1:15" x14ac:dyDescent="0.25">
      <c r="A19" s="16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164"/>
    </row>
    <row r="20" spans="1:15" x14ac:dyDescent="0.25">
      <c r="A20" s="16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164"/>
    </row>
    <row r="21" spans="1:15" x14ac:dyDescent="0.25">
      <c r="A21" s="16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164"/>
    </row>
    <row r="22" spans="1:15" x14ac:dyDescent="0.25">
      <c r="A22" s="165"/>
      <c r="B22" s="46"/>
      <c r="C22" s="46"/>
      <c r="D22" s="46"/>
      <c r="E22" s="178"/>
      <c r="F22" s="219"/>
      <c r="G22" s="219"/>
      <c r="H22" s="46"/>
      <c r="I22" s="46"/>
      <c r="J22" s="46"/>
      <c r="K22" s="46"/>
      <c r="L22" s="46"/>
      <c r="M22" s="46"/>
      <c r="N22" s="46"/>
      <c r="O22" s="164"/>
    </row>
    <row r="23" spans="1:15" x14ac:dyDescent="0.25">
      <c r="A23" s="165"/>
      <c r="B23" s="46"/>
      <c r="C23" s="46"/>
      <c r="D23" s="46"/>
      <c r="E23" s="219"/>
      <c r="F23" s="46"/>
      <c r="G23" s="46"/>
      <c r="H23" s="46"/>
      <c r="I23" s="46"/>
      <c r="J23" s="46"/>
      <c r="K23" s="46"/>
      <c r="L23" s="46"/>
      <c r="M23" s="46"/>
      <c r="N23" s="46"/>
      <c r="O23" s="164"/>
    </row>
    <row r="24" spans="1:15" x14ac:dyDescent="0.25">
      <c r="A24" s="16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164"/>
    </row>
    <row r="25" spans="1:15" x14ac:dyDescent="0.25">
      <c r="A25" s="16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164"/>
    </row>
    <row r="26" spans="1:15" x14ac:dyDescent="0.25">
      <c r="A26" s="16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164"/>
    </row>
    <row r="27" spans="1:15" x14ac:dyDescent="0.25">
      <c r="A27" s="16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164"/>
    </row>
    <row r="28" spans="1:15" ht="15.75" thickBot="1" x14ac:dyDescent="0.3">
      <c r="A28" s="173"/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F031-A6B2-4C3F-B011-3A3FB7B7A2BE}">
  <sheetPr>
    <tabColor theme="6" tint="0.39997558519241921"/>
  </sheetPr>
  <dimension ref="A1:O27"/>
  <sheetViews>
    <sheetView topLeftCell="D1" workbookViewId="0">
      <selection activeCell="O13" sqref="O13"/>
    </sheetView>
  </sheetViews>
  <sheetFormatPr baseColWidth="10" defaultRowHeight="15" x14ac:dyDescent="0.25"/>
  <cols>
    <col min="2" max="2" width="28.5703125" bestFit="1" customWidth="1"/>
    <col min="3" max="3" width="39.28515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</row>
    <row r="2" spans="1:15" x14ac:dyDescent="0.25">
      <c r="A2" s="180" t="s">
        <v>0</v>
      </c>
      <c r="B2" s="181" t="s">
        <v>43</v>
      </c>
      <c r="C2" s="46"/>
      <c r="D2" s="46"/>
      <c r="E2" s="46"/>
      <c r="F2" s="46"/>
      <c r="G2" s="46" t="s">
        <v>120</v>
      </c>
      <c r="H2" s="46"/>
      <c r="I2" s="46"/>
      <c r="J2" s="103" t="s">
        <v>1</v>
      </c>
      <c r="K2" s="64">
        <v>81</v>
      </c>
      <c r="L2" s="46"/>
      <c r="M2" s="102" t="s">
        <v>16</v>
      </c>
      <c r="N2" s="62">
        <f>EN_0900_006_m+EN_0900_006_p</f>
        <v>0.83337245000000004</v>
      </c>
      <c r="O2" s="164"/>
    </row>
    <row r="3" spans="1:15" x14ac:dyDescent="0.25">
      <c r="A3" s="182" t="s">
        <v>3</v>
      </c>
      <c r="B3" s="181" t="s">
        <v>135</v>
      </c>
      <c r="C3" s="46"/>
      <c r="D3" s="102" t="s">
        <v>6</v>
      </c>
      <c r="E3" s="46" t="s">
        <v>91</v>
      </c>
      <c r="F3" s="46"/>
      <c r="G3" s="46"/>
      <c r="H3" s="46"/>
      <c r="I3" s="46"/>
      <c r="J3" s="46"/>
      <c r="K3" s="46"/>
      <c r="L3" s="46"/>
      <c r="M3" s="102" t="s">
        <v>4</v>
      </c>
      <c r="N3" s="63">
        <v>4</v>
      </c>
      <c r="O3" s="164"/>
    </row>
    <row r="4" spans="1:15" x14ac:dyDescent="0.25">
      <c r="A4" s="183" t="s">
        <v>5</v>
      </c>
      <c r="B4" s="46" t="s">
        <v>136</v>
      </c>
      <c r="C4" s="46"/>
      <c r="D4" s="102" t="s">
        <v>8</v>
      </c>
      <c r="E4" s="46"/>
      <c r="F4" s="46"/>
      <c r="G4" s="46"/>
      <c r="H4" s="46"/>
      <c r="I4" s="46"/>
      <c r="J4" s="104" t="s">
        <v>6</v>
      </c>
      <c r="K4" s="46"/>
      <c r="L4" s="46"/>
      <c r="M4" s="46"/>
      <c r="N4" s="46"/>
      <c r="O4" s="164"/>
    </row>
    <row r="5" spans="1:15" x14ac:dyDescent="0.25">
      <c r="A5" s="183" t="s">
        <v>15</v>
      </c>
      <c r="B5" s="46" t="s">
        <v>215</v>
      </c>
      <c r="C5" s="46"/>
      <c r="D5" s="102" t="s">
        <v>12</v>
      </c>
      <c r="E5" s="46"/>
      <c r="F5" s="46"/>
      <c r="G5" s="46"/>
      <c r="H5" s="46"/>
      <c r="I5" s="46"/>
      <c r="J5" s="104" t="s">
        <v>8</v>
      </c>
      <c r="K5" s="46"/>
      <c r="L5" s="46"/>
      <c r="M5" s="102" t="s">
        <v>9</v>
      </c>
      <c r="N5" s="62">
        <f>N3*N2</f>
        <v>3.3334898000000002</v>
      </c>
      <c r="O5" s="164"/>
    </row>
    <row r="6" spans="1:15" x14ac:dyDescent="0.25">
      <c r="A6" s="183" t="s">
        <v>7</v>
      </c>
      <c r="B6" s="176" t="s">
        <v>234</v>
      </c>
      <c r="C6" s="46"/>
      <c r="D6" s="46"/>
      <c r="E6" s="46"/>
      <c r="F6" s="46"/>
      <c r="G6" s="46"/>
      <c r="H6" s="46"/>
      <c r="I6" s="46"/>
      <c r="J6" s="104" t="s">
        <v>12</v>
      </c>
      <c r="K6" s="46"/>
      <c r="L6" s="46"/>
      <c r="M6" s="46"/>
      <c r="N6" s="46"/>
      <c r="O6" s="164"/>
    </row>
    <row r="7" spans="1:15" x14ac:dyDescent="0.25">
      <c r="A7" s="184" t="s">
        <v>10</v>
      </c>
      <c r="B7" s="181" t="s">
        <v>11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164"/>
    </row>
    <row r="8" spans="1:15" x14ac:dyDescent="0.25">
      <c r="A8" s="180" t="s">
        <v>13</v>
      </c>
      <c r="B8" s="112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164"/>
    </row>
    <row r="9" spans="1:15" x14ac:dyDescent="0.25">
      <c r="A9" s="185"/>
      <c r="B9" s="22"/>
      <c r="C9" s="22"/>
      <c r="D9" s="22"/>
      <c r="E9" s="22"/>
      <c r="F9" s="46"/>
      <c r="G9" s="46"/>
      <c r="H9" s="46"/>
      <c r="I9" s="46"/>
      <c r="J9" s="46"/>
      <c r="K9" s="46"/>
      <c r="L9" s="46"/>
      <c r="M9" s="46"/>
      <c r="N9" s="46"/>
      <c r="O9" s="164"/>
    </row>
    <row r="10" spans="1:15" x14ac:dyDescent="0.25">
      <c r="A10" s="186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87" t="s">
        <v>23</v>
      </c>
      <c r="G10" s="187" t="s">
        <v>24</v>
      </c>
      <c r="H10" s="187" t="s">
        <v>25</v>
      </c>
      <c r="I10" s="187" t="s">
        <v>26</v>
      </c>
      <c r="J10" s="187" t="s">
        <v>27</v>
      </c>
      <c r="K10" s="187" t="s">
        <v>28</v>
      </c>
      <c r="L10" s="187" t="s">
        <v>29</v>
      </c>
      <c r="M10" s="187" t="s">
        <v>17</v>
      </c>
      <c r="N10" s="187" t="s">
        <v>18</v>
      </c>
      <c r="O10" s="164"/>
    </row>
    <row r="11" spans="1:15" x14ac:dyDescent="0.25">
      <c r="A11" s="194">
        <v>10</v>
      </c>
      <c r="B11" s="220" t="s">
        <v>235</v>
      </c>
      <c r="C11" s="190" t="s">
        <v>236</v>
      </c>
      <c r="D11" s="141">
        <v>2.25</v>
      </c>
      <c r="E11" s="142">
        <f>J11*K11*L11</f>
        <v>3.6832200000000002E-2</v>
      </c>
      <c r="F11" s="140" t="s">
        <v>156</v>
      </c>
      <c r="G11" s="140"/>
      <c r="H11" s="143"/>
      <c r="I11" s="144" t="s">
        <v>237</v>
      </c>
      <c r="J11" s="144">
        <f>46*34/1000000</f>
        <v>1.5640000000000001E-3</v>
      </c>
      <c r="K11" s="145">
        <f>3/1000</f>
        <v>3.0000000000000001E-3</v>
      </c>
      <c r="L11" s="146">
        <v>7850</v>
      </c>
      <c r="M11" s="146">
        <v>1</v>
      </c>
      <c r="N11" s="141">
        <f>M11*L11*J11*K11*D11</f>
        <v>8.287245E-2</v>
      </c>
      <c r="O11" s="168"/>
    </row>
    <row r="12" spans="1:15" x14ac:dyDescent="0.25">
      <c r="A12" s="191"/>
      <c r="B12" s="130"/>
      <c r="C12" s="131"/>
      <c r="D12" s="132"/>
      <c r="E12" s="131"/>
      <c r="F12" s="131"/>
      <c r="G12" s="131"/>
      <c r="H12" s="133"/>
      <c r="I12" s="134"/>
      <c r="J12" s="135"/>
      <c r="K12" s="136"/>
      <c r="L12" s="137"/>
      <c r="M12" s="192"/>
      <c r="N12" s="138"/>
      <c r="O12" s="168"/>
    </row>
    <row r="13" spans="1:15" x14ac:dyDescent="0.25">
      <c r="A13" s="16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3" t="s">
        <v>18</v>
      </c>
      <c r="N13" s="106">
        <f>SUM(N11:N11)</f>
        <v>8.287245E-2</v>
      </c>
      <c r="O13" s="164"/>
    </row>
    <row r="14" spans="1:15" x14ac:dyDescent="0.25">
      <c r="A14" s="16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164"/>
    </row>
    <row r="15" spans="1:15" x14ac:dyDescent="0.25">
      <c r="A15" s="183" t="s">
        <v>14</v>
      </c>
      <c r="B15" s="187" t="s">
        <v>31</v>
      </c>
      <c r="C15" s="187" t="s">
        <v>20</v>
      </c>
      <c r="D15" s="187" t="s">
        <v>21</v>
      </c>
      <c r="E15" s="187" t="s">
        <v>32</v>
      </c>
      <c r="F15" s="187" t="s">
        <v>17</v>
      </c>
      <c r="G15" s="187" t="s">
        <v>33</v>
      </c>
      <c r="H15" s="187" t="s">
        <v>34</v>
      </c>
      <c r="I15" s="187" t="s">
        <v>18</v>
      </c>
      <c r="J15" s="19"/>
      <c r="K15" s="19"/>
      <c r="L15" s="19"/>
      <c r="M15" s="19"/>
      <c r="N15" s="19"/>
      <c r="O15" s="164"/>
    </row>
    <row r="16" spans="1:15" ht="30" x14ac:dyDescent="0.25">
      <c r="A16" s="188">
        <v>10</v>
      </c>
      <c r="B16" s="221" t="s">
        <v>44</v>
      </c>
      <c r="C16" s="196" t="s">
        <v>219</v>
      </c>
      <c r="D16" s="222">
        <v>1.3</v>
      </c>
      <c r="E16" s="198" t="s">
        <v>32</v>
      </c>
      <c r="F16" s="198">
        <v>1</v>
      </c>
      <c r="G16" s="208" t="s">
        <v>238</v>
      </c>
      <c r="H16" s="196">
        <f>1/8</f>
        <v>0.125</v>
      </c>
      <c r="I16" s="141">
        <f>IF(H16="",D16*F16,D16*F16*H16)</f>
        <v>0.16250000000000001</v>
      </c>
      <c r="J16" s="48"/>
      <c r="K16" s="48"/>
      <c r="L16" s="48"/>
      <c r="M16" s="48"/>
      <c r="N16" s="48"/>
      <c r="O16" s="170"/>
    </row>
    <row r="17" spans="1:15" x14ac:dyDescent="0.25">
      <c r="A17" s="206">
        <v>20</v>
      </c>
      <c r="B17" s="196" t="s">
        <v>45</v>
      </c>
      <c r="C17" s="217" t="s">
        <v>240</v>
      </c>
      <c r="D17" s="222">
        <v>0.01</v>
      </c>
      <c r="E17" s="198" t="s">
        <v>46</v>
      </c>
      <c r="F17" s="198">
        <v>19.600000000000001</v>
      </c>
      <c r="G17" s="198" t="s">
        <v>239</v>
      </c>
      <c r="H17" s="198">
        <v>3</v>
      </c>
      <c r="I17" s="141">
        <f>IF(H17="",D17*F17,D17*F17*H17)</f>
        <v>0.58800000000000008</v>
      </c>
      <c r="J17" s="48"/>
      <c r="K17" s="48"/>
      <c r="L17" s="48"/>
      <c r="M17" s="48"/>
      <c r="N17" s="48"/>
      <c r="O17" s="170"/>
    </row>
    <row r="18" spans="1:15" x14ac:dyDescent="0.25">
      <c r="A18" s="169"/>
      <c r="B18" s="19"/>
      <c r="C18" s="19"/>
      <c r="D18" s="19"/>
      <c r="E18" s="19"/>
      <c r="F18" s="19"/>
      <c r="G18" s="19"/>
      <c r="H18" s="111" t="s">
        <v>18</v>
      </c>
      <c r="I18" s="106">
        <f>SUM(I16:I17)</f>
        <v>0.75050000000000006</v>
      </c>
      <c r="J18" s="19"/>
      <c r="K18" s="19"/>
      <c r="L18" s="19"/>
      <c r="M18" s="19"/>
      <c r="N18" s="19"/>
      <c r="O18" s="164"/>
    </row>
    <row r="19" spans="1:15" x14ac:dyDescent="0.25">
      <c r="A19" s="16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164"/>
    </row>
    <row r="20" spans="1:15" x14ac:dyDescent="0.25">
      <c r="A20" s="16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164"/>
    </row>
    <row r="21" spans="1:15" x14ac:dyDescent="0.25">
      <c r="A21" s="165"/>
      <c r="B21" s="46"/>
      <c r="C21" s="178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164"/>
    </row>
    <row r="22" spans="1:15" x14ac:dyDescent="0.25">
      <c r="A22" s="165"/>
      <c r="B22" s="46"/>
      <c r="C22" s="178"/>
      <c r="D22" s="178"/>
      <c r="E22" s="178"/>
      <c r="F22" s="46"/>
      <c r="G22" s="46"/>
      <c r="H22" s="46"/>
      <c r="I22" s="46"/>
      <c r="J22" s="46"/>
      <c r="K22" s="46"/>
      <c r="L22" s="46"/>
      <c r="M22" s="46"/>
      <c r="N22" s="46"/>
      <c r="O22" s="164"/>
    </row>
    <row r="23" spans="1:15" x14ac:dyDescent="0.25">
      <c r="A23" s="16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164"/>
    </row>
    <row r="24" spans="1:15" x14ac:dyDescent="0.25">
      <c r="A24" s="16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164"/>
    </row>
    <row r="25" spans="1:15" x14ac:dyDescent="0.25">
      <c r="A25" s="16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164"/>
    </row>
    <row r="26" spans="1:15" x14ac:dyDescent="0.25">
      <c r="A26" s="16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164"/>
    </row>
    <row r="27" spans="1:15" ht="15.75" thickBot="1" x14ac:dyDescent="0.3">
      <c r="A27" s="173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DC19-37A4-4EEE-84E9-C63D226B8D65}">
  <sheetPr>
    <tabColor theme="6" tint="0.39997558519241921"/>
  </sheetPr>
  <dimension ref="A1:O26"/>
  <sheetViews>
    <sheetView topLeftCell="H1" workbookViewId="0">
      <selection activeCell="P15" sqref="P15"/>
    </sheetView>
  </sheetViews>
  <sheetFormatPr baseColWidth="10" defaultRowHeight="15" x14ac:dyDescent="0.25"/>
  <cols>
    <col min="2" max="2" width="33.7109375" bestFit="1" customWidth="1"/>
    <col min="3" max="3" width="31" bestFit="1" customWidth="1"/>
    <col min="7" max="7" width="35.85546875" bestFit="1" customWidth="1"/>
    <col min="9" max="9" width="25.28515625" bestFit="1" customWidth="1"/>
  </cols>
  <sheetData>
    <row r="1" spans="1:15" x14ac:dyDescent="0.2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</row>
    <row r="2" spans="1:15" x14ac:dyDescent="0.25">
      <c r="A2" s="180" t="s">
        <v>0</v>
      </c>
      <c r="B2" s="181" t="s">
        <v>43</v>
      </c>
      <c r="C2" s="46"/>
      <c r="D2" s="46"/>
      <c r="E2" s="46"/>
      <c r="F2" s="46"/>
      <c r="G2" s="46" t="s">
        <v>120</v>
      </c>
      <c r="H2" s="46"/>
      <c r="I2" s="46"/>
      <c r="J2" s="103" t="s">
        <v>1</v>
      </c>
      <c r="K2" s="64">
        <v>81</v>
      </c>
      <c r="L2" s="46"/>
      <c r="M2" s="102" t="s">
        <v>16</v>
      </c>
      <c r="N2" s="62">
        <f>EN_0900_007_m+EN_0900_007_p</f>
        <v>0.806785325</v>
      </c>
      <c r="O2" s="164"/>
    </row>
    <row r="3" spans="1:15" x14ac:dyDescent="0.25">
      <c r="A3" s="182" t="s">
        <v>3</v>
      </c>
      <c r="B3" s="181" t="s">
        <v>135</v>
      </c>
      <c r="C3" s="46"/>
      <c r="D3" s="102" t="s">
        <v>6</v>
      </c>
      <c r="E3" s="46" t="s">
        <v>91</v>
      </c>
      <c r="F3" s="46"/>
      <c r="G3" s="46"/>
      <c r="H3" s="46"/>
      <c r="I3" s="46"/>
      <c r="J3" s="46"/>
      <c r="K3" s="46"/>
      <c r="L3" s="46"/>
      <c r="M3" s="102" t="s">
        <v>4</v>
      </c>
      <c r="N3" s="63">
        <v>4</v>
      </c>
      <c r="O3" s="164"/>
    </row>
    <row r="4" spans="1:15" x14ac:dyDescent="0.25">
      <c r="A4" s="183" t="s">
        <v>5</v>
      </c>
      <c r="B4" s="46" t="s">
        <v>136</v>
      </c>
      <c r="C4" s="46"/>
      <c r="D4" s="102" t="s">
        <v>8</v>
      </c>
      <c r="E4" s="46"/>
      <c r="F4" s="46"/>
      <c r="G4" s="46"/>
      <c r="H4" s="46"/>
      <c r="I4" s="46"/>
      <c r="J4" s="104" t="s">
        <v>6</v>
      </c>
      <c r="K4" s="46"/>
      <c r="L4" s="46"/>
      <c r="M4" s="46"/>
      <c r="N4" s="46"/>
      <c r="O4" s="164"/>
    </row>
    <row r="5" spans="1:15" x14ac:dyDescent="0.25">
      <c r="A5" s="183" t="s">
        <v>15</v>
      </c>
      <c r="B5" s="46" t="s">
        <v>216</v>
      </c>
      <c r="C5" s="46"/>
      <c r="D5" s="102" t="s">
        <v>12</v>
      </c>
      <c r="E5" s="46"/>
      <c r="F5" s="46"/>
      <c r="G5" s="46"/>
      <c r="H5" s="46"/>
      <c r="I5" s="46"/>
      <c r="J5" s="104" t="s">
        <v>8</v>
      </c>
      <c r="K5" s="46"/>
      <c r="L5" s="46"/>
      <c r="M5" s="102" t="s">
        <v>9</v>
      </c>
      <c r="N5" s="62">
        <f>N3*N2</f>
        <v>3.2271413</v>
      </c>
      <c r="O5" s="164"/>
    </row>
    <row r="6" spans="1:15" x14ac:dyDescent="0.25">
      <c r="A6" s="183" t="s">
        <v>7</v>
      </c>
      <c r="B6" s="176" t="s">
        <v>241</v>
      </c>
      <c r="C6" s="46"/>
      <c r="D6" s="46"/>
      <c r="E6" s="46"/>
      <c r="F6" s="46"/>
      <c r="G6" s="46"/>
      <c r="H6" s="46"/>
      <c r="I6" s="46"/>
      <c r="J6" s="104" t="s">
        <v>12</v>
      </c>
      <c r="K6" s="46"/>
      <c r="L6" s="46"/>
      <c r="M6" s="46"/>
      <c r="N6" s="46"/>
      <c r="O6" s="164"/>
    </row>
    <row r="7" spans="1:15" x14ac:dyDescent="0.25">
      <c r="A7" s="184" t="s">
        <v>10</v>
      </c>
      <c r="B7" s="181" t="s">
        <v>11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164"/>
    </row>
    <row r="8" spans="1:15" x14ac:dyDescent="0.25">
      <c r="A8" s="180" t="s">
        <v>13</v>
      </c>
      <c r="B8" s="112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164"/>
    </row>
    <row r="9" spans="1:15" x14ac:dyDescent="0.25">
      <c r="A9" s="185"/>
      <c r="B9" s="22"/>
      <c r="C9" s="22"/>
      <c r="D9" s="22"/>
      <c r="E9" s="22"/>
      <c r="F9" s="46"/>
      <c r="G9" s="46"/>
      <c r="H9" s="46"/>
      <c r="I9" s="46"/>
      <c r="J9" s="46"/>
      <c r="K9" s="46"/>
      <c r="L9" s="46"/>
      <c r="M9" s="46"/>
      <c r="N9" s="46"/>
      <c r="O9" s="164"/>
    </row>
    <row r="10" spans="1:15" x14ac:dyDescent="0.25">
      <c r="A10" s="186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87" t="s">
        <v>23</v>
      </c>
      <c r="G10" s="187" t="s">
        <v>24</v>
      </c>
      <c r="H10" s="187" t="s">
        <v>25</v>
      </c>
      <c r="I10" s="187" t="s">
        <v>26</v>
      </c>
      <c r="J10" s="187" t="s">
        <v>27</v>
      </c>
      <c r="K10" s="187" t="s">
        <v>28</v>
      </c>
      <c r="L10" s="187" t="s">
        <v>29</v>
      </c>
      <c r="M10" s="187" t="s">
        <v>17</v>
      </c>
      <c r="N10" s="187" t="s">
        <v>18</v>
      </c>
      <c r="O10" s="164"/>
    </row>
    <row r="11" spans="1:15" x14ac:dyDescent="0.25">
      <c r="A11" s="194">
        <v>10</v>
      </c>
      <c r="B11" s="220" t="s">
        <v>235</v>
      </c>
      <c r="C11" s="190" t="s">
        <v>236</v>
      </c>
      <c r="D11" s="141">
        <v>2.25</v>
      </c>
      <c r="E11" s="142">
        <f>J11*K11*L11</f>
        <v>3.1415699999999998E-2</v>
      </c>
      <c r="F11" s="140" t="s">
        <v>156</v>
      </c>
      <c r="G11" s="140"/>
      <c r="H11" s="143"/>
      <c r="I11" s="144" t="s">
        <v>242</v>
      </c>
      <c r="J11" s="144">
        <f>46*29/1000000</f>
        <v>1.3339999999999999E-3</v>
      </c>
      <c r="K11" s="145">
        <f>3/1000</f>
        <v>3.0000000000000001E-3</v>
      </c>
      <c r="L11" s="146">
        <v>7850</v>
      </c>
      <c r="M11" s="146">
        <v>1</v>
      </c>
      <c r="N11" s="141">
        <f>M11*L11*J11*K11*D11</f>
        <v>7.0685324999999993E-2</v>
      </c>
      <c r="O11" s="168"/>
    </row>
    <row r="12" spans="1:15" x14ac:dyDescent="0.25">
      <c r="A12" s="191"/>
      <c r="B12" s="130"/>
      <c r="C12" s="131"/>
      <c r="D12" s="132"/>
      <c r="E12" s="131"/>
      <c r="F12" s="131"/>
      <c r="G12" s="131"/>
      <c r="H12" s="133"/>
      <c r="I12" s="134"/>
      <c r="J12" s="135"/>
      <c r="K12" s="136"/>
      <c r="L12" s="137"/>
      <c r="M12" s="192"/>
      <c r="N12" s="138"/>
      <c r="O12" s="168"/>
    </row>
    <row r="13" spans="1:15" x14ac:dyDescent="0.25">
      <c r="A13" s="16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3" t="s">
        <v>18</v>
      </c>
      <c r="N13" s="106">
        <f>SUM(N11:N11)</f>
        <v>7.0685324999999993E-2</v>
      </c>
      <c r="O13" s="164"/>
    </row>
    <row r="14" spans="1:15" x14ac:dyDescent="0.25">
      <c r="A14" s="16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164"/>
    </row>
    <row r="15" spans="1:15" x14ac:dyDescent="0.25">
      <c r="A15" s="183" t="s">
        <v>14</v>
      </c>
      <c r="B15" s="187" t="s">
        <v>31</v>
      </c>
      <c r="C15" s="187" t="s">
        <v>20</v>
      </c>
      <c r="D15" s="187" t="s">
        <v>21</v>
      </c>
      <c r="E15" s="187" t="s">
        <v>32</v>
      </c>
      <c r="F15" s="187" t="s">
        <v>17</v>
      </c>
      <c r="G15" s="187" t="s">
        <v>33</v>
      </c>
      <c r="H15" s="187" t="s">
        <v>34</v>
      </c>
      <c r="I15" s="187" t="s">
        <v>18</v>
      </c>
      <c r="J15" s="19"/>
      <c r="K15" s="19"/>
      <c r="L15" s="19"/>
      <c r="M15" s="19"/>
      <c r="N15" s="19"/>
      <c r="O15" s="164"/>
    </row>
    <row r="16" spans="1:15" x14ac:dyDescent="0.25">
      <c r="A16" s="188">
        <v>10</v>
      </c>
      <c r="B16" s="221" t="s">
        <v>44</v>
      </c>
      <c r="C16" s="196" t="s">
        <v>219</v>
      </c>
      <c r="D16" s="222">
        <v>1.3</v>
      </c>
      <c r="E16" s="198" t="s">
        <v>32</v>
      </c>
      <c r="F16" s="198">
        <v>1</v>
      </c>
      <c r="G16" s="208" t="s">
        <v>238</v>
      </c>
      <c r="H16" s="196">
        <f>1/8</f>
        <v>0.125</v>
      </c>
      <c r="I16" s="141">
        <f>IF(H16="",D16*F16,D16*F16*H16)</f>
        <v>0.16250000000000001</v>
      </c>
      <c r="J16" s="48"/>
      <c r="K16" s="48"/>
      <c r="L16" s="48"/>
      <c r="M16" s="48"/>
      <c r="N16" s="48"/>
      <c r="O16" s="170"/>
    </row>
    <row r="17" spans="1:15" x14ac:dyDescent="0.25">
      <c r="A17" s="206">
        <v>20</v>
      </c>
      <c r="B17" s="196" t="s">
        <v>45</v>
      </c>
      <c r="C17" s="217" t="s">
        <v>240</v>
      </c>
      <c r="D17" s="222">
        <v>0.01</v>
      </c>
      <c r="E17" s="198" t="s">
        <v>46</v>
      </c>
      <c r="F17" s="198">
        <v>19.12</v>
      </c>
      <c r="G17" s="198" t="s">
        <v>239</v>
      </c>
      <c r="H17" s="198">
        <v>3</v>
      </c>
      <c r="I17" s="141">
        <f>IF(H17="",D17*F17,D17*F17*H17)</f>
        <v>0.5736</v>
      </c>
      <c r="J17" s="48"/>
      <c r="K17" s="48"/>
      <c r="L17" s="48"/>
      <c r="M17" s="48"/>
      <c r="N17" s="48"/>
      <c r="O17" s="170"/>
    </row>
    <row r="18" spans="1:15" x14ac:dyDescent="0.25">
      <c r="A18" s="169"/>
      <c r="B18" s="19"/>
      <c r="C18" s="19"/>
      <c r="D18" s="19"/>
      <c r="E18" s="19"/>
      <c r="F18" s="19"/>
      <c r="G18" s="19"/>
      <c r="H18" s="111" t="s">
        <v>18</v>
      </c>
      <c r="I18" s="106">
        <f>SUM(I16:I17)</f>
        <v>0.73609999999999998</v>
      </c>
      <c r="J18" s="19"/>
      <c r="K18" s="19"/>
      <c r="L18" s="19"/>
      <c r="M18" s="19"/>
      <c r="N18" s="19"/>
      <c r="O18" s="164"/>
    </row>
    <row r="19" spans="1:15" x14ac:dyDescent="0.25">
      <c r="A19" s="16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164"/>
    </row>
    <row r="20" spans="1:15" x14ac:dyDescent="0.25">
      <c r="A20" s="16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164"/>
    </row>
    <row r="21" spans="1:15" x14ac:dyDescent="0.25">
      <c r="A21" s="16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164"/>
    </row>
    <row r="22" spans="1:15" x14ac:dyDescent="0.25">
      <c r="A22" s="16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164"/>
    </row>
    <row r="23" spans="1:15" x14ac:dyDescent="0.25">
      <c r="A23" s="16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164"/>
    </row>
    <row r="24" spans="1:15" x14ac:dyDescent="0.25">
      <c r="A24" s="16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164"/>
    </row>
    <row r="25" spans="1:15" x14ac:dyDescent="0.25">
      <c r="A25" s="16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164"/>
    </row>
    <row r="26" spans="1:15" ht="15.75" thickBot="1" x14ac:dyDescent="0.3">
      <c r="A26" s="173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3668-160D-42F8-9C78-2918A90FDF49}">
  <sheetPr>
    <tabColor theme="6" tint="0.39997558519241921"/>
  </sheetPr>
  <dimension ref="A1:O25"/>
  <sheetViews>
    <sheetView workbookViewId="0">
      <selection activeCell="G20" sqref="G20"/>
    </sheetView>
  </sheetViews>
  <sheetFormatPr baseColWidth="10" defaultRowHeight="15" x14ac:dyDescent="0.25"/>
  <cols>
    <col min="2" max="2" width="26.14062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</row>
    <row r="2" spans="1:15" x14ac:dyDescent="0.25">
      <c r="A2" s="180" t="s">
        <v>0</v>
      </c>
      <c r="B2" s="181" t="s">
        <v>43</v>
      </c>
      <c r="C2" s="46"/>
      <c r="D2" s="46"/>
      <c r="E2" s="46"/>
      <c r="F2" s="46"/>
      <c r="G2" s="46" t="s">
        <v>120</v>
      </c>
      <c r="H2" s="46"/>
      <c r="I2" s="46"/>
      <c r="J2" s="103" t="s">
        <v>1</v>
      </c>
      <c r="K2" s="64">
        <v>81</v>
      </c>
      <c r="L2" s="46"/>
      <c r="M2" s="102" t="s">
        <v>16</v>
      </c>
      <c r="N2" s="62">
        <f>EN_0900_008_m+EN_0900_008_p</f>
        <v>1.5521247499999999</v>
      </c>
      <c r="O2" s="164"/>
    </row>
    <row r="3" spans="1:15" x14ac:dyDescent="0.25">
      <c r="A3" s="182" t="s">
        <v>3</v>
      </c>
      <c r="B3" s="181" t="s">
        <v>135</v>
      </c>
      <c r="C3" s="46"/>
      <c r="D3" s="102" t="s">
        <v>6</v>
      </c>
      <c r="E3" s="46" t="s">
        <v>91</v>
      </c>
      <c r="F3" s="46"/>
      <c r="G3" s="46"/>
      <c r="H3" s="46"/>
      <c r="I3" s="46"/>
      <c r="J3" s="46"/>
      <c r="K3" s="46"/>
      <c r="L3" s="46"/>
      <c r="M3" s="102" t="s">
        <v>4</v>
      </c>
      <c r="N3" s="63">
        <v>1</v>
      </c>
      <c r="O3" s="164"/>
    </row>
    <row r="4" spans="1:15" x14ac:dyDescent="0.25">
      <c r="A4" s="183" t="s">
        <v>5</v>
      </c>
      <c r="B4" s="46" t="s">
        <v>136</v>
      </c>
      <c r="C4" s="46"/>
      <c r="D4" s="102" t="s">
        <v>8</v>
      </c>
      <c r="E4" s="46"/>
      <c r="F4" s="46"/>
      <c r="G4" s="46"/>
      <c r="H4" s="46"/>
      <c r="I4" s="46"/>
      <c r="J4" s="104" t="s">
        <v>6</v>
      </c>
      <c r="K4" s="46"/>
      <c r="L4" s="46"/>
      <c r="M4" s="46"/>
      <c r="N4" s="46"/>
      <c r="O4" s="164"/>
    </row>
    <row r="5" spans="1:15" x14ac:dyDescent="0.25">
      <c r="A5" s="183" t="s">
        <v>15</v>
      </c>
      <c r="B5" s="46" t="s">
        <v>153</v>
      </c>
      <c r="C5" s="46"/>
      <c r="D5" s="102" t="s">
        <v>12</v>
      </c>
      <c r="E5" s="46"/>
      <c r="F5" s="46"/>
      <c r="G5" s="46"/>
      <c r="H5" s="46"/>
      <c r="I5" s="46"/>
      <c r="J5" s="104" t="s">
        <v>8</v>
      </c>
      <c r="K5" s="46"/>
      <c r="L5" s="46"/>
      <c r="M5" s="102" t="s">
        <v>9</v>
      </c>
      <c r="N5" s="62">
        <f>N3*N2</f>
        <v>1.5521247499999999</v>
      </c>
      <c r="O5" s="164"/>
    </row>
    <row r="6" spans="1:15" x14ac:dyDescent="0.25">
      <c r="A6" s="183" t="s">
        <v>7</v>
      </c>
      <c r="B6" s="176" t="s">
        <v>243</v>
      </c>
      <c r="C6" s="46"/>
      <c r="D6" s="46"/>
      <c r="E6" s="46"/>
      <c r="F6" s="46"/>
      <c r="G6" s="46"/>
      <c r="H6" s="46"/>
      <c r="I6" s="46"/>
      <c r="J6" s="104" t="s">
        <v>12</v>
      </c>
      <c r="K6" s="46"/>
      <c r="L6" s="46"/>
      <c r="M6" s="46"/>
      <c r="N6" s="46"/>
      <c r="O6" s="164"/>
    </row>
    <row r="7" spans="1:15" x14ac:dyDescent="0.25">
      <c r="A7" s="184" t="s">
        <v>10</v>
      </c>
      <c r="B7" s="181" t="s">
        <v>11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164"/>
    </row>
    <row r="8" spans="1:15" x14ac:dyDescent="0.25">
      <c r="A8" s="180" t="s">
        <v>13</v>
      </c>
      <c r="B8" s="112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164"/>
    </row>
    <row r="9" spans="1:15" x14ac:dyDescent="0.25">
      <c r="A9" s="185"/>
      <c r="B9" s="22"/>
      <c r="C9" s="22"/>
      <c r="D9" s="22"/>
      <c r="E9" s="22"/>
      <c r="F9" s="46"/>
      <c r="G9" s="46"/>
      <c r="H9" s="46"/>
      <c r="I9" s="46"/>
      <c r="J9" s="46"/>
      <c r="K9" s="46"/>
      <c r="L9" s="46"/>
      <c r="M9" s="46"/>
      <c r="N9" s="46"/>
      <c r="O9" s="164"/>
    </row>
    <row r="10" spans="1:15" x14ac:dyDescent="0.25">
      <c r="A10" s="186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87" t="s">
        <v>23</v>
      </c>
      <c r="G10" s="187" t="s">
        <v>24</v>
      </c>
      <c r="H10" s="187" t="s">
        <v>25</v>
      </c>
      <c r="I10" s="187" t="s">
        <v>26</v>
      </c>
      <c r="J10" s="187" t="s">
        <v>27</v>
      </c>
      <c r="K10" s="187" t="s">
        <v>28</v>
      </c>
      <c r="L10" s="187" t="s">
        <v>29</v>
      </c>
      <c r="M10" s="187" t="s">
        <v>17</v>
      </c>
      <c r="N10" s="187" t="s">
        <v>18</v>
      </c>
      <c r="O10" s="164"/>
    </row>
    <row r="11" spans="1:15" x14ac:dyDescent="0.25">
      <c r="A11" s="194">
        <v>10</v>
      </c>
      <c r="B11" s="220" t="s">
        <v>235</v>
      </c>
      <c r="C11" s="190" t="s">
        <v>236</v>
      </c>
      <c r="D11" s="141">
        <v>2.25</v>
      </c>
      <c r="E11" s="142">
        <f>J11*K11*L11</f>
        <v>6.6410999999999998E-2</v>
      </c>
      <c r="F11" s="140" t="s">
        <v>156</v>
      </c>
      <c r="G11" s="140"/>
      <c r="H11" s="143"/>
      <c r="I11" s="144" t="s">
        <v>244</v>
      </c>
      <c r="J11" s="144">
        <f>60*47/1000000</f>
        <v>2.82E-3</v>
      </c>
      <c r="K11" s="145">
        <f>3/1000</f>
        <v>3.0000000000000001E-3</v>
      </c>
      <c r="L11" s="146">
        <v>7850</v>
      </c>
      <c r="M11" s="146">
        <v>1</v>
      </c>
      <c r="N11" s="141">
        <f>M11*L11*J11*K11*D11</f>
        <v>0.14942475</v>
      </c>
      <c r="O11" s="168"/>
    </row>
    <row r="12" spans="1:15" x14ac:dyDescent="0.25">
      <c r="A12" s="191"/>
      <c r="B12" s="130"/>
      <c r="C12" s="131"/>
      <c r="D12" s="132"/>
      <c r="E12" s="131"/>
      <c r="F12" s="131"/>
      <c r="G12" s="131"/>
      <c r="H12" s="133"/>
      <c r="I12" s="134"/>
      <c r="J12" s="135"/>
      <c r="K12" s="136"/>
      <c r="L12" s="137"/>
      <c r="M12" s="192"/>
      <c r="N12" s="138"/>
      <c r="O12" s="168"/>
    </row>
    <row r="13" spans="1:15" x14ac:dyDescent="0.25">
      <c r="A13" s="16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3" t="s">
        <v>18</v>
      </c>
      <c r="N13" s="106">
        <f>SUM(N11:N11)</f>
        <v>0.14942475</v>
      </c>
      <c r="O13" s="164"/>
    </row>
    <row r="14" spans="1:15" x14ac:dyDescent="0.25">
      <c r="A14" s="16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164"/>
    </row>
    <row r="15" spans="1:15" x14ac:dyDescent="0.25">
      <c r="A15" s="183" t="s">
        <v>14</v>
      </c>
      <c r="B15" s="187" t="s">
        <v>31</v>
      </c>
      <c r="C15" s="187" t="s">
        <v>20</v>
      </c>
      <c r="D15" s="187" t="s">
        <v>21</v>
      </c>
      <c r="E15" s="187" t="s">
        <v>32</v>
      </c>
      <c r="F15" s="187" t="s">
        <v>17</v>
      </c>
      <c r="G15" s="187" t="s">
        <v>33</v>
      </c>
      <c r="H15" s="187" t="s">
        <v>34</v>
      </c>
      <c r="I15" s="187" t="s">
        <v>18</v>
      </c>
      <c r="J15" s="19"/>
      <c r="K15" s="19"/>
      <c r="L15" s="19"/>
      <c r="M15" s="19"/>
      <c r="N15" s="19"/>
      <c r="O15" s="164"/>
    </row>
    <row r="16" spans="1:15" ht="30" x14ac:dyDescent="0.25">
      <c r="A16" s="188">
        <v>10</v>
      </c>
      <c r="B16" s="221" t="s">
        <v>44</v>
      </c>
      <c r="C16" s="196" t="s">
        <v>219</v>
      </c>
      <c r="D16" s="222">
        <v>1.3</v>
      </c>
      <c r="E16" s="198" t="s">
        <v>32</v>
      </c>
      <c r="F16" s="198">
        <v>1</v>
      </c>
      <c r="G16" s="208" t="s">
        <v>245</v>
      </c>
      <c r="H16" s="196">
        <f>1/2</f>
        <v>0.5</v>
      </c>
      <c r="I16" s="141">
        <f>IF(H16="",D16*F16,D16*F16*H16)</f>
        <v>0.65</v>
      </c>
      <c r="J16" s="48"/>
      <c r="K16" s="48"/>
      <c r="L16" s="48"/>
      <c r="M16" s="48"/>
      <c r="N16" s="48"/>
      <c r="O16" s="170"/>
    </row>
    <row r="17" spans="1:15" ht="30" x14ac:dyDescent="0.25">
      <c r="A17" s="206">
        <v>20</v>
      </c>
      <c r="B17" s="196" t="s">
        <v>45</v>
      </c>
      <c r="C17" s="217" t="s">
        <v>240</v>
      </c>
      <c r="D17" s="222">
        <v>0.01</v>
      </c>
      <c r="E17" s="198" t="s">
        <v>46</v>
      </c>
      <c r="F17" s="198">
        <v>25.09</v>
      </c>
      <c r="G17" s="198" t="s">
        <v>239</v>
      </c>
      <c r="H17" s="198">
        <v>3</v>
      </c>
      <c r="I17" s="141">
        <f>IF(H17="",D17*F17,D17*F17*H17)</f>
        <v>0.75270000000000004</v>
      </c>
      <c r="J17" s="48"/>
      <c r="K17" s="48"/>
      <c r="L17" s="48"/>
      <c r="M17" s="48"/>
      <c r="N17" s="48"/>
      <c r="O17" s="170"/>
    </row>
    <row r="18" spans="1:15" x14ac:dyDescent="0.25">
      <c r="A18" s="169"/>
      <c r="B18" s="19"/>
      <c r="C18" s="19"/>
      <c r="D18" s="19"/>
      <c r="E18" s="19"/>
      <c r="F18" s="19"/>
      <c r="G18" s="19"/>
      <c r="H18" s="111" t="s">
        <v>18</v>
      </c>
      <c r="I18" s="106">
        <f>SUM(I16:I17)</f>
        <v>1.4027000000000001</v>
      </c>
      <c r="J18" s="19"/>
      <c r="K18" s="19"/>
      <c r="L18" s="19"/>
      <c r="M18" s="19"/>
      <c r="N18" s="19"/>
      <c r="O18" s="164"/>
    </row>
    <row r="19" spans="1:15" x14ac:dyDescent="0.25">
      <c r="A19" s="16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164"/>
    </row>
    <row r="20" spans="1:15" x14ac:dyDescent="0.25">
      <c r="A20" s="16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164"/>
    </row>
    <row r="21" spans="1:15" x14ac:dyDescent="0.25">
      <c r="A21" s="16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164"/>
    </row>
    <row r="22" spans="1:15" x14ac:dyDescent="0.25">
      <c r="A22" s="16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164"/>
    </row>
    <row r="23" spans="1:15" x14ac:dyDescent="0.25">
      <c r="A23" s="16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164"/>
    </row>
    <row r="24" spans="1:15" x14ac:dyDescent="0.25">
      <c r="A24" s="16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164"/>
    </row>
    <row r="25" spans="1:15" ht="15.75" thickBot="1" x14ac:dyDescent="0.3">
      <c r="A25" s="173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2C40-352C-4863-A7D8-A4EE5DA4B3A3}">
  <sheetPr>
    <tabColor theme="6" tint="0.39997558519241921"/>
  </sheetPr>
  <dimension ref="A1:O25"/>
  <sheetViews>
    <sheetView workbookViewId="0">
      <selection activeCell="I23" sqref="I23"/>
    </sheetView>
  </sheetViews>
  <sheetFormatPr baseColWidth="10" defaultRowHeight="15" x14ac:dyDescent="0.25"/>
  <cols>
    <col min="2" max="2" width="33.710937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</row>
    <row r="2" spans="1:15" x14ac:dyDescent="0.25">
      <c r="A2" s="180" t="s">
        <v>0</v>
      </c>
      <c r="B2" s="181" t="s">
        <v>43</v>
      </c>
      <c r="C2" s="46"/>
      <c r="D2" s="46"/>
      <c r="E2" s="46"/>
      <c r="F2" s="46"/>
      <c r="G2" s="46" t="s">
        <v>120</v>
      </c>
      <c r="H2" s="46"/>
      <c r="I2" s="46"/>
      <c r="J2" s="103" t="s">
        <v>1</v>
      </c>
      <c r="K2" s="64">
        <v>81</v>
      </c>
      <c r="L2" s="46"/>
      <c r="M2" s="102" t="s">
        <v>16</v>
      </c>
      <c r="N2" s="62">
        <f>EN_0900_009_m+EN_0900_009_p</f>
        <v>1.5630151625000002</v>
      </c>
      <c r="O2" s="164"/>
    </row>
    <row r="3" spans="1:15" x14ac:dyDescent="0.25">
      <c r="A3" s="182" t="s">
        <v>3</v>
      </c>
      <c r="B3" s="181" t="s">
        <v>135</v>
      </c>
      <c r="C3" s="46"/>
      <c r="D3" s="102" t="s">
        <v>6</v>
      </c>
      <c r="E3" s="46" t="s">
        <v>91</v>
      </c>
      <c r="F3" s="46"/>
      <c r="G3" s="46"/>
      <c r="H3" s="46"/>
      <c r="I3" s="46"/>
      <c r="J3" s="46"/>
      <c r="K3" s="46"/>
      <c r="L3" s="46"/>
      <c r="M3" s="102" t="s">
        <v>4</v>
      </c>
      <c r="N3" s="63">
        <v>1</v>
      </c>
      <c r="O3" s="164"/>
    </row>
    <row r="4" spans="1:15" x14ac:dyDescent="0.25">
      <c r="A4" s="183" t="s">
        <v>5</v>
      </c>
      <c r="B4" s="46" t="s">
        <v>136</v>
      </c>
      <c r="C4" s="46"/>
      <c r="D4" s="102" t="s">
        <v>8</v>
      </c>
      <c r="E4" s="46"/>
      <c r="F4" s="46"/>
      <c r="G4" s="46"/>
      <c r="H4" s="46"/>
      <c r="I4" s="46"/>
      <c r="J4" s="104" t="s">
        <v>6</v>
      </c>
      <c r="K4" s="46"/>
      <c r="L4" s="46"/>
      <c r="M4" s="46"/>
      <c r="N4" s="46"/>
      <c r="O4" s="164"/>
    </row>
    <row r="5" spans="1:15" x14ac:dyDescent="0.25">
      <c r="A5" s="183" t="s">
        <v>15</v>
      </c>
      <c r="B5" s="46" t="s">
        <v>246</v>
      </c>
      <c r="C5" s="46"/>
      <c r="D5" s="102" t="s">
        <v>12</v>
      </c>
      <c r="E5" s="46"/>
      <c r="F5" s="46"/>
      <c r="G5" s="46"/>
      <c r="H5" s="46"/>
      <c r="I5" s="46"/>
      <c r="J5" s="104" t="s">
        <v>8</v>
      </c>
      <c r="K5" s="46"/>
      <c r="L5" s="46"/>
      <c r="M5" s="102" t="s">
        <v>9</v>
      </c>
      <c r="N5" s="62">
        <f>N3*N2</f>
        <v>1.5630151625000002</v>
      </c>
      <c r="O5" s="164"/>
    </row>
    <row r="6" spans="1:15" x14ac:dyDescent="0.25">
      <c r="A6" s="183" t="s">
        <v>7</v>
      </c>
      <c r="B6" s="176" t="s">
        <v>247</v>
      </c>
      <c r="C6" s="46"/>
      <c r="D6" s="46"/>
      <c r="E6" s="46"/>
      <c r="F6" s="46"/>
      <c r="G6" s="46"/>
      <c r="H6" s="46"/>
      <c r="I6" s="46"/>
      <c r="J6" s="104" t="s">
        <v>12</v>
      </c>
      <c r="K6" s="46"/>
      <c r="L6" s="46"/>
      <c r="M6" s="46"/>
      <c r="N6" s="46"/>
      <c r="O6" s="164"/>
    </row>
    <row r="7" spans="1:15" x14ac:dyDescent="0.25">
      <c r="A7" s="184" t="s">
        <v>10</v>
      </c>
      <c r="B7" s="181" t="s">
        <v>11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164"/>
    </row>
    <row r="8" spans="1:15" x14ac:dyDescent="0.25">
      <c r="A8" s="180" t="s">
        <v>13</v>
      </c>
      <c r="B8" s="112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164"/>
    </row>
    <row r="9" spans="1:15" x14ac:dyDescent="0.25">
      <c r="A9" s="185"/>
      <c r="B9" s="22"/>
      <c r="C9" s="22"/>
      <c r="D9" s="22"/>
      <c r="E9" s="22"/>
      <c r="F9" s="46"/>
      <c r="G9" s="46"/>
      <c r="H9" s="46"/>
      <c r="I9" s="46"/>
      <c r="J9" s="46"/>
      <c r="K9" s="46"/>
      <c r="L9" s="46"/>
      <c r="M9" s="46"/>
      <c r="N9" s="46"/>
      <c r="O9" s="164"/>
    </row>
    <row r="10" spans="1:15" x14ac:dyDescent="0.25">
      <c r="A10" s="186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87" t="s">
        <v>23</v>
      </c>
      <c r="G10" s="187" t="s">
        <v>24</v>
      </c>
      <c r="H10" s="187" t="s">
        <v>25</v>
      </c>
      <c r="I10" s="187" t="s">
        <v>26</v>
      </c>
      <c r="J10" s="187" t="s">
        <v>27</v>
      </c>
      <c r="K10" s="187" t="s">
        <v>28</v>
      </c>
      <c r="L10" s="187" t="s">
        <v>29</v>
      </c>
      <c r="M10" s="187" t="s">
        <v>17</v>
      </c>
      <c r="N10" s="187" t="s">
        <v>18</v>
      </c>
      <c r="O10" s="164"/>
    </row>
    <row r="11" spans="1:15" x14ac:dyDescent="0.25">
      <c r="A11" s="194">
        <v>10</v>
      </c>
      <c r="B11" s="220" t="s">
        <v>235</v>
      </c>
      <c r="C11" s="190" t="s">
        <v>236</v>
      </c>
      <c r="D11" s="141">
        <v>2.25</v>
      </c>
      <c r="E11" s="142">
        <f>J11*K11*L11</f>
        <v>6.7517850000000004E-2</v>
      </c>
      <c r="F11" s="140" t="s">
        <v>156</v>
      </c>
      <c r="G11" s="140"/>
      <c r="H11" s="143"/>
      <c r="I11" s="144" t="s">
        <v>248</v>
      </c>
      <c r="J11" s="144">
        <f>61*47/1000000</f>
        <v>2.8670000000000002E-3</v>
      </c>
      <c r="K11" s="145">
        <f>3/1000</f>
        <v>3.0000000000000001E-3</v>
      </c>
      <c r="L11" s="146">
        <v>7850</v>
      </c>
      <c r="M11" s="146">
        <v>1</v>
      </c>
      <c r="N11" s="141">
        <f>M11*L11*J11*K11*D11</f>
        <v>0.15191516250000001</v>
      </c>
      <c r="O11" s="168"/>
    </row>
    <row r="12" spans="1:15" x14ac:dyDescent="0.25">
      <c r="A12" s="191"/>
      <c r="B12" s="130"/>
      <c r="C12" s="131"/>
      <c r="D12" s="132"/>
      <c r="E12" s="131"/>
      <c r="F12" s="131"/>
      <c r="G12" s="131"/>
      <c r="H12" s="133"/>
      <c r="I12" s="134"/>
      <c r="J12" s="135"/>
      <c r="K12" s="136"/>
      <c r="L12" s="137"/>
      <c r="M12" s="192"/>
      <c r="N12" s="138"/>
      <c r="O12" s="168"/>
    </row>
    <row r="13" spans="1:15" x14ac:dyDescent="0.25">
      <c r="A13" s="16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3" t="s">
        <v>18</v>
      </c>
      <c r="N13" s="106">
        <f>SUM(N11:N11)</f>
        <v>0.15191516250000001</v>
      </c>
      <c r="O13" s="164"/>
    </row>
    <row r="14" spans="1:15" x14ac:dyDescent="0.25">
      <c r="A14" s="16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164"/>
    </row>
    <row r="15" spans="1:15" x14ac:dyDescent="0.25">
      <c r="A15" s="183" t="s">
        <v>14</v>
      </c>
      <c r="B15" s="187" t="s">
        <v>31</v>
      </c>
      <c r="C15" s="187" t="s">
        <v>20</v>
      </c>
      <c r="D15" s="187" t="s">
        <v>21</v>
      </c>
      <c r="E15" s="187" t="s">
        <v>32</v>
      </c>
      <c r="F15" s="187" t="s">
        <v>17</v>
      </c>
      <c r="G15" s="187" t="s">
        <v>33</v>
      </c>
      <c r="H15" s="187" t="s">
        <v>34</v>
      </c>
      <c r="I15" s="187" t="s">
        <v>18</v>
      </c>
      <c r="J15" s="19"/>
      <c r="K15" s="19"/>
      <c r="L15" s="19"/>
      <c r="M15" s="19"/>
      <c r="N15" s="19"/>
      <c r="O15" s="164"/>
    </row>
    <row r="16" spans="1:15" x14ac:dyDescent="0.25">
      <c r="A16" s="188">
        <v>10</v>
      </c>
      <c r="B16" s="221" t="s">
        <v>44</v>
      </c>
      <c r="C16" s="196" t="s">
        <v>219</v>
      </c>
      <c r="D16" s="222">
        <v>1.3</v>
      </c>
      <c r="E16" s="198" t="s">
        <v>32</v>
      </c>
      <c r="F16" s="198">
        <v>1</v>
      </c>
      <c r="G16" s="208" t="s">
        <v>245</v>
      </c>
      <c r="H16" s="196">
        <f>1/2</f>
        <v>0.5</v>
      </c>
      <c r="I16" s="141">
        <f>IF(H16="",D16*F16,D16*F16*H16)</f>
        <v>0.65</v>
      </c>
      <c r="J16" s="48"/>
      <c r="K16" s="48"/>
      <c r="L16" s="48"/>
      <c r="M16" s="48"/>
      <c r="N16" s="48"/>
      <c r="O16" s="170"/>
    </row>
    <row r="17" spans="1:15" ht="30" x14ac:dyDescent="0.25">
      <c r="A17" s="206">
        <v>20</v>
      </c>
      <c r="B17" s="196" t="s">
        <v>45</v>
      </c>
      <c r="C17" s="217" t="s">
        <v>240</v>
      </c>
      <c r="D17" s="222">
        <v>0.01</v>
      </c>
      <c r="E17" s="198" t="s">
        <v>46</v>
      </c>
      <c r="F17" s="198">
        <v>25.37</v>
      </c>
      <c r="G17" s="198" t="s">
        <v>239</v>
      </c>
      <c r="H17" s="198">
        <v>3</v>
      </c>
      <c r="I17" s="141">
        <f>IF(H17="",D17*F17,D17*F17*H17)</f>
        <v>0.76110000000000011</v>
      </c>
      <c r="J17" s="48"/>
      <c r="K17" s="48"/>
      <c r="L17" s="48"/>
      <c r="M17" s="48"/>
      <c r="N17" s="48"/>
      <c r="O17" s="170"/>
    </row>
    <row r="18" spans="1:15" x14ac:dyDescent="0.25">
      <c r="A18" s="169"/>
      <c r="B18" s="19"/>
      <c r="C18" s="19"/>
      <c r="D18" s="19"/>
      <c r="E18" s="19"/>
      <c r="F18" s="19"/>
      <c r="G18" s="19"/>
      <c r="H18" s="111" t="s">
        <v>18</v>
      </c>
      <c r="I18" s="106">
        <f>SUM(I16:I17)</f>
        <v>1.4111000000000002</v>
      </c>
      <c r="J18" s="19"/>
      <c r="K18" s="19"/>
      <c r="L18" s="19"/>
      <c r="M18" s="19"/>
      <c r="N18" s="19"/>
      <c r="O18" s="164"/>
    </row>
    <row r="19" spans="1:15" x14ac:dyDescent="0.25">
      <c r="A19" s="16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164"/>
    </row>
    <row r="20" spans="1:15" x14ac:dyDescent="0.25">
      <c r="A20" s="16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164"/>
    </row>
    <row r="21" spans="1:15" x14ac:dyDescent="0.25">
      <c r="A21" s="16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164"/>
    </row>
    <row r="22" spans="1:15" x14ac:dyDescent="0.25">
      <c r="A22" s="16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164"/>
    </row>
    <row r="23" spans="1:15" x14ac:dyDescent="0.25">
      <c r="A23" s="16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164"/>
    </row>
    <row r="24" spans="1:15" x14ac:dyDescent="0.25">
      <c r="A24" s="16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164"/>
    </row>
    <row r="25" spans="1:15" ht="15.75" thickBot="1" x14ac:dyDescent="0.3">
      <c r="A25" s="173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4"/>
  <sheetViews>
    <sheetView zoomScaleNormal="100" workbookViewId="0">
      <pane xSplit="3" ySplit="6" topLeftCell="E7" activePane="bottomRight" state="frozen"/>
      <selection activeCell="H10" sqref="H10"/>
      <selection pane="topRight" activeCell="H10" sqref="H10"/>
      <selection pane="bottomLeft" activeCell="H10" sqref="H10"/>
      <selection pane="bottomRight" activeCell="I21" sqref="I21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32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42" t="s">
        <v>0</v>
      </c>
      <c r="B1" s="72" t="s">
        <v>43</v>
      </c>
      <c r="D1" s="33"/>
      <c r="M1" s="45" t="s">
        <v>47</v>
      </c>
      <c r="N1" s="34"/>
      <c r="O1" s="44" t="e">
        <f>#REF!</f>
        <v>#REF!</v>
      </c>
    </row>
    <row r="2" spans="1:15" s="15" customFormat="1" ht="15.75" thickBot="1" x14ac:dyDescent="0.3">
      <c r="A2" s="40" t="s">
        <v>48</v>
      </c>
      <c r="B2" s="71" t="s">
        <v>119</v>
      </c>
      <c r="C2" s="14"/>
      <c r="F2" s="28"/>
    </row>
    <row r="3" spans="1:15" s="15" customFormat="1" ht="16.5" thickTop="1" thickBot="1" x14ac:dyDescent="0.3">
      <c r="A3" s="41" t="s">
        <v>49</v>
      </c>
      <c r="B3" s="43">
        <v>2018</v>
      </c>
      <c r="C3" s="14"/>
      <c r="F3" s="28"/>
    </row>
    <row r="4" spans="1:15" s="15" customFormat="1" ht="16.5" thickTop="1" thickBot="1" x14ac:dyDescent="0.3">
      <c r="A4" s="39" t="s">
        <v>1</v>
      </c>
      <c r="B4" s="70">
        <v>81</v>
      </c>
      <c r="C4" s="14"/>
      <c r="D4" s="33" t="s">
        <v>50</v>
      </c>
      <c r="F4" s="28"/>
    </row>
    <row r="5" spans="1:15" s="26" customFormat="1" ht="15.75" thickTop="1" x14ac:dyDescent="0.25">
      <c r="A5" s="25"/>
      <c r="B5" s="29"/>
      <c r="C5" s="27"/>
      <c r="F5" s="30"/>
    </row>
    <row r="6" spans="1:15" s="24" customFormat="1" ht="49.5" customHeight="1" x14ac:dyDescent="0.25">
      <c r="A6" s="23" t="s">
        <v>51</v>
      </c>
      <c r="B6" s="36" t="s">
        <v>52</v>
      </c>
      <c r="C6" s="36" t="s">
        <v>53</v>
      </c>
      <c r="D6" s="36" t="s">
        <v>54</v>
      </c>
      <c r="E6" s="36" t="s">
        <v>55</v>
      </c>
      <c r="F6" s="36" t="s">
        <v>56</v>
      </c>
      <c r="G6" s="36" t="s">
        <v>57</v>
      </c>
      <c r="H6" s="38" t="s">
        <v>58</v>
      </c>
      <c r="I6" s="36" t="s">
        <v>17</v>
      </c>
      <c r="J6" s="36" t="s">
        <v>59</v>
      </c>
      <c r="K6" s="36" t="s">
        <v>60</v>
      </c>
      <c r="L6" s="36" t="s">
        <v>61</v>
      </c>
      <c r="M6" s="36" t="s">
        <v>62</v>
      </c>
      <c r="N6" s="37" t="s">
        <v>63</v>
      </c>
      <c r="O6" s="36" t="s">
        <v>64</v>
      </c>
    </row>
    <row r="7" spans="1:15" ht="15" x14ac:dyDescent="0.25">
      <c r="A7" s="75"/>
      <c r="B7" s="76" t="str">
        <f>EN_A0900!B3</f>
        <v>Engine &amp; Drivetrain</v>
      </c>
      <c r="C7" s="77" t="e">
        <f>EN_A0001</f>
        <v>#NAME?</v>
      </c>
      <c r="D7" s="77" t="s">
        <v>11</v>
      </c>
      <c r="E7" s="77"/>
      <c r="F7" s="78" t="str">
        <f>'[1]BR Assembly'!B4</f>
        <v>Nom de l'assemblage 1</v>
      </c>
      <c r="G7" s="77"/>
      <c r="H7" s="79" t="e">
        <f>SUM(J7:M7)</f>
        <v>#NAME?</v>
      </c>
      <c r="I7" s="80" t="e">
        <f>EN_A0001_q</f>
        <v>#NAME?</v>
      </c>
      <c r="J7" s="81" t="e">
        <f>EN_A0001_m</f>
        <v>#NAME?</v>
      </c>
      <c r="K7" s="81" t="e">
        <f>EN_A0001_p</f>
        <v>#NAME?</v>
      </c>
      <c r="L7" s="81" t="e">
        <f>EN_A0001_f</f>
        <v>#NAME?</v>
      </c>
      <c r="M7" s="81" t="e">
        <f>EN_A0001_t</f>
        <v>#NAME?</v>
      </c>
      <c r="N7" s="82" t="e">
        <f t="shared" ref="N7:N17" si="0">H7*I7</f>
        <v>#NAME?</v>
      </c>
      <c r="O7" s="83"/>
    </row>
    <row r="8" spans="1:15" ht="15" x14ac:dyDescent="0.25">
      <c r="A8" s="84"/>
      <c r="B8" s="85" t="str">
        <f>EN_A0900!$B$3</f>
        <v>Engine &amp; Drivetrain</v>
      </c>
      <c r="C8" s="86" t="e">
        <f>EN_01001</f>
        <v>#NAME?</v>
      </c>
      <c r="D8" s="87" t="s">
        <v>11</v>
      </c>
      <c r="E8" s="87" t="str">
        <f>F7</f>
        <v>Nom de l'assemblage 1</v>
      </c>
      <c r="F8" s="88" t="str">
        <f>EN_0900_001!B5</f>
        <v>Housing</v>
      </c>
      <c r="G8" s="87"/>
      <c r="H8" s="89" t="e">
        <f t="shared" ref="H8:H17" si="1">SUM(J8:M8)</f>
        <v>#NAME?</v>
      </c>
      <c r="I8" s="90" t="e">
        <f>EN_A0001_q*EN_01001_q</f>
        <v>#NAME?</v>
      </c>
      <c r="J8" s="91" t="e">
        <f>EN_01001_m</f>
        <v>#NAME?</v>
      </c>
      <c r="K8" s="91" t="e">
        <f>EN_01001_p</f>
        <v>#NAME?</v>
      </c>
      <c r="L8" s="91" t="e">
        <f>EN_01001_f</f>
        <v>#NAME?</v>
      </c>
      <c r="M8" s="91" t="e">
        <f>EN_01001_t</f>
        <v>#NAME?</v>
      </c>
      <c r="N8" s="92" t="e">
        <f t="shared" si="0"/>
        <v>#NAME?</v>
      </c>
      <c r="O8" s="93"/>
    </row>
    <row r="9" spans="1:15" ht="14.25" x14ac:dyDescent="0.2">
      <c r="A9" s="84"/>
      <c r="B9" s="85" t="str">
        <f>EN_A0900!$B$3</f>
        <v>Engine &amp; Drivetrain</v>
      </c>
      <c r="C9" s="87"/>
      <c r="D9" s="87" t="s">
        <v>11</v>
      </c>
      <c r="E9" s="87"/>
      <c r="F9" s="85"/>
      <c r="G9" s="87"/>
      <c r="H9" s="89">
        <f t="shared" si="1"/>
        <v>0</v>
      </c>
      <c r="I9" s="94"/>
      <c r="J9" s="91"/>
      <c r="K9" s="91"/>
      <c r="L9" s="91"/>
      <c r="M9" s="91"/>
      <c r="N9" s="92">
        <f t="shared" si="0"/>
        <v>0</v>
      </c>
      <c r="O9" s="93"/>
    </row>
    <row r="10" spans="1:15" ht="14.25" x14ac:dyDescent="0.2">
      <c r="A10" s="84"/>
      <c r="B10" s="85" t="str">
        <f>EN_A0900!$B$3</f>
        <v>Engine &amp; Drivetrain</v>
      </c>
      <c r="C10" s="87"/>
      <c r="D10" s="87" t="s">
        <v>11</v>
      </c>
      <c r="E10" s="87"/>
      <c r="F10" s="85"/>
      <c r="G10" s="87"/>
      <c r="H10" s="89">
        <f t="shared" si="1"/>
        <v>0</v>
      </c>
      <c r="I10" s="94"/>
      <c r="J10" s="91"/>
      <c r="K10" s="91"/>
      <c r="L10" s="91"/>
      <c r="M10" s="91"/>
      <c r="N10" s="92">
        <f t="shared" si="0"/>
        <v>0</v>
      </c>
      <c r="O10" s="93"/>
    </row>
    <row r="11" spans="1:15" ht="14.25" x14ac:dyDescent="0.2">
      <c r="A11" s="84"/>
      <c r="B11" s="85" t="str">
        <f>EN_A0900!$B$3</f>
        <v>Engine &amp; Drivetrain</v>
      </c>
      <c r="C11" s="87"/>
      <c r="D11" s="87" t="s">
        <v>11</v>
      </c>
      <c r="E11" s="87"/>
      <c r="F11" s="85"/>
      <c r="G11" s="87"/>
      <c r="H11" s="89">
        <f t="shared" si="1"/>
        <v>0</v>
      </c>
      <c r="I11" s="94"/>
      <c r="J11" s="91"/>
      <c r="K11" s="91"/>
      <c r="L11" s="91"/>
      <c r="M11" s="91"/>
      <c r="N11" s="92">
        <f t="shared" si="0"/>
        <v>0</v>
      </c>
      <c r="O11" s="93"/>
    </row>
    <row r="12" spans="1:15" ht="14.25" x14ac:dyDescent="0.2">
      <c r="A12" s="84"/>
      <c r="B12" s="85" t="str">
        <f>EN_A0900!$B$3</f>
        <v>Engine &amp; Drivetrain</v>
      </c>
      <c r="C12" s="87"/>
      <c r="D12" s="87" t="s">
        <v>11</v>
      </c>
      <c r="E12" s="87"/>
      <c r="F12" s="85"/>
      <c r="G12" s="87"/>
      <c r="H12" s="89">
        <f t="shared" si="1"/>
        <v>0</v>
      </c>
      <c r="I12" s="94"/>
      <c r="J12" s="91"/>
      <c r="K12" s="91"/>
      <c r="L12" s="91"/>
      <c r="M12" s="91"/>
      <c r="N12" s="92">
        <f t="shared" si="0"/>
        <v>0</v>
      </c>
      <c r="O12" s="93"/>
    </row>
    <row r="13" spans="1:15" ht="14.25" x14ac:dyDescent="0.2">
      <c r="A13" s="84"/>
      <c r="B13" s="85" t="str">
        <f>EN_A0900!$B$3</f>
        <v>Engine &amp; Drivetrain</v>
      </c>
      <c r="C13" s="87"/>
      <c r="D13" s="87" t="s">
        <v>11</v>
      </c>
      <c r="E13" s="87"/>
      <c r="F13" s="85"/>
      <c r="G13" s="87"/>
      <c r="H13" s="89">
        <f t="shared" si="1"/>
        <v>0</v>
      </c>
      <c r="I13" s="94"/>
      <c r="J13" s="91"/>
      <c r="K13" s="91"/>
      <c r="L13" s="91"/>
      <c r="M13" s="91"/>
      <c r="N13" s="92">
        <f t="shared" si="0"/>
        <v>0</v>
      </c>
      <c r="O13" s="93"/>
    </row>
    <row r="14" spans="1:15" ht="14.25" x14ac:dyDescent="0.2">
      <c r="A14" s="84"/>
      <c r="B14" s="85" t="str">
        <f>EN_A0900!$B$3</f>
        <v>Engine &amp; Drivetrain</v>
      </c>
      <c r="C14" s="87"/>
      <c r="D14" s="87" t="s">
        <v>11</v>
      </c>
      <c r="E14" s="87"/>
      <c r="F14" s="85"/>
      <c r="G14" s="87"/>
      <c r="H14" s="89">
        <f t="shared" si="1"/>
        <v>0</v>
      </c>
      <c r="I14" s="94"/>
      <c r="J14" s="91"/>
      <c r="K14" s="91"/>
      <c r="L14" s="91"/>
      <c r="M14" s="91"/>
      <c r="N14" s="92">
        <f t="shared" si="0"/>
        <v>0</v>
      </c>
      <c r="O14" s="93"/>
    </row>
    <row r="15" spans="1:15" ht="14.25" x14ac:dyDescent="0.2">
      <c r="A15" s="84"/>
      <c r="B15" s="85" t="str">
        <f>EN_A0900!$B$3</f>
        <v>Engine &amp; Drivetrain</v>
      </c>
      <c r="C15" s="87"/>
      <c r="D15" s="87" t="s">
        <v>11</v>
      </c>
      <c r="E15" s="87"/>
      <c r="F15" s="85"/>
      <c r="G15" s="95"/>
      <c r="H15" s="89">
        <f t="shared" si="1"/>
        <v>0</v>
      </c>
      <c r="I15" s="94"/>
      <c r="J15" s="91"/>
      <c r="K15" s="91"/>
      <c r="L15" s="91"/>
      <c r="M15" s="91"/>
      <c r="N15" s="92">
        <f t="shared" si="0"/>
        <v>0</v>
      </c>
      <c r="O15" s="93"/>
    </row>
    <row r="16" spans="1:15" ht="14.25" x14ac:dyDescent="0.2">
      <c r="A16" s="84"/>
      <c r="B16" s="85" t="str">
        <f>EN_A0900!$B$3</f>
        <v>Engine &amp; Drivetrain</v>
      </c>
      <c r="C16" s="87"/>
      <c r="D16" s="87" t="s">
        <v>11</v>
      </c>
      <c r="E16" s="87"/>
      <c r="F16" s="85"/>
      <c r="G16" s="87"/>
      <c r="H16" s="89">
        <f t="shared" si="1"/>
        <v>0</v>
      </c>
      <c r="I16" s="94"/>
      <c r="J16" s="91"/>
      <c r="K16" s="91"/>
      <c r="L16" s="91"/>
      <c r="M16" s="91"/>
      <c r="N16" s="92">
        <f t="shared" si="0"/>
        <v>0</v>
      </c>
      <c r="O16" s="93"/>
    </row>
    <row r="17" spans="1:15" ht="15" thickBot="1" x14ac:dyDescent="0.25">
      <c r="A17" s="84"/>
      <c r="B17" s="85" t="str">
        <f>EN_A0900!$B$3</f>
        <v>Engine &amp; Drivetrain</v>
      </c>
      <c r="C17" s="87"/>
      <c r="D17" s="87" t="s">
        <v>11</v>
      </c>
      <c r="E17" s="87"/>
      <c r="F17" s="85"/>
      <c r="G17" s="87"/>
      <c r="H17" s="89">
        <f t="shared" si="1"/>
        <v>0</v>
      </c>
      <c r="I17" s="94"/>
      <c r="J17" s="91"/>
      <c r="K17" s="91"/>
      <c r="L17" s="91"/>
      <c r="M17" s="91"/>
      <c r="N17" s="92">
        <f t="shared" si="0"/>
        <v>0</v>
      </c>
      <c r="O17" s="93"/>
    </row>
    <row r="18" spans="1:15" s="12" customFormat="1" ht="15.75" thickTop="1" thickBot="1" x14ac:dyDescent="0.25">
      <c r="A18" s="5"/>
      <c r="B18" s="31" t="str">
        <f>EN_A0900!B3</f>
        <v>Engine &amp; Drivetrain</v>
      </c>
      <c r="C18" s="1"/>
      <c r="D18" s="1"/>
      <c r="E18" s="1"/>
      <c r="F18" s="31" t="s">
        <v>65</v>
      </c>
      <c r="G18" s="1"/>
      <c r="H18" s="3"/>
      <c r="I18" s="4"/>
      <c r="J18" s="74" t="e">
        <f>SUMPRODUCT($I7:$I17,J7:J17)</f>
        <v>#NAME?</v>
      </c>
      <c r="K18" s="74" t="e">
        <f>SUMPRODUCT($I7:$I17,K7:K17)</f>
        <v>#NAME?</v>
      </c>
      <c r="L18" s="74" t="e">
        <f>SUMPRODUCT($I7:$I17,L7:L17)</f>
        <v>#NAME?</v>
      </c>
      <c r="M18" s="74" t="e">
        <f>SUMPRODUCT($I7:$I17,M7:M17)</f>
        <v>#NAME?</v>
      </c>
      <c r="N18" s="74" t="e">
        <f>SUM(N7:N17)</f>
        <v>#NAME?</v>
      </c>
      <c r="O18" s="2"/>
    </row>
    <row r="19" spans="1:15" ht="13.5" thickTop="1" x14ac:dyDescent="0.2">
      <c r="A19" s="11"/>
      <c r="B19" s="32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32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35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35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32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32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32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32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32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32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32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32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32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32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32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32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32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32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32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32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32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32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32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32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32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32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32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32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32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32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32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32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32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32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32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32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32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32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32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32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32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32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32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32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32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32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32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32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32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32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32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32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32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32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32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32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32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32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32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32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32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32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32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32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32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32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32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32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32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32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32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32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32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32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32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32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32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32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32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32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32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32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32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32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32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32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32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32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32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32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32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32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32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32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32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32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32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32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32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32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32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32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32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32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32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32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32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32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32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32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32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32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32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32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32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32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32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32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32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32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 xr:uid="{00000000-0004-0000-0100-000000000000}"/>
    <hyperlink ref="F8" location="BR_01001" display="BR_01001" xr:uid="{00000000-0004-0000-0100-000002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  <ignoredErrors>
    <ignoredError sqref="H8:M8 H9:H17 C7:C8 I7:M7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A1:O62"/>
  <sheetViews>
    <sheetView zoomScale="85" zoomScaleNormal="85" zoomScaleSheetLayoutView="80" workbookViewId="0">
      <selection activeCell="J16" sqref="J16"/>
    </sheetView>
  </sheetViews>
  <sheetFormatPr baseColWidth="10" defaultColWidth="9.140625" defaultRowHeight="15" x14ac:dyDescent="0.25"/>
  <cols>
    <col min="1" max="1" width="11.42578125"/>
    <col min="2" max="2" width="41.42578125" bestFit="1" customWidth="1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0" width="13.42578125" customWidth="1"/>
    <col min="11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</row>
    <row r="2" spans="1:15" x14ac:dyDescent="0.25">
      <c r="A2" s="163" t="s">
        <v>0</v>
      </c>
      <c r="B2" s="112" t="s">
        <v>43</v>
      </c>
      <c r="C2" s="46"/>
      <c r="D2" s="46"/>
      <c r="E2" s="46" t="s">
        <v>120</v>
      </c>
      <c r="F2" s="46"/>
      <c r="G2" s="46"/>
      <c r="H2" s="46"/>
      <c r="I2" s="46"/>
      <c r="J2" s="96" t="s">
        <v>1</v>
      </c>
      <c r="K2" s="64">
        <v>81</v>
      </c>
      <c r="L2" s="46"/>
      <c r="M2" s="96" t="s">
        <v>2</v>
      </c>
      <c r="N2" s="73">
        <f>EN_A0900_pa+EN_A0900_m+EN_A0900_p+EN_A0900_f+EN_A0900_t</f>
        <v>388.78260637517604</v>
      </c>
      <c r="O2" s="164"/>
    </row>
    <row r="3" spans="1:15" x14ac:dyDescent="0.25">
      <c r="A3" s="163" t="s">
        <v>3</v>
      </c>
      <c r="B3" s="112" t="s">
        <v>135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96" t="s">
        <v>4</v>
      </c>
      <c r="N3" s="63">
        <v>1</v>
      </c>
      <c r="O3" s="164"/>
    </row>
    <row r="4" spans="1:15" x14ac:dyDescent="0.25">
      <c r="A4" s="163" t="s">
        <v>5</v>
      </c>
      <c r="B4" s="112" t="s">
        <v>141</v>
      </c>
      <c r="C4" s="46"/>
      <c r="D4" s="46"/>
      <c r="E4" s="46"/>
      <c r="F4" s="46"/>
      <c r="G4" s="46"/>
      <c r="H4" s="46"/>
      <c r="I4" s="46"/>
      <c r="J4" s="99" t="s">
        <v>6</v>
      </c>
      <c r="K4" s="46"/>
      <c r="L4" s="46"/>
      <c r="M4" s="46"/>
      <c r="N4" s="46"/>
      <c r="O4" s="164"/>
    </row>
    <row r="5" spans="1:15" x14ac:dyDescent="0.25">
      <c r="A5" s="163" t="s">
        <v>7</v>
      </c>
      <c r="B5" s="113" t="s">
        <v>160</v>
      </c>
      <c r="C5" s="46"/>
      <c r="D5" s="46"/>
      <c r="E5" s="46"/>
      <c r="F5" s="46"/>
      <c r="G5" s="46"/>
      <c r="H5" s="46"/>
      <c r="I5" s="46"/>
      <c r="J5" s="99" t="s">
        <v>8</v>
      </c>
      <c r="K5" s="46"/>
      <c r="L5" s="46"/>
      <c r="M5" s="96" t="s">
        <v>9</v>
      </c>
      <c r="N5" s="62">
        <f>N2*N3</f>
        <v>388.78260637517604</v>
      </c>
      <c r="O5" s="164"/>
    </row>
    <row r="6" spans="1:15" x14ac:dyDescent="0.25">
      <c r="A6" s="163" t="s">
        <v>10</v>
      </c>
      <c r="B6" s="112" t="s">
        <v>11</v>
      </c>
      <c r="C6" s="46"/>
      <c r="D6" s="46"/>
      <c r="E6" s="46"/>
      <c r="F6" s="46"/>
      <c r="G6" s="46"/>
      <c r="H6" s="46"/>
      <c r="I6" s="46"/>
      <c r="J6" s="99" t="s">
        <v>12</v>
      </c>
      <c r="K6" s="46"/>
      <c r="L6" s="46"/>
      <c r="M6" s="46"/>
      <c r="N6" s="46"/>
      <c r="O6" s="164"/>
    </row>
    <row r="7" spans="1:15" x14ac:dyDescent="0.25">
      <c r="A7" s="163" t="s">
        <v>13</v>
      </c>
      <c r="B7" s="112" t="s">
        <v>137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164"/>
    </row>
    <row r="8" spans="1:15" x14ac:dyDescent="0.25">
      <c r="A8" s="16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164"/>
    </row>
    <row r="9" spans="1:15" x14ac:dyDescent="0.25">
      <c r="A9" s="163" t="s">
        <v>14</v>
      </c>
      <c r="B9" s="118" t="s">
        <v>15</v>
      </c>
      <c r="C9" s="96" t="s">
        <v>16</v>
      </c>
      <c r="D9" s="96" t="s">
        <v>17</v>
      </c>
      <c r="E9" s="96" t="s">
        <v>18</v>
      </c>
      <c r="F9" s="46"/>
      <c r="G9" s="46"/>
      <c r="H9" s="46"/>
      <c r="I9" s="46"/>
      <c r="J9" s="46"/>
      <c r="K9" s="46"/>
      <c r="L9" s="46"/>
      <c r="M9" s="46"/>
      <c r="N9" s="46"/>
      <c r="O9" s="164"/>
    </row>
    <row r="10" spans="1:15" x14ac:dyDescent="0.25">
      <c r="A10" s="166">
        <v>10</v>
      </c>
      <c r="B10" s="21" t="s">
        <v>138</v>
      </c>
      <c r="C10" s="115">
        <f>EN_0900_001!N$2</f>
        <v>112.52931553333677</v>
      </c>
      <c r="D10" s="177">
        <f>EN_0900_001!N$3</f>
        <v>1</v>
      </c>
      <c r="E10" s="117">
        <f>C10*D10</f>
        <v>112.52931553333677</v>
      </c>
      <c r="F10" s="46"/>
      <c r="G10" s="46"/>
      <c r="H10" s="46"/>
      <c r="I10" s="46"/>
      <c r="J10" s="46"/>
      <c r="K10" s="46"/>
      <c r="L10" s="46"/>
      <c r="M10" s="46"/>
      <c r="N10" s="46"/>
      <c r="O10" s="164"/>
    </row>
    <row r="11" spans="1:15" x14ac:dyDescent="0.25">
      <c r="A11" s="166">
        <v>20</v>
      </c>
      <c r="B11" s="21" t="s">
        <v>140</v>
      </c>
      <c r="C11" s="115">
        <f>EN_0900_002!N$2</f>
        <v>10.904564699673662</v>
      </c>
      <c r="D11" s="177">
        <f>EN_0900_002!N$3</f>
        <v>1</v>
      </c>
      <c r="E11" s="117">
        <f>C11*D11</f>
        <v>10.904564699673662</v>
      </c>
      <c r="F11" s="47"/>
      <c r="G11" s="47"/>
      <c r="H11" s="47"/>
      <c r="I11" s="47"/>
      <c r="J11" s="47"/>
      <c r="K11" s="47"/>
      <c r="L11" s="47"/>
      <c r="M11" s="47"/>
      <c r="N11" s="47"/>
      <c r="O11" s="167"/>
    </row>
    <row r="12" spans="1:15" x14ac:dyDescent="0.25">
      <c r="A12" s="166">
        <v>30</v>
      </c>
      <c r="B12" s="21" t="s">
        <v>139</v>
      </c>
      <c r="C12" s="115">
        <f>EN_0900_003!N$2</f>
        <v>8.5389646196590014</v>
      </c>
      <c r="D12" s="177">
        <f>EN_0900_003!N$3</f>
        <v>1</v>
      </c>
      <c r="E12" s="117">
        <f t="shared" ref="E12:E18" si="0">C12*D12</f>
        <v>8.5389646196590014</v>
      </c>
      <c r="F12" s="47"/>
      <c r="G12" s="47"/>
      <c r="H12" s="47"/>
      <c r="I12" s="47"/>
      <c r="J12" s="47"/>
      <c r="K12" s="47"/>
      <c r="L12" s="47"/>
      <c r="M12" s="47"/>
      <c r="N12" s="47"/>
      <c r="O12" s="167"/>
    </row>
    <row r="13" spans="1:15" x14ac:dyDescent="0.25">
      <c r="A13" s="166">
        <v>40</v>
      </c>
      <c r="B13" s="21" t="s">
        <v>213</v>
      </c>
      <c r="C13" s="115">
        <f>EN_0900_004!N$2</f>
        <v>23.956417471999998</v>
      </c>
      <c r="D13" s="177">
        <f>EN_0900_004!N$3</f>
        <v>1</v>
      </c>
      <c r="E13" s="117">
        <f>C13*D13</f>
        <v>23.956417471999998</v>
      </c>
      <c r="F13" s="47"/>
      <c r="G13" s="47"/>
      <c r="H13" s="47"/>
      <c r="I13" s="47"/>
      <c r="J13" s="47"/>
      <c r="K13" s="47"/>
      <c r="L13" s="47"/>
      <c r="M13" s="47"/>
      <c r="N13" s="47"/>
      <c r="O13" s="164"/>
    </row>
    <row r="14" spans="1:15" x14ac:dyDescent="0.25">
      <c r="A14" s="166">
        <v>50</v>
      </c>
      <c r="B14" s="21" t="s">
        <v>214</v>
      </c>
      <c r="C14" s="115">
        <f>EN_0900_005!N$2</f>
        <v>17.198412672</v>
      </c>
      <c r="D14" s="177">
        <f>EN_0900_005!N$3</f>
        <v>1</v>
      </c>
      <c r="E14" s="117">
        <f>C14*D14</f>
        <v>17.198412672</v>
      </c>
      <c r="F14" s="47"/>
      <c r="G14" s="47"/>
      <c r="H14" s="47"/>
      <c r="I14" s="47"/>
      <c r="J14" s="47"/>
      <c r="K14" s="47"/>
      <c r="L14" s="47"/>
      <c r="M14" s="47"/>
      <c r="N14" s="47"/>
      <c r="O14" s="164"/>
    </row>
    <row r="15" spans="1:15" x14ac:dyDescent="0.25">
      <c r="A15" s="166">
        <v>60</v>
      </c>
      <c r="B15" s="21" t="s">
        <v>215</v>
      </c>
      <c r="C15" s="115">
        <f>EN_0900_006!N$2</f>
        <v>0.83337245000000004</v>
      </c>
      <c r="D15" s="177">
        <f>EN_0900_006!N$3</f>
        <v>4</v>
      </c>
      <c r="E15" s="117">
        <f>C15*D15</f>
        <v>3.3334898000000002</v>
      </c>
      <c r="F15" s="47"/>
      <c r="G15" s="47"/>
      <c r="H15" s="47"/>
      <c r="I15" s="47"/>
      <c r="J15" s="47"/>
      <c r="K15" s="47"/>
      <c r="L15" s="47"/>
      <c r="M15" s="47"/>
      <c r="N15" s="47"/>
      <c r="O15" s="164"/>
    </row>
    <row r="16" spans="1:15" x14ac:dyDescent="0.25">
      <c r="A16" s="166">
        <v>70</v>
      </c>
      <c r="B16" s="21" t="s">
        <v>216</v>
      </c>
      <c r="C16" s="115">
        <f>EN_0900_007!N$2</f>
        <v>0.806785325</v>
      </c>
      <c r="D16" s="177">
        <f>EN_0900_007!N$3</f>
        <v>4</v>
      </c>
      <c r="E16" s="117">
        <f>C16*D16</f>
        <v>3.2271413</v>
      </c>
      <c r="F16" s="47"/>
      <c r="G16" s="47"/>
      <c r="H16" s="47"/>
      <c r="I16" s="47"/>
      <c r="J16" s="47"/>
      <c r="K16" s="47"/>
      <c r="L16" s="47"/>
      <c r="M16" s="47"/>
      <c r="N16" s="47"/>
      <c r="O16" s="167"/>
    </row>
    <row r="17" spans="1:15" x14ac:dyDescent="0.25">
      <c r="A17" s="166">
        <v>80</v>
      </c>
      <c r="B17" s="21" t="s">
        <v>153</v>
      </c>
      <c r="C17" s="115">
        <f>EN_0900_008!N$2</f>
        <v>1.5521247499999999</v>
      </c>
      <c r="D17" s="177">
        <f>EN_0900_008!N$3</f>
        <v>1</v>
      </c>
      <c r="E17" s="117">
        <f t="shared" si="0"/>
        <v>1.5521247499999999</v>
      </c>
      <c r="F17" s="47"/>
      <c r="G17" s="47"/>
      <c r="H17" s="47"/>
      <c r="I17" s="47"/>
      <c r="J17" s="47"/>
      <c r="K17" s="47"/>
      <c r="L17" s="47"/>
      <c r="M17" s="47"/>
      <c r="N17" s="47"/>
      <c r="O17" s="167"/>
    </row>
    <row r="18" spans="1:15" x14ac:dyDescent="0.25">
      <c r="A18" s="166">
        <v>90</v>
      </c>
      <c r="B18" s="21" t="s">
        <v>246</v>
      </c>
      <c r="C18" s="115">
        <f>EN_0900_009!N$2</f>
        <v>1.5630151625000002</v>
      </c>
      <c r="D18" s="177">
        <f>EN_0900_009!N$3</f>
        <v>1</v>
      </c>
      <c r="E18" s="117">
        <f t="shared" si="0"/>
        <v>1.5630151625000002</v>
      </c>
      <c r="F18" s="47"/>
      <c r="G18" s="47"/>
      <c r="H18" s="47"/>
      <c r="I18" s="47"/>
      <c r="J18" s="47"/>
      <c r="K18" s="47"/>
      <c r="L18" s="47"/>
      <c r="M18" s="47"/>
      <c r="N18" s="47"/>
      <c r="O18" s="167"/>
    </row>
    <row r="19" spans="1:15" x14ac:dyDescent="0.25">
      <c r="A19" s="165"/>
      <c r="B19" s="46"/>
      <c r="C19" s="46"/>
      <c r="D19" s="100" t="s">
        <v>18</v>
      </c>
      <c r="E19" s="101">
        <f>SUM(E10:E18)</f>
        <v>182.80344600916939</v>
      </c>
      <c r="F19" s="47"/>
      <c r="G19" s="47"/>
      <c r="H19" s="47"/>
      <c r="I19" s="47"/>
      <c r="J19" s="47"/>
      <c r="K19" s="47"/>
      <c r="L19" s="47"/>
      <c r="M19" s="47"/>
      <c r="N19" s="47"/>
      <c r="O19" s="164"/>
    </row>
    <row r="20" spans="1:15" x14ac:dyDescent="0.25">
      <c r="A20" s="16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164"/>
    </row>
    <row r="21" spans="1:15" x14ac:dyDescent="0.25">
      <c r="A21" s="163" t="s">
        <v>14</v>
      </c>
      <c r="B21" s="96" t="s">
        <v>19</v>
      </c>
      <c r="C21" s="96" t="s">
        <v>20</v>
      </c>
      <c r="D21" s="96" t="s">
        <v>21</v>
      </c>
      <c r="E21" s="96" t="s">
        <v>22</v>
      </c>
      <c r="F21" s="96" t="s">
        <v>23</v>
      </c>
      <c r="G21" s="96" t="s">
        <v>24</v>
      </c>
      <c r="H21" s="96" t="s">
        <v>25</v>
      </c>
      <c r="I21" s="96" t="s">
        <v>26</v>
      </c>
      <c r="J21" s="96" t="s">
        <v>27</v>
      </c>
      <c r="K21" s="96" t="s">
        <v>28</v>
      </c>
      <c r="L21" s="96" t="s">
        <v>29</v>
      </c>
      <c r="M21" s="96" t="s">
        <v>17</v>
      </c>
      <c r="N21" s="96" t="s">
        <v>18</v>
      </c>
      <c r="O21" s="164"/>
    </row>
    <row r="22" spans="1:15" s="17" customFormat="1" x14ac:dyDescent="0.25">
      <c r="A22" s="166">
        <v>20</v>
      </c>
      <c r="B22" s="114" t="s">
        <v>151</v>
      </c>
      <c r="C22" s="114" t="s">
        <v>143</v>
      </c>
      <c r="D22" s="115">
        <f>0.1*(E22^2*G22)^0.5</f>
        <v>38.183766184073569</v>
      </c>
      <c r="E22" s="114">
        <v>90</v>
      </c>
      <c r="F22" s="114" t="s">
        <v>30</v>
      </c>
      <c r="G22" s="114">
        <v>18</v>
      </c>
      <c r="H22" s="119" t="s">
        <v>30</v>
      </c>
      <c r="I22" s="120"/>
      <c r="J22" s="121"/>
      <c r="K22" s="119"/>
      <c r="L22" s="119"/>
      <c r="M22" s="122">
        <v>1</v>
      </c>
      <c r="N22" s="123">
        <f>IF(J22="",D22*M22,D22*J22*K22*L22*M22)</f>
        <v>38.183766184073569</v>
      </c>
      <c r="O22" s="168"/>
    </row>
    <row r="23" spans="1:15" x14ac:dyDescent="0.25">
      <c r="A23" s="166">
        <v>10</v>
      </c>
      <c r="B23" s="114" t="s">
        <v>151</v>
      </c>
      <c r="C23" s="114" t="s">
        <v>142</v>
      </c>
      <c r="D23" s="115">
        <f>0.1*(E23^2*G23)^0.5</f>
        <v>32</v>
      </c>
      <c r="E23" s="114">
        <v>80</v>
      </c>
      <c r="F23" s="114" t="s">
        <v>30</v>
      </c>
      <c r="G23" s="114">
        <v>16</v>
      </c>
      <c r="H23" s="119" t="s">
        <v>30</v>
      </c>
      <c r="I23" s="120"/>
      <c r="J23" s="121"/>
      <c r="K23" s="119"/>
      <c r="L23" s="119"/>
      <c r="M23" s="122">
        <v>1</v>
      </c>
      <c r="N23" s="123">
        <f>IF(J23="",D23*M23,D23*J23*K23*L23*M23)</f>
        <v>32</v>
      </c>
      <c r="O23" s="164"/>
    </row>
    <row r="24" spans="1:15" s="17" customFormat="1" x14ac:dyDescent="0.25">
      <c r="A24" s="166">
        <v>30</v>
      </c>
      <c r="B24" s="114" t="s">
        <v>144</v>
      </c>
      <c r="C24" s="116" t="s">
        <v>152</v>
      </c>
      <c r="D24" s="115">
        <v>10</v>
      </c>
      <c r="E24" s="114">
        <v>8.0000000000000002E-3</v>
      </c>
      <c r="F24" s="114" t="s">
        <v>146</v>
      </c>
      <c r="G24" s="114"/>
      <c r="H24" s="119"/>
      <c r="I24" s="120"/>
      <c r="J24" s="121"/>
      <c r="K24" s="119"/>
      <c r="L24" s="119"/>
      <c r="M24" s="122">
        <v>8.0000000000000002E-3</v>
      </c>
      <c r="N24" s="123">
        <f>IF(J24="",D24*M24,D24*J24*K24*L24*M24)</f>
        <v>0.08</v>
      </c>
      <c r="O24" s="168"/>
    </row>
    <row r="25" spans="1:15" s="17" customFormat="1" x14ac:dyDescent="0.25">
      <c r="A25" s="166">
        <v>40</v>
      </c>
      <c r="B25" s="114" t="s">
        <v>147</v>
      </c>
      <c r="C25" s="114" t="s">
        <v>148</v>
      </c>
      <c r="D25" s="115">
        <v>0.75</v>
      </c>
      <c r="E25" s="114">
        <v>0.06</v>
      </c>
      <c r="F25" s="114" t="s">
        <v>149</v>
      </c>
      <c r="G25" s="114"/>
      <c r="H25" s="119"/>
      <c r="I25" s="124"/>
      <c r="J25" s="121"/>
      <c r="K25" s="119"/>
      <c r="L25" s="125"/>
      <c r="M25" s="122">
        <v>0.06</v>
      </c>
      <c r="N25" s="123">
        <f>IF(J25="",D25*M25,D25*J25*K25*L25*M25)</f>
        <v>4.4999999999999998E-2</v>
      </c>
      <c r="O25" s="168"/>
    </row>
    <row r="26" spans="1:15" ht="30" x14ac:dyDescent="0.25">
      <c r="A26" s="166">
        <v>50</v>
      </c>
      <c r="B26" s="126" t="s">
        <v>150</v>
      </c>
      <c r="C26" s="114"/>
      <c r="D26" s="115">
        <v>110</v>
      </c>
      <c r="E26" s="114">
        <v>1</v>
      </c>
      <c r="F26" s="114" t="s">
        <v>35</v>
      </c>
      <c r="G26" s="114"/>
      <c r="H26" s="119"/>
      <c r="I26" s="124"/>
      <c r="J26" s="121"/>
      <c r="K26" s="119"/>
      <c r="L26" s="125"/>
      <c r="M26" s="122">
        <v>1</v>
      </c>
      <c r="N26" s="123">
        <f>IF(J26="",D26*M26,D26*J26*K26*L26*M26)</f>
        <v>110</v>
      </c>
      <c r="O26" s="164"/>
    </row>
    <row r="27" spans="1:15" x14ac:dyDescent="0.25">
      <c r="A27" s="16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96" t="s">
        <v>18</v>
      </c>
      <c r="N27" s="98">
        <f>SUM(N22:N26)</f>
        <v>180.30876618407356</v>
      </c>
      <c r="O27" s="164"/>
    </row>
    <row r="28" spans="1:15" x14ac:dyDescent="0.25">
      <c r="A28" s="16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164"/>
    </row>
    <row r="29" spans="1:15" s="20" customFormat="1" x14ac:dyDescent="0.25">
      <c r="A29" s="163" t="s">
        <v>14</v>
      </c>
      <c r="B29" s="96" t="s">
        <v>31</v>
      </c>
      <c r="C29" s="96" t="s">
        <v>20</v>
      </c>
      <c r="D29" s="96" t="s">
        <v>21</v>
      </c>
      <c r="E29" s="96" t="s">
        <v>32</v>
      </c>
      <c r="F29" s="96" t="s">
        <v>17</v>
      </c>
      <c r="G29" s="96" t="s">
        <v>33</v>
      </c>
      <c r="H29" s="96" t="s">
        <v>34</v>
      </c>
      <c r="I29" s="96" t="s">
        <v>18</v>
      </c>
      <c r="J29" s="19"/>
      <c r="K29" s="19"/>
      <c r="L29" s="19"/>
      <c r="M29" s="19"/>
      <c r="N29" s="19"/>
      <c r="O29" s="170"/>
    </row>
    <row r="30" spans="1:15" s="20" customFormat="1" x14ac:dyDescent="0.25">
      <c r="A30" s="166">
        <v>10</v>
      </c>
      <c r="B30" s="116" t="s">
        <v>184</v>
      </c>
      <c r="C30" s="116" t="s">
        <v>185</v>
      </c>
      <c r="D30" s="115">
        <v>0.15</v>
      </c>
      <c r="E30" s="114" t="s">
        <v>46</v>
      </c>
      <c r="F30" s="114">
        <v>56.54</v>
      </c>
      <c r="G30" s="114"/>
      <c r="H30" s="114">
        <v>1</v>
      </c>
      <c r="I30" s="115">
        <f t="shared" ref="I30:I43" si="1">D30*F30*H30</f>
        <v>8.4809999999999999</v>
      </c>
      <c r="J30" s="112"/>
      <c r="K30" s="112"/>
      <c r="L30" s="112"/>
      <c r="M30" s="47"/>
      <c r="N30" s="47"/>
      <c r="O30" s="170"/>
    </row>
    <row r="31" spans="1:15" s="16" customFormat="1" x14ac:dyDescent="0.25">
      <c r="A31" s="166">
        <v>20</v>
      </c>
      <c r="B31" s="116" t="s">
        <v>186</v>
      </c>
      <c r="C31" s="116" t="s">
        <v>145</v>
      </c>
      <c r="D31" s="115">
        <v>5.25</v>
      </c>
      <c r="E31" s="114" t="s">
        <v>146</v>
      </c>
      <c r="F31" s="114">
        <v>8.0000000000000002E-3</v>
      </c>
      <c r="G31" s="114"/>
      <c r="H31" s="114">
        <v>1</v>
      </c>
      <c r="I31" s="115">
        <f t="shared" si="1"/>
        <v>4.2000000000000003E-2</v>
      </c>
      <c r="J31" s="112"/>
      <c r="K31" s="112"/>
      <c r="L31" s="112"/>
      <c r="M31" s="47"/>
      <c r="N31" s="47"/>
      <c r="O31" s="171"/>
    </row>
    <row r="32" spans="1:15" x14ac:dyDescent="0.25">
      <c r="A32" s="166">
        <v>30</v>
      </c>
      <c r="B32" s="151" t="s">
        <v>187</v>
      </c>
      <c r="C32" s="116" t="s">
        <v>188</v>
      </c>
      <c r="D32" s="115">
        <v>0.56000000000000005</v>
      </c>
      <c r="E32" s="114" t="s">
        <v>35</v>
      </c>
      <c r="F32" s="114">
        <v>2</v>
      </c>
      <c r="G32" s="114"/>
      <c r="H32" s="114">
        <v>1</v>
      </c>
      <c r="I32" s="115">
        <f t="shared" si="1"/>
        <v>1.1200000000000001</v>
      </c>
      <c r="J32" s="112"/>
      <c r="K32" s="112"/>
      <c r="L32" s="112"/>
      <c r="M32" s="46"/>
      <c r="N32" s="46"/>
      <c r="O32" s="164"/>
    </row>
    <row r="33" spans="1:15" x14ac:dyDescent="0.25">
      <c r="A33" s="166">
        <v>40</v>
      </c>
      <c r="B33" s="151" t="s">
        <v>189</v>
      </c>
      <c r="C33" s="116" t="s">
        <v>190</v>
      </c>
      <c r="D33" s="115">
        <v>0.19</v>
      </c>
      <c r="E33" s="114" t="s">
        <v>35</v>
      </c>
      <c r="F33" s="114">
        <v>1</v>
      </c>
      <c r="G33" s="114"/>
      <c r="H33" s="114">
        <v>1</v>
      </c>
      <c r="I33" s="115">
        <f t="shared" si="1"/>
        <v>0.19</v>
      </c>
      <c r="J33" s="112"/>
      <c r="K33" s="112"/>
      <c r="L33" s="112"/>
      <c r="M33" s="46"/>
      <c r="N33" s="46"/>
      <c r="O33" s="164"/>
    </row>
    <row r="34" spans="1:15" x14ac:dyDescent="0.25">
      <c r="A34" s="166">
        <v>50</v>
      </c>
      <c r="B34" s="116" t="s">
        <v>189</v>
      </c>
      <c r="C34" s="116" t="s">
        <v>191</v>
      </c>
      <c r="D34" s="115">
        <v>0.19</v>
      </c>
      <c r="E34" s="114" t="s">
        <v>35</v>
      </c>
      <c r="F34" s="114">
        <v>1</v>
      </c>
      <c r="G34" s="114"/>
      <c r="H34" s="114">
        <v>1</v>
      </c>
      <c r="I34" s="115">
        <f t="shared" si="1"/>
        <v>0.19</v>
      </c>
      <c r="J34" s="112"/>
      <c r="K34" s="112"/>
      <c r="L34" s="112"/>
      <c r="M34" s="46"/>
      <c r="N34" s="46"/>
      <c r="O34" s="164"/>
    </row>
    <row r="35" spans="1:15" x14ac:dyDescent="0.25">
      <c r="A35" s="166">
        <v>60</v>
      </c>
      <c r="B35" s="116" t="s">
        <v>189</v>
      </c>
      <c r="C35" s="116" t="s">
        <v>192</v>
      </c>
      <c r="D35" s="115">
        <v>0.19</v>
      </c>
      <c r="E35" s="114" t="s">
        <v>35</v>
      </c>
      <c r="F35" s="114">
        <v>2</v>
      </c>
      <c r="G35" s="114"/>
      <c r="H35" s="114">
        <v>1</v>
      </c>
      <c r="I35" s="115">
        <f t="shared" si="1"/>
        <v>0.38</v>
      </c>
      <c r="J35" s="112"/>
      <c r="K35" s="112"/>
      <c r="L35" s="112"/>
      <c r="M35" s="46"/>
      <c r="N35" s="46"/>
      <c r="O35" s="164"/>
    </row>
    <row r="36" spans="1:15" x14ac:dyDescent="0.25">
      <c r="A36" s="166">
        <v>70</v>
      </c>
      <c r="B36" s="116" t="s">
        <v>193</v>
      </c>
      <c r="C36" s="116" t="s">
        <v>194</v>
      </c>
      <c r="D36" s="115">
        <v>0.5</v>
      </c>
      <c r="E36" s="114" t="s">
        <v>35</v>
      </c>
      <c r="F36" s="114">
        <v>4</v>
      </c>
      <c r="G36" s="114"/>
      <c r="H36" s="114">
        <v>1</v>
      </c>
      <c r="I36" s="115">
        <f t="shared" si="1"/>
        <v>2</v>
      </c>
      <c r="J36" s="112"/>
      <c r="K36" s="112"/>
      <c r="L36" s="112"/>
      <c r="M36" s="46"/>
      <c r="N36" s="46"/>
      <c r="O36" s="164"/>
    </row>
    <row r="37" spans="1:15" x14ac:dyDescent="0.25">
      <c r="A37" s="166">
        <v>80</v>
      </c>
      <c r="B37" s="116" t="s">
        <v>195</v>
      </c>
      <c r="C37" s="116" t="s">
        <v>194</v>
      </c>
      <c r="D37" s="115">
        <v>0.25</v>
      </c>
      <c r="E37" s="114" t="s">
        <v>35</v>
      </c>
      <c r="F37" s="114">
        <v>4</v>
      </c>
      <c r="G37" s="114"/>
      <c r="H37" s="114">
        <v>1</v>
      </c>
      <c r="I37" s="115">
        <f t="shared" si="1"/>
        <v>1</v>
      </c>
      <c r="J37" s="112"/>
      <c r="K37" s="112"/>
      <c r="L37" s="112"/>
      <c r="M37" s="46"/>
      <c r="N37" s="46"/>
      <c r="O37" s="164"/>
    </row>
    <row r="38" spans="1:15" x14ac:dyDescent="0.25">
      <c r="A38" s="166">
        <v>90</v>
      </c>
      <c r="B38" s="116" t="s">
        <v>196</v>
      </c>
      <c r="C38" s="116" t="s">
        <v>197</v>
      </c>
      <c r="D38" s="115">
        <v>0.38</v>
      </c>
      <c r="E38" s="114" t="s">
        <v>35</v>
      </c>
      <c r="F38" s="114">
        <v>2</v>
      </c>
      <c r="G38" s="114"/>
      <c r="H38" s="114">
        <v>1</v>
      </c>
      <c r="I38" s="115">
        <f t="shared" si="1"/>
        <v>0.76</v>
      </c>
      <c r="J38" s="112"/>
      <c r="K38" s="156"/>
      <c r="L38" s="156"/>
      <c r="M38" s="48"/>
      <c r="N38" s="48"/>
      <c r="O38" s="164"/>
    </row>
    <row r="39" spans="1:15" x14ac:dyDescent="0.25">
      <c r="A39" s="166">
        <v>100</v>
      </c>
      <c r="B39" s="116" t="s">
        <v>198</v>
      </c>
      <c r="C39" s="116" t="s">
        <v>199</v>
      </c>
      <c r="D39" s="115">
        <v>0.06</v>
      </c>
      <c r="E39" s="114" t="s">
        <v>35</v>
      </c>
      <c r="F39" s="114">
        <v>4</v>
      </c>
      <c r="G39" s="114"/>
      <c r="H39" s="114">
        <v>1</v>
      </c>
      <c r="I39" s="115">
        <f t="shared" si="1"/>
        <v>0.24</v>
      </c>
      <c r="J39" s="112"/>
      <c r="K39" s="112"/>
      <c r="L39" s="112"/>
      <c r="M39" s="48"/>
      <c r="N39" s="48"/>
      <c r="O39" s="164"/>
    </row>
    <row r="40" spans="1:15" s="16" customFormat="1" x14ac:dyDescent="0.25">
      <c r="A40" s="166">
        <v>110</v>
      </c>
      <c r="B40" s="116" t="s">
        <v>200</v>
      </c>
      <c r="C40" s="116" t="s">
        <v>201</v>
      </c>
      <c r="D40" s="115">
        <v>0.75</v>
      </c>
      <c r="E40" s="114" t="s">
        <v>35</v>
      </c>
      <c r="F40" s="114">
        <v>2</v>
      </c>
      <c r="G40" s="114"/>
      <c r="H40" s="114">
        <v>1</v>
      </c>
      <c r="I40" s="115">
        <f t="shared" si="1"/>
        <v>1.5</v>
      </c>
      <c r="J40" s="112"/>
      <c r="K40" s="112"/>
      <c r="L40" s="156"/>
      <c r="M40" s="47"/>
      <c r="N40" s="47"/>
      <c r="O40" s="171"/>
    </row>
    <row r="41" spans="1:15" x14ac:dyDescent="0.25">
      <c r="A41" s="166">
        <v>120</v>
      </c>
      <c r="B41" s="116" t="s">
        <v>202</v>
      </c>
      <c r="C41" s="116" t="s">
        <v>201</v>
      </c>
      <c r="D41" s="115">
        <v>0.25</v>
      </c>
      <c r="E41" s="114" t="s">
        <v>35</v>
      </c>
      <c r="F41" s="114">
        <v>2</v>
      </c>
      <c r="G41" s="114"/>
      <c r="H41" s="114">
        <v>1</v>
      </c>
      <c r="I41" s="115">
        <f t="shared" si="1"/>
        <v>0.5</v>
      </c>
      <c r="J41" s="112"/>
      <c r="K41" s="112"/>
      <c r="L41" s="112"/>
      <c r="M41" s="48"/>
      <c r="N41" s="48"/>
      <c r="O41" s="164"/>
    </row>
    <row r="42" spans="1:15" x14ac:dyDescent="0.25">
      <c r="A42" s="166">
        <v>130</v>
      </c>
      <c r="B42" s="116" t="s">
        <v>200</v>
      </c>
      <c r="C42" s="116" t="s">
        <v>203</v>
      </c>
      <c r="D42" s="115">
        <v>0.75</v>
      </c>
      <c r="E42" s="114" t="s">
        <v>35</v>
      </c>
      <c r="F42" s="114">
        <v>2</v>
      </c>
      <c r="G42" s="114"/>
      <c r="H42" s="114">
        <v>1</v>
      </c>
      <c r="I42" s="115">
        <f t="shared" si="1"/>
        <v>1.5</v>
      </c>
      <c r="J42" s="112"/>
      <c r="K42" s="112"/>
      <c r="L42" s="112"/>
      <c r="M42" s="46"/>
      <c r="N42" s="46"/>
      <c r="O42" s="164"/>
    </row>
    <row r="43" spans="1:15" x14ac:dyDescent="0.25">
      <c r="A43" s="166">
        <v>140</v>
      </c>
      <c r="B43" s="116" t="s">
        <v>202</v>
      </c>
      <c r="C43" s="116" t="s">
        <v>203</v>
      </c>
      <c r="D43" s="115">
        <v>0.25</v>
      </c>
      <c r="E43" s="114" t="s">
        <v>35</v>
      </c>
      <c r="F43" s="114">
        <v>2</v>
      </c>
      <c r="G43" s="114"/>
      <c r="H43" s="114">
        <v>1</v>
      </c>
      <c r="I43" s="115">
        <f t="shared" si="1"/>
        <v>0.5</v>
      </c>
      <c r="J43" s="112"/>
      <c r="K43" s="112"/>
      <c r="L43" s="112"/>
      <c r="M43" s="46"/>
      <c r="N43" s="46"/>
      <c r="O43" s="164"/>
    </row>
    <row r="44" spans="1:15" x14ac:dyDescent="0.25">
      <c r="A44" s="169"/>
      <c r="B44" s="19"/>
      <c r="C44" s="19"/>
      <c r="D44" s="19"/>
      <c r="E44" s="19"/>
      <c r="F44" s="19"/>
      <c r="G44" s="19"/>
      <c r="H44" s="97" t="s">
        <v>18</v>
      </c>
      <c r="I44" s="98">
        <f>SUM(I30:I43)</f>
        <v>18.402999999999999</v>
      </c>
      <c r="J44" s="46"/>
      <c r="K44" s="46"/>
      <c r="L44" s="46"/>
      <c r="M44" s="46"/>
      <c r="N44" s="46"/>
      <c r="O44" s="164"/>
    </row>
    <row r="45" spans="1:15" x14ac:dyDescent="0.25">
      <c r="A45" s="16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164"/>
    </row>
    <row r="46" spans="1:15" x14ac:dyDescent="0.25">
      <c r="A46" s="163" t="s">
        <v>14</v>
      </c>
      <c r="B46" s="96" t="s">
        <v>36</v>
      </c>
      <c r="C46" s="96" t="s">
        <v>20</v>
      </c>
      <c r="D46" s="96" t="s">
        <v>21</v>
      </c>
      <c r="E46" s="96" t="s">
        <v>22</v>
      </c>
      <c r="F46" s="96" t="s">
        <v>23</v>
      </c>
      <c r="G46" s="96" t="s">
        <v>24</v>
      </c>
      <c r="H46" s="96" t="s">
        <v>25</v>
      </c>
      <c r="I46" s="96" t="s">
        <v>17</v>
      </c>
      <c r="J46" s="96" t="s">
        <v>18</v>
      </c>
      <c r="K46" s="46"/>
      <c r="L46" s="46"/>
      <c r="M46" s="46"/>
      <c r="N46" s="46"/>
      <c r="O46" s="164"/>
    </row>
    <row r="47" spans="1:15" x14ac:dyDescent="0.25">
      <c r="A47" s="166">
        <v>10</v>
      </c>
      <c r="B47" s="114" t="s">
        <v>204</v>
      </c>
      <c r="C47" s="114" t="s">
        <v>205</v>
      </c>
      <c r="D47" s="157">
        <f>0.8/105154*E47*E47*G47*SQRT(G47)+(0.003*EXP(0.319*E47))</f>
        <v>0.5252420080501925</v>
      </c>
      <c r="E47" s="114">
        <v>12</v>
      </c>
      <c r="F47" s="158" t="s">
        <v>30</v>
      </c>
      <c r="G47" s="114">
        <v>50</v>
      </c>
      <c r="H47" s="116" t="s">
        <v>30</v>
      </c>
      <c r="I47" s="159">
        <v>2</v>
      </c>
      <c r="J47" s="115">
        <f t="shared" ref="J47:J55" si="2">D47*I47</f>
        <v>1.050484016100385</v>
      </c>
      <c r="K47" s="112"/>
      <c r="L47" s="112"/>
      <c r="M47" s="112"/>
      <c r="N47" s="46"/>
      <c r="O47" s="164"/>
    </row>
    <row r="48" spans="1:15" x14ac:dyDescent="0.25">
      <c r="A48" s="166">
        <v>20</v>
      </c>
      <c r="B48" s="114" t="s">
        <v>206</v>
      </c>
      <c r="C48" s="114" t="s">
        <v>205</v>
      </c>
      <c r="D48" s="157">
        <f>0.009*EXP(0.2*E48)</f>
        <v>9.920858742577443E-2</v>
      </c>
      <c r="E48" s="114">
        <v>12</v>
      </c>
      <c r="F48" s="158" t="s">
        <v>30</v>
      </c>
      <c r="G48" s="114"/>
      <c r="H48" s="116"/>
      <c r="I48" s="159">
        <v>2</v>
      </c>
      <c r="J48" s="115">
        <f t="shared" si="2"/>
        <v>0.19841717485154886</v>
      </c>
      <c r="K48" s="112"/>
      <c r="L48" s="112"/>
      <c r="M48" s="112"/>
      <c r="N48" s="46"/>
      <c r="O48" s="164"/>
    </row>
    <row r="49" spans="1:15" x14ac:dyDescent="0.25">
      <c r="A49" s="166">
        <v>30</v>
      </c>
      <c r="B49" s="114" t="s">
        <v>204</v>
      </c>
      <c r="C49" s="114" t="s">
        <v>207</v>
      </c>
      <c r="D49" s="157">
        <f>0.8/105154*E49*E49*G49*SQRT(G49)+(0.003*EXP(0.319*E49))</f>
        <v>0.11850487334396681</v>
      </c>
      <c r="E49" s="114">
        <v>8</v>
      </c>
      <c r="F49" s="158" t="s">
        <v>30</v>
      </c>
      <c r="G49" s="114">
        <v>30</v>
      </c>
      <c r="H49" s="116" t="s">
        <v>30</v>
      </c>
      <c r="I49" s="159">
        <v>2</v>
      </c>
      <c r="J49" s="115">
        <f t="shared" si="2"/>
        <v>0.23700974668793362</v>
      </c>
      <c r="K49" s="112"/>
      <c r="L49" s="156"/>
      <c r="M49" s="156"/>
      <c r="N49" s="46"/>
      <c r="O49" s="164"/>
    </row>
    <row r="50" spans="1:15" x14ac:dyDescent="0.25">
      <c r="A50" s="166">
        <v>40</v>
      </c>
      <c r="B50" s="114" t="s">
        <v>206</v>
      </c>
      <c r="C50" s="114" t="s">
        <v>207</v>
      </c>
      <c r="D50" s="157">
        <f>0.009*EXP(0.2*E50)</f>
        <v>4.4577291819556032E-2</v>
      </c>
      <c r="E50" s="114">
        <v>8</v>
      </c>
      <c r="F50" s="158" t="s">
        <v>30</v>
      </c>
      <c r="G50" s="114"/>
      <c r="H50" s="116"/>
      <c r="I50" s="159">
        <v>2</v>
      </c>
      <c r="J50" s="115">
        <f t="shared" si="2"/>
        <v>8.9154583639112064E-2</v>
      </c>
      <c r="K50" s="112"/>
      <c r="L50" s="112"/>
      <c r="M50" s="112"/>
      <c r="N50" s="46"/>
      <c r="O50" s="164"/>
    </row>
    <row r="51" spans="1:15" x14ac:dyDescent="0.25">
      <c r="A51" s="166">
        <v>50</v>
      </c>
      <c r="B51" s="114" t="s">
        <v>208</v>
      </c>
      <c r="C51" s="114" t="s">
        <v>209</v>
      </c>
      <c r="D51" s="157">
        <v>0.01</v>
      </c>
      <c r="E51" s="114"/>
      <c r="F51" s="158" t="s">
        <v>35</v>
      </c>
      <c r="G51" s="114"/>
      <c r="H51" s="116"/>
      <c r="I51" s="159">
        <v>4</v>
      </c>
      <c r="J51" s="115">
        <f t="shared" si="2"/>
        <v>0.04</v>
      </c>
      <c r="K51" s="112"/>
      <c r="L51" s="112"/>
      <c r="M51" s="112"/>
      <c r="N51" s="46"/>
      <c r="O51" s="164"/>
    </row>
    <row r="52" spans="1:15" x14ac:dyDescent="0.25">
      <c r="A52" s="166">
        <v>60</v>
      </c>
      <c r="B52" s="114" t="s">
        <v>204</v>
      </c>
      <c r="C52" s="114" t="s">
        <v>210</v>
      </c>
      <c r="D52" s="157">
        <f>0.8/105154*E52*E52*G52*SQRT(G52)+(0.003*EXP(0.319*E52))</f>
        <v>0.11850487334396681</v>
      </c>
      <c r="E52" s="114">
        <v>8</v>
      </c>
      <c r="F52" s="158" t="s">
        <v>30</v>
      </c>
      <c r="G52" s="114">
        <v>30</v>
      </c>
      <c r="H52" s="116" t="s">
        <v>30</v>
      </c>
      <c r="I52" s="159">
        <v>2</v>
      </c>
      <c r="J52" s="115">
        <f t="shared" si="2"/>
        <v>0.23700974668793362</v>
      </c>
      <c r="K52" s="112"/>
      <c r="L52" s="112"/>
      <c r="M52" s="112"/>
      <c r="N52" s="46"/>
      <c r="O52" s="164"/>
    </row>
    <row r="53" spans="1:15" x14ac:dyDescent="0.25">
      <c r="A53" s="166">
        <v>70</v>
      </c>
      <c r="B53" s="114" t="s">
        <v>206</v>
      </c>
      <c r="C53" s="114" t="s">
        <v>210</v>
      </c>
      <c r="D53" s="157">
        <f>0.009*EXP(0.2*E53)</f>
        <v>4.4577291819556032E-2</v>
      </c>
      <c r="E53" s="114">
        <v>8</v>
      </c>
      <c r="F53" s="158" t="s">
        <v>30</v>
      </c>
      <c r="G53" s="114"/>
      <c r="H53" s="116"/>
      <c r="I53" s="159">
        <v>2</v>
      </c>
      <c r="J53" s="115">
        <f t="shared" si="2"/>
        <v>8.9154583639112064E-2</v>
      </c>
      <c r="K53" s="112"/>
      <c r="L53" s="112"/>
      <c r="M53" s="112"/>
      <c r="N53" s="46"/>
      <c r="O53" s="164"/>
    </row>
    <row r="54" spans="1:15" x14ac:dyDescent="0.25">
      <c r="A54" s="166">
        <v>80</v>
      </c>
      <c r="B54" s="114" t="s">
        <v>204</v>
      </c>
      <c r="C54" s="114" t="s">
        <v>211</v>
      </c>
      <c r="D54" s="157">
        <f>0.8/105154*E54*E54*G54*SQRT(G54)+(0.003*EXP(0.319*E54))</f>
        <v>0.11850487334396681</v>
      </c>
      <c r="E54" s="114">
        <v>8</v>
      </c>
      <c r="F54" s="158" t="s">
        <v>30</v>
      </c>
      <c r="G54" s="114">
        <v>30</v>
      </c>
      <c r="H54" s="116" t="s">
        <v>30</v>
      </c>
      <c r="I54" s="159">
        <v>2</v>
      </c>
      <c r="J54" s="115">
        <f t="shared" si="2"/>
        <v>0.23700974668793362</v>
      </c>
      <c r="K54" s="112"/>
      <c r="L54" s="112"/>
      <c r="M54" s="112"/>
      <c r="N54" s="46"/>
      <c r="O54" s="164"/>
    </row>
    <row r="55" spans="1:15" x14ac:dyDescent="0.25">
      <c r="A55" s="166">
        <v>90</v>
      </c>
      <c r="B55" s="114" t="s">
        <v>206</v>
      </c>
      <c r="C55" s="114" t="s">
        <v>211</v>
      </c>
      <c r="D55" s="157">
        <f>0.009*EXP(0.2*E55)</f>
        <v>4.4577291819556032E-2</v>
      </c>
      <c r="E55" s="114">
        <v>8</v>
      </c>
      <c r="F55" s="158" t="s">
        <v>30</v>
      </c>
      <c r="G55" s="114"/>
      <c r="H55" s="116"/>
      <c r="I55" s="159">
        <v>2</v>
      </c>
      <c r="J55" s="115">
        <f t="shared" si="2"/>
        <v>8.9154583639112064E-2</v>
      </c>
      <c r="K55" s="156"/>
      <c r="L55" s="112"/>
      <c r="M55" s="112"/>
      <c r="N55" s="46"/>
      <c r="O55" s="164"/>
    </row>
    <row r="56" spans="1:15" x14ac:dyDescent="0.25">
      <c r="A56" s="169"/>
      <c r="B56" s="19"/>
      <c r="C56" s="19"/>
      <c r="D56" s="19"/>
      <c r="E56" s="19"/>
      <c r="F56" s="19"/>
      <c r="G56" s="19"/>
      <c r="H56" s="19"/>
      <c r="I56" s="97" t="s">
        <v>18</v>
      </c>
      <c r="J56" s="98">
        <f>SUM(J47:J55)</f>
        <v>2.2673941819330707</v>
      </c>
      <c r="K56" s="46"/>
      <c r="L56" s="46"/>
      <c r="M56" s="46"/>
      <c r="N56" s="46"/>
      <c r="O56" s="164"/>
    </row>
    <row r="57" spans="1:15" x14ac:dyDescent="0.25">
      <c r="A57" s="16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164"/>
    </row>
    <row r="58" spans="1:15" x14ac:dyDescent="0.25">
      <c r="A58" s="163" t="s">
        <v>14</v>
      </c>
      <c r="B58" s="96" t="s">
        <v>37</v>
      </c>
      <c r="C58" s="96" t="s">
        <v>20</v>
      </c>
      <c r="D58" s="96" t="s">
        <v>21</v>
      </c>
      <c r="E58" s="96" t="s">
        <v>32</v>
      </c>
      <c r="F58" s="96" t="s">
        <v>17</v>
      </c>
      <c r="G58" s="96" t="s">
        <v>38</v>
      </c>
      <c r="H58" s="96" t="s">
        <v>39</v>
      </c>
      <c r="I58" s="96" t="s">
        <v>18</v>
      </c>
      <c r="J58" s="19"/>
      <c r="K58" s="46"/>
      <c r="L58" s="46"/>
      <c r="M58" s="46"/>
      <c r="N58" s="46"/>
      <c r="O58" s="164"/>
    </row>
    <row r="59" spans="1:15" x14ac:dyDescent="0.25">
      <c r="A59" s="172">
        <v>10</v>
      </c>
      <c r="B59" s="61" t="s">
        <v>40</v>
      </c>
      <c r="C59" s="61" t="s">
        <v>41</v>
      </c>
      <c r="D59" s="62">
        <v>500</v>
      </c>
      <c r="E59" s="61" t="s">
        <v>42</v>
      </c>
      <c r="F59" s="61">
        <v>30</v>
      </c>
      <c r="G59" s="61">
        <v>3000</v>
      </c>
      <c r="H59" s="61">
        <v>1</v>
      </c>
      <c r="I59" s="62">
        <f>D59*F59/G59*H59</f>
        <v>5</v>
      </c>
      <c r="J59" s="19"/>
      <c r="K59" s="46"/>
      <c r="L59" s="46"/>
      <c r="M59" s="46"/>
      <c r="N59" s="46"/>
      <c r="O59" s="164"/>
    </row>
    <row r="60" spans="1:15" x14ac:dyDescent="0.25">
      <c r="A60" s="169"/>
      <c r="B60" s="19"/>
      <c r="C60" s="19"/>
      <c r="D60" s="19"/>
      <c r="E60" s="19"/>
      <c r="F60" s="19"/>
      <c r="G60" s="19"/>
      <c r="H60" s="100" t="s">
        <v>18</v>
      </c>
      <c r="I60" s="101">
        <f>SUM(I59:I59)</f>
        <v>5</v>
      </c>
      <c r="J60" s="19"/>
      <c r="K60" s="46"/>
      <c r="L60" s="46"/>
      <c r="M60" s="46"/>
      <c r="N60" s="46"/>
      <c r="O60" s="164"/>
    </row>
    <row r="61" spans="1:15" ht="15.75" thickBot="1" x14ac:dyDescent="0.3">
      <c r="A61" s="173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5"/>
    </row>
    <row r="62" spans="1:15" x14ac:dyDescent="0.2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</row>
  </sheetData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  <pageSetUpPr fitToPage="1"/>
  </sheetPr>
  <dimension ref="A1:O41"/>
  <sheetViews>
    <sheetView zoomScale="70" zoomScaleNormal="70" workbookViewId="0">
      <selection activeCell="Q27" sqref="Q27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8" width="10.5703125"/>
    <col min="9" max="9" width="20" bestFit="1" customWidth="1"/>
    <col min="10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1"/>
    </row>
    <row r="2" spans="1:15" x14ac:dyDescent="0.25">
      <c r="A2" s="102" t="s">
        <v>0</v>
      </c>
      <c r="B2" s="127" t="s">
        <v>43</v>
      </c>
      <c r="C2" s="46"/>
      <c r="D2" s="46"/>
      <c r="E2" s="46"/>
      <c r="F2" s="46"/>
      <c r="G2" s="46" t="s">
        <v>120</v>
      </c>
      <c r="H2" s="46"/>
      <c r="I2" s="46"/>
      <c r="J2" s="103" t="s">
        <v>1</v>
      </c>
      <c r="K2" s="64">
        <v>81</v>
      </c>
      <c r="L2" s="46"/>
      <c r="M2" s="102" t="s">
        <v>16</v>
      </c>
      <c r="N2" s="62">
        <f>EN_0900_001_m+EN_0900_001_p+EN_0900_001_f</f>
        <v>112.52931553333677</v>
      </c>
      <c r="O2" s="52"/>
    </row>
    <row r="3" spans="1:15" x14ac:dyDescent="0.25">
      <c r="A3" s="102" t="s">
        <v>3</v>
      </c>
      <c r="B3" s="127" t="s">
        <v>135</v>
      </c>
      <c r="C3" s="46"/>
      <c r="D3" s="102" t="s">
        <v>6</v>
      </c>
      <c r="E3" t="s">
        <v>91</v>
      </c>
      <c r="F3" s="46"/>
      <c r="G3" s="46"/>
      <c r="H3" s="46"/>
      <c r="I3" s="46"/>
      <c r="J3" s="46"/>
      <c r="K3" s="46"/>
      <c r="L3" s="46"/>
      <c r="M3" s="102" t="s">
        <v>4</v>
      </c>
      <c r="N3" s="63">
        <v>1</v>
      </c>
      <c r="O3" s="52"/>
    </row>
    <row r="4" spans="1:15" x14ac:dyDescent="0.25">
      <c r="A4" s="102" t="s">
        <v>5</v>
      </c>
      <c r="B4" t="s">
        <v>136</v>
      </c>
      <c r="C4" s="46"/>
      <c r="D4" s="102" t="s">
        <v>8</v>
      </c>
      <c r="E4" s="46"/>
      <c r="F4" s="46"/>
      <c r="G4" s="46"/>
      <c r="H4" s="46"/>
      <c r="I4" s="46"/>
      <c r="J4" s="104" t="s">
        <v>6</v>
      </c>
      <c r="K4" s="46"/>
      <c r="L4" s="46"/>
      <c r="M4" s="46"/>
      <c r="N4" s="46"/>
      <c r="O4" s="52"/>
    </row>
    <row r="5" spans="1:15" x14ac:dyDescent="0.25">
      <c r="A5" s="102" t="s">
        <v>15</v>
      </c>
      <c r="B5" s="112" t="s">
        <v>138</v>
      </c>
      <c r="C5" s="46"/>
      <c r="D5" s="102" t="s">
        <v>12</v>
      </c>
      <c r="E5" s="46"/>
      <c r="F5" s="46"/>
      <c r="G5" s="46"/>
      <c r="H5" s="46"/>
      <c r="I5" s="46"/>
      <c r="J5" s="104" t="s">
        <v>8</v>
      </c>
      <c r="K5" s="46"/>
      <c r="L5" s="46"/>
      <c r="M5" s="102" t="s">
        <v>9</v>
      </c>
      <c r="N5" s="62">
        <f>N3*N2</f>
        <v>112.52931553333677</v>
      </c>
      <c r="O5" s="52"/>
    </row>
    <row r="6" spans="1:15" x14ac:dyDescent="0.25">
      <c r="A6" s="102" t="s">
        <v>7</v>
      </c>
      <c r="B6" s="128" t="s">
        <v>159</v>
      </c>
      <c r="C6" s="46"/>
      <c r="D6" s="46"/>
      <c r="E6" s="46"/>
      <c r="F6" s="46"/>
      <c r="G6" s="46"/>
      <c r="H6" s="46"/>
      <c r="I6" s="46"/>
      <c r="J6" s="104" t="s">
        <v>12</v>
      </c>
      <c r="K6" s="46"/>
      <c r="L6" s="46"/>
      <c r="M6" s="46"/>
      <c r="N6" s="46"/>
      <c r="O6" s="52"/>
    </row>
    <row r="7" spans="1:15" x14ac:dyDescent="0.25">
      <c r="A7" s="102" t="s">
        <v>10</v>
      </c>
      <c r="B7" s="127" t="s">
        <v>11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52"/>
    </row>
    <row r="8" spans="1:15" x14ac:dyDescent="0.25">
      <c r="A8" s="102" t="s">
        <v>13</v>
      </c>
      <c r="B8" s="112" t="s">
        <v>154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52"/>
    </row>
    <row r="9" spans="1:15" x14ac:dyDescent="0.25">
      <c r="A9" s="65"/>
      <c r="B9" s="22"/>
      <c r="C9" s="22"/>
      <c r="D9" s="22"/>
      <c r="E9" s="22"/>
      <c r="F9" s="46"/>
      <c r="G9" s="46"/>
      <c r="H9" s="46"/>
      <c r="I9" s="46"/>
      <c r="J9" s="46"/>
      <c r="K9" s="46"/>
      <c r="L9" s="46"/>
      <c r="M9" s="46"/>
      <c r="N9" s="46"/>
      <c r="O9" s="52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09" t="s">
        <v>23</v>
      </c>
      <c r="G10" s="109" t="s">
        <v>24</v>
      </c>
      <c r="H10" s="109" t="s">
        <v>25</v>
      </c>
      <c r="I10" s="109" t="s">
        <v>26</v>
      </c>
      <c r="J10" s="109" t="s">
        <v>27</v>
      </c>
      <c r="K10" s="109" t="s">
        <v>28</v>
      </c>
      <c r="L10" s="109" t="s">
        <v>29</v>
      </c>
      <c r="M10" s="109" t="s">
        <v>17</v>
      </c>
      <c r="N10" s="109" t="s">
        <v>18</v>
      </c>
      <c r="O10" s="52"/>
    </row>
    <row r="11" spans="1:15" s="17" customFormat="1" x14ac:dyDescent="0.25">
      <c r="A11" s="139">
        <v>10</v>
      </c>
      <c r="B11" s="140" t="s">
        <v>155</v>
      </c>
      <c r="C11" s="140"/>
      <c r="D11" s="141">
        <v>4.2</v>
      </c>
      <c r="E11" s="142">
        <f>J11*K11*L11</f>
        <v>1.905804558171124</v>
      </c>
      <c r="F11" s="140" t="s">
        <v>156</v>
      </c>
      <c r="G11" s="140"/>
      <c r="H11" s="143"/>
      <c r="I11" s="144" t="s">
        <v>157</v>
      </c>
      <c r="J11" s="144">
        <f>PI()*51*51/1000000</f>
        <v>8.171282491987052E-3</v>
      </c>
      <c r="K11" s="145">
        <v>8.5999999999999993E-2</v>
      </c>
      <c r="L11" s="146">
        <v>2712</v>
      </c>
      <c r="M11" s="146">
        <v>1</v>
      </c>
      <c r="N11" s="141">
        <f>D11*J11*K11*L11*M11</f>
        <v>8.0043791443187207</v>
      </c>
      <c r="O11" s="55"/>
    </row>
    <row r="12" spans="1:15" s="17" customFormat="1" x14ac:dyDescent="0.25">
      <c r="A12" s="139">
        <v>20</v>
      </c>
      <c r="B12" s="140" t="s">
        <v>155</v>
      </c>
      <c r="C12" s="140"/>
      <c r="D12" s="141">
        <v>4.2</v>
      </c>
      <c r="E12" s="142">
        <f>J12*K12*L12</f>
        <v>1.3961126414509397</v>
      </c>
      <c r="F12" s="140" t="s">
        <v>156</v>
      </c>
      <c r="G12" s="140"/>
      <c r="H12" s="143"/>
      <c r="I12" s="144" t="s">
        <v>157</v>
      </c>
      <c r="J12" s="144">
        <f>PI()*51*51/1000000</f>
        <v>8.171282491987052E-3</v>
      </c>
      <c r="K12" s="145">
        <v>6.3E-2</v>
      </c>
      <c r="L12" s="146">
        <v>2712</v>
      </c>
      <c r="M12" s="146">
        <v>1</v>
      </c>
      <c r="N12" s="141">
        <f>D12*J12*K12*L12*M12</f>
        <v>5.8636730940939472</v>
      </c>
      <c r="O12" s="55"/>
    </row>
    <row r="13" spans="1:15" s="17" customFormat="1" x14ac:dyDescent="0.25">
      <c r="A13" s="139">
        <v>30</v>
      </c>
      <c r="B13" s="140" t="s">
        <v>155</v>
      </c>
      <c r="C13" s="140"/>
      <c r="D13" s="141">
        <v>4.2</v>
      </c>
      <c r="E13" s="142">
        <f>J13*K13*L13</f>
        <v>1.7728414494615108</v>
      </c>
      <c r="F13" s="140" t="s">
        <v>156</v>
      </c>
      <c r="G13" s="140"/>
      <c r="H13" s="143"/>
      <c r="I13" s="147" t="s">
        <v>157</v>
      </c>
      <c r="J13" s="144">
        <f>PI()*51*51/1000000</f>
        <v>8.171282491987052E-3</v>
      </c>
      <c r="K13" s="145">
        <v>0.08</v>
      </c>
      <c r="L13" s="146">
        <v>2712</v>
      </c>
      <c r="M13" s="146">
        <v>1</v>
      </c>
      <c r="N13" s="141">
        <f>D13*J13*K13*L13*M13</f>
        <v>7.4459340877383466</v>
      </c>
      <c r="O13" s="55"/>
    </row>
    <row r="14" spans="1:15" s="17" customFormat="1" x14ac:dyDescent="0.25">
      <c r="A14" s="139">
        <v>40</v>
      </c>
      <c r="B14" s="140" t="s">
        <v>158</v>
      </c>
      <c r="C14" s="140"/>
      <c r="D14" s="141">
        <v>0.05</v>
      </c>
      <c r="E14" s="140"/>
      <c r="F14" s="140" t="s">
        <v>35</v>
      </c>
      <c r="G14" s="140"/>
      <c r="H14" s="143"/>
      <c r="I14" s="147"/>
      <c r="J14" s="148"/>
      <c r="K14" s="145"/>
      <c r="L14" s="146"/>
      <c r="M14" s="146">
        <v>2</v>
      </c>
      <c r="N14" s="141">
        <f>M14*D14</f>
        <v>0.1</v>
      </c>
      <c r="O14" s="55"/>
    </row>
    <row r="15" spans="1:15" s="17" customFormat="1" x14ac:dyDescent="0.25">
      <c r="A15" s="129"/>
      <c r="B15" s="130"/>
      <c r="C15" s="131"/>
      <c r="D15" s="132"/>
      <c r="E15" s="131"/>
      <c r="F15" s="131"/>
      <c r="G15" s="131"/>
      <c r="H15" s="133"/>
      <c r="I15" s="134"/>
      <c r="J15" s="135"/>
      <c r="K15" s="136"/>
      <c r="L15" s="137"/>
      <c r="M15" s="18"/>
      <c r="N15" s="138"/>
      <c r="O15" s="55"/>
    </row>
    <row r="16" spans="1:15" x14ac:dyDescent="0.25">
      <c r="A16" s="56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05" t="s">
        <v>18</v>
      </c>
      <c r="N16" s="106">
        <f>SUM(N11:N11)</f>
        <v>8.0043791443187207</v>
      </c>
      <c r="O16" s="52"/>
    </row>
    <row r="17" spans="1:15" x14ac:dyDescent="0.25">
      <c r="A17" s="53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52"/>
    </row>
    <row r="18" spans="1:15" x14ac:dyDescent="0.25">
      <c r="A18" s="110" t="s">
        <v>14</v>
      </c>
      <c r="B18" s="109" t="s">
        <v>31</v>
      </c>
      <c r="C18" s="109" t="s">
        <v>20</v>
      </c>
      <c r="D18" s="109" t="s">
        <v>21</v>
      </c>
      <c r="E18" s="109" t="s">
        <v>32</v>
      </c>
      <c r="F18" s="109" t="s">
        <v>17</v>
      </c>
      <c r="G18" s="109" t="s">
        <v>33</v>
      </c>
      <c r="H18" s="109" t="s">
        <v>34</v>
      </c>
      <c r="I18" s="109" t="s">
        <v>18</v>
      </c>
      <c r="J18" s="19"/>
      <c r="K18" s="19"/>
      <c r="L18" s="19"/>
      <c r="M18" s="19"/>
      <c r="N18" s="19"/>
      <c r="O18" s="52"/>
    </row>
    <row r="19" spans="1:15" s="20" customFormat="1" x14ac:dyDescent="0.25">
      <c r="A19" s="139">
        <v>10</v>
      </c>
      <c r="B19" s="149" t="s">
        <v>44</v>
      </c>
      <c r="C19" s="140" t="s">
        <v>161</v>
      </c>
      <c r="D19" s="141">
        <v>1.3</v>
      </c>
      <c r="E19" s="140" t="s">
        <v>35</v>
      </c>
      <c r="F19" s="140">
        <v>1</v>
      </c>
      <c r="G19" s="140"/>
      <c r="H19" s="140">
        <v>1</v>
      </c>
      <c r="I19" s="150">
        <f t="shared" ref="I19:I32" si="0">H19*F19*D19</f>
        <v>1.3</v>
      </c>
      <c r="J19" s="48"/>
      <c r="K19" s="48"/>
      <c r="L19" s="48"/>
      <c r="M19" s="48"/>
      <c r="N19" s="48"/>
      <c r="O19" s="57"/>
    </row>
    <row r="20" spans="1:15" s="20" customFormat="1" x14ac:dyDescent="0.25">
      <c r="A20" s="139">
        <v>20</v>
      </c>
      <c r="B20" s="149" t="s">
        <v>162</v>
      </c>
      <c r="C20" s="140" t="s">
        <v>162</v>
      </c>
      <c r="D20" s="141">
        <v>0.04</v>
      </c>
      <c r="E20" s="140" t="s">
        <v>163</v>
      </c>
      <c r="F20" s="140">
        <v>623</v>
      </c>
      <c r="G20" s="140" t="s">
        <v>164</v>
      </c>
      <c r="H20" s="140">
        <v>1</v>
      </c>
      <c r="I20" s="150">
        <f t="shared" si="0"/>
        <v>24.92</v>
      </c>
      <c r="J20" s="48"/>
      <c r="K20" s="48"/>
      <c r="L20" s="48"/>
      <c r="M20" s="48"/>
      <c r="N20" s="48"/>
      <c r="O20" s="57"/>
    </row>
    <row r="21" spans="1:15" s="20" customFormat="1" x14ac:dyDescent="0.25">
      <c r="A21" s="139">
        <v>30</v>
      </c>
      <c r="B21" s="149" t="s">
        <v>165</v>
      </c>
      <c r="C21" s="140" t="s">
        <v>166</v>
      </c>
      <c r="D21" s="141">
        <v>0.35</v>
      </c>
      <c r="E21" s="140" t="s">
        <v>167</v>
      </c>
      <c r="F21" s="140">
        <v>24</v>
      </c>
      <c r="G21" s="140"/>
      <c r="H21" s="140">
        <v>1</v>
      </c>
      <c r="I21" s="150">
        <f t="shared" si="0"/>
        <v>8.3999999999999986</v>
      </c>
      <c r="J21" s="48"/>
      <c r="K21" s="48"/>
      <c r="L21" s="48"/>
      <c r="M21" s="48"/>
      <c r="N21" s="48"/>
      <c r="O21" s="57"/>
    </row>
    <row r="22" spans="1:15" s="20" customFormat="1" x14ac:dyDescent="0.25">
      <c r="A22" s="139">
        <v>40</v>
      </c>
      <c r="B22" s="149" t="s">
        <v>165</v>
      </c>
      <c r="C22" s="140" t="s">
        <v>168</v>
      </c>
      <c r="D22" s="141">
        <v>0.35</v>
      </c>
      <c r="E22" s="140" t="s">
        <v>167</v>
      </c>
      <c r="F22" s="140">
        <v>3</v>
      </c>
      <c r="G22" s="140"/>
      <c r="H22" s="140">
        <v>1</v>
      </c>
      <c r="I22" s="150">
        <f t="shared" si="0"/>
        <v>1.0499999999999998</v>
      </c>
      <c r="J22" s="48"/>
      <c r="K22" s="48"/>
      <c r="L22" s="48"/>
      <c r="M22" s="48"/>
      <c r="N22" s="48"/>
      <c r="O22" s="57"/>
    </row>
    <row r="23" spans="1:15" s="20" customFormat="1" x14ac:dyDescent="0.25">
      <c r="A23" s="139">
        <v>50</v>
      </c>
      <c r="B23" s="149" t="s">
        <v>44</v>
      </c>
      <c r="C23" s="140" t="s">
        <v>161</v>
      </c>
      <c r="D23" s="141">
        <v>1.3</v>
      </c>
      <c r="E23" s="140" t="s">
        <v>35</v>
      </c>
      <c r="F23" s="140">
        <v>1</v>
      </c>
      <c r="G23" s="140"/>
      <c r="H23" s="140">
        <v>1</v>
      </c>
      <c r="I23" s="150">
        <f t="shared" si="0"/>
        <v>1.3</v>
      </c>
      <c r="J23" s="48"/>
      <c r="K23" s="48"/>
      <c r="L23" s="48"/>
      <c r="M23" s="48"/>
      <c r="N23" s="48"/>
      <c r="O23" s="57"/>
    </row>
    <row r="24" spans="1:15" s="20" customFormat="1" x14ac:dyDescent="0.25">
      <c r="A24" s="139">
        <v>60</v>
      </c>
      <c r="B24" s="149" t="s">
        <v>162</v>
      </c>
      <c r="C24" s="140" t="s">
        <v>162</v>
      </c>
      <c r="D24" s="141">
        <v>0.04</v>
      </c>
      <c r="E24" s="140" t="s">
        <v>163</v>
      </c>
      <c r="F24" s="140">
        <v>426</v>
      </c>
      <c r="G24" s="140" t="s">
        <v>164</v>
      </c>
      <c r="H24" s="140">
        <v>1</v>
      </c>
      <c r="I24" s="150">
        <f t="shared" si="0"/>
        <v>17.04</v>
      </c>
      <c r="J24" s="48"/>
      <c r="K24" s="48"/>
      <c r="L24" s="48"/>
      <c r="M24" s="48"/>
      <c r="N24" s="48"/>
      <c r="O24" s="57"/>
    </row>
    <row r="25" spans="1:15" s="20" customFormat="1" x14ac:dyDescent="0.25">
      <c r="A25" s="139">
        <v>70</v>
      </c>
      <c r="B25" s="151" t="s">
        <v>169</v>
      </c>
      <c r="C25" s="140" t="s">
        <v>170</v>
      </c>
      <c r="D25" s="141">
        <v>0.35</v>
      </c>
      <c r="E25" s="140" t="s">
        <v>167</v>
      </c>
      <c r="F25" s="140">
        <v>12</v>
      </c>
      <c r="G25" s="140"/>
      <c r="H25" s="140">
        <v>1</v>
      </c>
      <c r="I25" s="150">
        <f t="shared" si="0"/>
        <v>4.1999999999999993</v>
      </c>
      <c r="J25" s="48"/>
      <c r="K25" s="48"/>
      <c r="L25" s="48"/>
      <c r="M25" s="48"/>
      <c r="N25" s="48"/>
      <c r="O25" s="57"/>
    </row>
    <row r="26" spans="1:15" s="20" customFormat="1" x14ac:dyDescent="0.25">
      <c r="A26" s="139">
        <v>80</v>
      </c>
      <c r="B26" s="151" t="s">
        <v>171</v>
      </c>
      <c r="C26" s="140" t="s">
        <v>172</v>
      </c>
      <c r="D26" s="141">
        <v>0.5</v>
      </c>
      <c r="E26" s="140" t="s">
        <v>46</v>
      </c>
      <c r="F26" s="140">
        <v>3.5</v>
      </c>
      <c r="G26" s="140"/>
      <c r="H26" s="140">
        <v>1</v>
      </c>
      <c r="I26" s="150">
        <f t="shared" si="0"/>
        <v>1.75</v>
      </c>
      <c r="J26" s="48"/>
      <c r="K26" s="48"/>
      <c r="L26" s="48"/>
      <c r="M26" s="48"/>
      <c r="N26" s="48"/>
      <c r="O26" s="57"/>
    </row>
    <row r="27" spans="1:15" s="20" customFormat="1" x14ac:dyDescent="0.25">
      <c r="A27" s="139">
        <v>90</v>
      </c>
      <c r="B27" s="149" t="s">
        <v>44</v>
      </c>
      <c r="C27" s="140" t="s">
        <v>161</v>
      </c>
      <c r="D27" s="141">
        <v>1.3</v>
      </c>
      <c r="E27" s="140" t="s">
        <v>35</v>
      </c>
      <c r="F27" s="140">
        <v>1</v>
      </c>
      <c r="G27" s="140"/>
      <c r="H27" s="140">
        <v>1</v>
      </c>
      <c r="I27" s="150">
        <f t="shared" si="0"/>
        <v>1.3</v>
      </c>
      <c r="J27" s="48"/>
      <c r="K27" s="48"/>
      <c r="L27" s="48"/>
      <c r="M27" s="48"/>
      <c r="N27" s="48"/>
      <c r="O27" s="57"/>
    </row>
    <row r="28" spans="1:15" s="20" customFormat="1" x14ac:dyDescent="0.25">
      <c r="A28" s="139">
        <v>100</v>
      </c>
      <c r="B28" s="149" t="s">
        <v>162</v>
      </c>
      <c r="C28" s="140" t="s">
        <v>162</v>
      </c>
      <c r="D28" s="141">
        <v>0.04</v>
      </c>
      <c r="E28" s="140" t="s">
        <v>163</v>
      </c>
      <c r="F28" s="140">
        <v>538</v>
      </c>
      <c r="G28" s="140" t="s">
        <v>164</v>
      </c>
      <c r="H28" s="140">
        <v>1</v>
      </c>
      <c r="I28" s="150">
        <f t="shared" si="0"/>
        <v>21.52</v>
      </c>
      <c r="J28" s="48"/>
      <c r="K28" s="48"/>
      <c r="L28" s="48"/>
      <c r="M28" s="48"/>
      <c r="N28" s="48"/>
      <c r="O28" s="57"/>
    </row>
    <row r="29" spans="1:15" s="20" customFormat="1" x14ac:dyDescent="0.25">
      <c r="A29" s="139">
        <v>110</v>
      </c>
      <c r="B29" s="151" t="s">
        <v>169</v>
      </c>
      <c r="C29" s="140" t="s">
        <v>173</v>
      </c>
      <c r="D29" s="141">
        <v>0.35</v>
      </c>
      <c r="E29" s="140" t="s">
        <v>167</v>
      </c>
      <c r="F29" s="140">
        <v>12</v>
      </c>
      <c r="G29" s="140"/>
      <c r="H29" s="140">
        <v>1</v>
      </c>
      <c r="I29" s="150">
        <f t="shared" si="0"/>
        <v>4.1999999999999993</v>
      </c>
      <c r="J29" s="48"/>
      <c r="K29" s="48"/>
      <c r="L29" s="48"/>
      <c r="M29" s="48"/>
      <c r="N29" s="48"/>
      <c r="O29" s="57"/>
    </row>
    <row r="30" spans="1:15" s="20" customFormat="1" x14ac:dyDescent="0.25">
      <c r="A30" s="139">
        <v>120</v>
      </c>
      <c r="B30" s="151" t="s">
        <v>174</v>
      </c>
      <c r="C30" s="140" t="s">
        <v>175</v>
      </c>
      <c r="D30" s="141">
        <v>0.13</v>
      </c>
      <c r="E30" s="140" t="s">
        <v>35</v>
      </c>
      <c r="F30" s="140">
        <v>2</v>
      </c>
      <c r="G30" s="140"/>
      <c r="H30" s="140">
        <v>1</v>
      </c>
      <c r="I30" s="150">
        <f t="shared" si="0"/>
        <v>0.26</v>
      </c>
      <c r="J30" s="48"/>
      <c r="K30" s="48"/>
      <c r="L30" s="48"/>
      <c r="M30" s="48"/>
      <c r="N30" s="48"/>
      <c r="O30" s="57"/>
    </row>
    <row r="31" spans="1:15" x14ac:dyDescent="0.25">
      <c r="A31" s="139">
        <v>130</v>
      </c>
      <c r="B31" s="151" t="s">
        <v>176</v>
      </c>
      <c r="C31" s="140" t="s">
        <v>175</v>
      </c>
      <c r="D31" s="141">
        <v>0.5</v>
      </c>
      <c r="E31" s="140" t="s">
        <v>35</v>
      </c>
      <c r="F31" s="140">
        <v>24</v>
      </c>
      <c r="G31" s="140"/>
      <c r="H31" s="140">
        <v>1</v>
      </c>
      <c r="I31" s="150">
        <f t="shared" si="0"/>
        <v>12</v>
      </c>
      <c r="J31" s="46"/>
      <c r="L31" s="46"/>
      <c r="M31" s="46"/>
      <c r="N31" s="46"/>
      <c r="O31" s="52"/>
    </row>
    <row r="32" spans="1:15" s="16" customFormat="1" x14ac:dyDescent="0.25">
      <c r="A32" s="139">
        <v>140</v>
      </c>
      <c r="B32" s="151" t="s">
        <v>177</v>
      </c>
      <c r="C32" s="140" t="s">
        <v>178</v>
      </c>
      <c r="D32" s="141">
        <v>0.75</v>
      </c>
      <c r="E32" s="140" t="s">
        <v>35</v>
      </c>
      <c r="F32" s="140">
        <v>3</v>
      </c>
      <c r="G32" s="140"/>
      <c r="H32" s="140">
        <v>1</v>
      </c>
      <c r="I32" s="150">
        <f t="shared" si="0"/>
        <v>2.25</v>
      </c>
      <c r="J32" s="47"/>
      <c r="K32" s="47"/>
      <c r="L32" s="47"/>
      <c r="M32" s="47"/>
      <c r="N32" s="47"/>
      <c r="O32" s="54"/>
    </row>
    <row r="33" spans="1:15" x14ac:dyDescent="0.25">
      <c r="A33" s="56"/>
      <c r="B33" s="19"/>
      <c r="C33" s="19"/>
      <c r="D33" s="19"/>
      <c r="E33" s="19"/>
      <c r="F33" s="19"/>
      <c r="G33" s="19"/>
      <c r="H33" s="111" t="s">
        <v>18</v>
      </c>
      <c r="I33" s="106">
        <f>SUM(I19:I32)</f>
        <v>101.49</v>
      </c>
      <c r="J33" s="19"/>
      <c r="K33" s="19"/>
      <c r="L33" s="19"/>
      <c r="M33" s="19"/>
      <c r="N33" s="19"/>
      <c r="O33" s="52"/>
    </row>
    <row r="34" spans="1:15" x14ac:dyDescent="0.25">
      <c r="A34" s="53"/>
      <c r="B34" s="46"/>
      <c r="C34" s="46"/>
      <c r="D34" s="46"/>
      <c r="E34" s="46"/>
      <c r="F34" s="46"/>
      <c r="G34" s="46"/>
      <c r="H34" s="46"/>
      <c r="I34" s="47"/>
      <c r="J34" s="46"/>
      <c r="K34" s="46"/>
      <c r="L34" s="46"/>
      <c r="M34" s="46"/>
      <c r="N34" s="46"/>
      <c r="O34" s="52"/>
    </row>
    <row r="35" spans="1:15" x14ac:dyDescent="0.25">
      <c r="A35" s="110" t="s">
        <v>14</v>
      </c>
      <c r="B35" s="109" t="s">
        <v>36</v>
      </c>
      <c r="C35" s="109" t="s">
        <v>20</v>
      </c>
      <c r="D35" s="109" t="s">
        <v>21</v>
      </c>
      <c r="E35" s="109" t="s">
        <v>22</v>
      </c>
      <c r="F35" s="109" t="s">
        <v>23</v>
      </c>
      <c r="G35" s="109" t="s">
        <v>24</v>
      </c>
      <c r="H35" s="109" t="s">
        <v>25</v>
      </c>
      <c r="I35" s="109" t="s">
        <v>17</v>
      </c>
      <c r="J35" s="109" t="s">
        <v>18</v>
      </c>
      <c r="K35" s="46"/>
      <c r="L35" s="46"/>
      <c r="M35" s="46"/>
      <c r="N35" s="46"/>
      <c r="O35" s="52"/>
    </row>
    <row r="36" spans="1:15" x14ac:dyDescent="0.25">
      <c r="A36" s="149">
        <v>10</v>
      </c>
      <c r="B36" s="126" t="s">
        <v>179</v>
      </c>
      <c r="C36" s="149" t="s">
        <v>180</v>
      </c>
      <c r="D36" s="152">
        <f>1.25/105154*E36*E36*G36*SQRT(G36)+0.005*EXP(0.319*E36)</f>
        <v>5.6317842209943889E-2</v>
      </c>
      <c r="E36" s="149">
        <v>6</v>
      </c>
      <c r="F36" s="153" t="s">
        <v>30</v>
      </c>
      <c r="G36" s="149">
        <v>14</v>
      </c>
      <c r="H36" s="149" t="s">
        <v>30</v>
      </c>
      <c r="I36" s="154">
        <v>24</v>
      </c>
      <c r="J36" s="155">
        <f>I36*D36</f>
        <v>1.3516282130386532</v>
      </c>
      <c r="K36" s="46"/>
      <c r="L36" s="46"/>
      <c r="M36" s="46"/>
      <c r="N36" s="46"/>
      <c r="O36" s="52"/>
    </row>
    <row r="37" spans="1:15" x14ac:dyDescent="0.25">
      <c r="A37" s="149">
        <v>20</v>
      </c>
      <c r="B37" s="126" t="s">
        <v>181</v>
      </c>
      <c r="C37" s="149"/>
      <c r="D37" s="152">
        <v>0.02</v>
      </c>
      <c r="E37" s="149"/>
      <c r="F37" s="153" t="s">
        <v>35</v>
      </c>
      <c r="G37" s="149"/>
      <c r="H37" s="149"/>
      <c r="I37" s="154">
        <v>24</v>
      </c>
      <c r="J37" s="155">
        <f>I37*D37</f>
        <v>0.48</v>
      </c>
      <c r="K37" s="46"/>
      <c r="L37" s="46"/>
      <c r="M37" s="46"/>
      <c r="N37" s="46"/>
      <c r="O37" s="52"/>
    </row>
    <row r="38" spans="1:15" x14ac:dyDescent="0.25">
      <c r="A38" s="149">
        <v>30</v>
      </c>
      <c r="B38" s="126" t="s">
        <v>182</v>
      </c>
      <c r="C38" s="149"/>
      <c r="D38" s="152">
        <f>1/105154*E38*E38*G38*SQRT(G38)+0.004*EXP(0.319*E38)</f>
        <v>6.5102725326469366E-2</v>
      </c>
      <c r="E38" s="149">
        <v>8</v>
      </c>
      <c r="F38" s="153" t="s">
        <v>30</v>
      </c>
      <c r="G38" s="149">
        <v>8</v>
      </c>
      <c r="H38" s="149" t="s">
        <v>30</v>
      </c>
      <c r="I38" s="154">
        <v>3</v>
      </c>
      <c r="J38" s="155">
        <f>I38*D38</f>
        <v>0.19530817597940808</v>
      </c>
      <c r="K38" s="46"/>
      <c r="L38" s="46"/>
      <c r="M38" s="46"/>
      <c r="N38" s="46"/>
      <c r="O38" s="52"/>
    </row>
    <row r="39" spans="1:15" x14ac:dyDescent="0.25">
      <c r="A39" s="149">
        <v>40</v>
      </c>
      <c r="B39" s="126" t="s">
        <v>183</v>
      </c>
      <c r="C39" s="149"/>
      <c r="D39" s="152">
        <v>0.33600000000000002</v>
      </c>
      <c r="E39" s="149">
        <v>8</v>
      </c>
      <c r="F39" s="153" t="s">
        <v>30</v>
      </c>
      <c r="G39" s="149"/>
      <c r="H39" s="149"/>
      <c r="I39" s="154">
        <v>3</v>
      </c>
      <c r="J39" s="155">
        <f>I39*D39</f>
        <v>1.008</v>
      </c>
      <c r="K39" s="46"/>
      <c r="L39" s="46"/>
      <c r="M39" s="46"/>
      <c r="N39" s="46"/>
      <c r="O39" s="52"/>
    </row>
    <row r="40" spans="1:15" x14ac:dyDescent="0.25">
      <c r="A40" s="56"/>
      <c r="B40" s="19"/>
      <c r="C40" s="19"/>
      <c r="D40" s="19"/>
      <c r="E40" s="19"/>
      <c r="F40" s="19"/>
      <c r="G40" s="19"/>
      <c r="H40" s="19"/>
      <c r="I40" s="111" t="s">
        <v>18</v>
      </c>
      <c r="J40" s="106">
        <f>SUM(J36:J39)</f>
        <v>3.0349363890180614</v>
      </c>
      <c r="K40" s="46"/>
      <c r="L40" s="46"/>
      <c r="M40" s="46"/>
      <c r="N40" s="46"/>
      <c r="O40" s="52"/>
    </row>
    <row r="41" spans="1:15" ht="15.75" thickBot="1" x14ac:dyDescent="0.3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60"/>
    </row>
  </sheetData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41" max="16383" man="1"/>
    <brk id="7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AAA1-2CA2-4999-A56B-F4E826ADD4A0}">
  <sheetPr>
    <tabColor theme="6" tint="0.39997558519241921"/>
  </sheetPr>
  <dimension ref="A1:O26"/>
  <sheetViews>
    <sheetView workbookViewId="0">
      <selection activeCell="G6" sqref="G6"/>
    </sheetView>
  </sheetViews>
  <sheetFormatPr baseColWidth="10" defaultRowHeight="15" x14ac:dyDescent="0.25"/>
  <cols>
    <col min="2" max="2" width="33.7109375" bestFit="1" customWidth="1"/>
    <col min="3" max="3" width="22.7109375" bestFit="1" customWidth="1"/>
  </cols>
  <sheetData>
    <row r="1" spans="1:15" x14ac:dyDescent="0.2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</row>
    <row r="2" spans="1:15" x14ac:dyDescent="0.25">
      <c r="A2" s="180" t="s">
        <v>0</v>
      </c>
      <c r="B2" s="181" t="s">
        <v>43</v>
      </c>
      <c r="C2" s="46"/>
      <c r="D2" s="46"/>
      <c r="E2" s="46"/>
      <c r="F2" s="46"/>
      <c r="G2" s="46" t="s">
        <v>120</v>
      </c>
      <c r="H2" s="46"/>
      <c r="I2" s="46"/>
      <c r="J2" s="103" t="s">
        <v>1</v>
      </c>
      <c r="K2" s="64">
        <v>81</v>
      </c>
      <c r="L2" s="46"/>
      <c r="M2" s="102" t="s">
        <v>16</v>
      </c>
      <c r="N2" s="62">
        <f>EN_0900_002_m+EN_0900_002_p</f>
        <v>10.904564699673662</v>
      </c>
      <c r="O2" s="164"/>
    </row>
    <row r="3" spans="1:15" x14ac:dyDescent="0.25">
      <c r="A3" s="182" t="s">
        <v>3</v>
      </c>
      <c r="B3" s="181" t="s">
        <v>135</v>
      </c>
      <c r="C3" s="46"/>
      <c r="D3" s="223" t="s">
        <v>6</v>
      </c>
      <c r="E3" s="46" t="s">
        <v>91</v>
      </c>
      <c r="F3" s="46"/>
      <c r="G3" s="46"/>
      <c r="H3" s="46"/>
      <c r="I3" s="46"/>
      <c r="J3" s="46"/>
      <c r="K3" s="46"/>
      <c r="L3" s="46"/>
      <c r="M3" s="102" t="s">
        <v>4</v>
      </c>
      <c r="N3" s="63">
        <v>1</v>
      </c>
      <c r="O3" s="164"/>
    </row>
    <row r="4" spans="1:15" x14ac:dyDescent="0.25">
      <c r="A4" s="183" t="s">
        <v>5</v>
      </c>
      <c r="B4" s="46" t="s">
        <v>136</v>
      </c>
      <c r="C4" s="46"/>
      <c r="D4" s="102" t="s">
        <v>8</v>
      </c>
      <c r="E4" s="46"/>
      <c r="F4" s="46"/>
      <c r="G4" s="46"/>
      <c r="H4" s="46"/>
      <c r="I4" s="46"/>
      <c r="J4" s="104" t="s">
        <v>6</v>
      </c>
      <c r="K4" s="46"/>
      <c r="L4" s="46"/>
      <c r="M4" s="46"/>
      <c r="N4" s="46"/>
      <c r="O4" s="164"/>
    </row>
    <row r="5" spans="1:15" x14ac:dyDescent="0.25">
      <c r="A5" s="183" t="s">
        <v>15</v>
      </c>
      <c r="B5" s="46" t="s">
        <v>140</v>
      </c>
      <c r="C5" s="46"/>
      <c r="D5" s="102" t="s">
        <v>12</v>
      </c>
      <c r="E5" s="46"/>
      <c r="F5" s="46"/>
      <c r="G5" s="46"/>
      <c r="H5" s="46"/>
      <c r="I5" s="46"/>
      <c r="J5" s="104" t="s">
        <v>8</v>
      </c>
      <c r="K5" s="46"/>
      <c r="L5" s="46"/>
      <c r="M5" s="102" t="s">
        <v>9</v>
      </c>
      <c r="N5" s="62">
        <f>N3*N2</f>
        <v>10.904564699673662</v>
      </c>
      <c r="O5" s="164"/>
    </row>
    <row r="6" spans="1:15" x14ac:dyDescent="0.25">
      <c r="A6" s="183" t="s">
        <v>7</v>
      </c>
      <c r="B6" s="176" t="s">
        <v>212</v>
      </c>
      <c r="C6" s="46"/>
      <c r="D6" s="46"/>
      <c r="E6" s="46"/>
      <c r="F6" s="46"/>
      <c r="G6" s="46"/>
      <c r="H6" s="46"/>
      <c r="I6" s="46"/>
      <c r="J6" s="104" t="s">
        <v>12</v>
      </c>
      <c r="K6" s="46"/>
      <c r="L6" s="46"/>
      <c r="M6" s="46"/>
      <c r="N6" s="46"/>
      <c r="O6" s="164"/>
    </row>
    <row r="7" spans="1:15" x14ac:dyDescent="0.25">
      <c r="A7" s="184" t="s">
        <v>10</v>
      </c>
      <c r="B7" s="181" t="s">
        <v>11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164"/>
    </row>
    <row r="8" spans="1:15" x14ac:dyDescent="0.25">
      <c r="A8" s="180" t="s">
        <v>13</v>
      </c>
      <c r="B8" s="112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164"/>
    </row>
    <row r="9" spans="1:15" x14ac:dyDescent="0.25">
      <c r="A9" s="185"/>
      <c r="B9" s="22"/>
      <c r="C9" s="22"/>
      <c r="D9" s="22"/>
      <c r="E9" s="22"/>
      <c r="F9" s="46"/>
      <c r="G9" s="46"/>
      <c r="H9" s="46"/>
      <c r="I9" s="46"/>
      <c r="J9" s="46"/>
      <c r="K9" s="46"/>
      <c r="L9" s="46"/>
      <c r="M9" s="46"/>
      <c r="N9" s="46"/>
      <c r="O9" s="164"/>
    </row>
    <row r="10" spans="1:15" x14ac:dyDescent="0.25">
      <c r="A10" s="186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87" t="s">
        <v>23</v>
      </c>
      <c r="G10" s="187" t="s">
        <v>24</v>
      </c>
      <c r="H10" s="187" t="s">
        <v>25</v>
      </c>
      <c r="I10" s="187" t="s">
        <v>26</v>
      </c>
      <c r="J10" s="187" t="s">
        <v>27</v>
      </c>
      <c r="K10" s="187" t="s">
        <v>28</v>
      </c>
      <c r="L10" s="187" t="s">
        <v>29</v>
      </c>
      <c r="M10" s="187" t="s">
        <v>17</v>
      </c>
      <c r="N10" s="187" t="s">
        <v>18</v>
      </c>
      <c r="O10" s="164"/>
    </row>
    <row r="11" spans="1:15" x14ac:dyDescent="0.25">
      <c r="A11" s="188">
        <v>10</v>
      </c>
      <c r="B11" s="189" t="s">
        <v>217</v>
      </c>
      <c r="C11" s="190"/>
      <c r="D11" s="141">
        <v>3.3</v>
      </c>
      <c r="E11" s="142">
        <f>J11*K11*L11</f>
        <v>0.78556506050717001</v>
      </c>
      <c r="F11" s="140" t="s">
        <v>156</v>
      </c>
      <c r="G11" s="140"/>
      <c r="H11" s="143"/>
      <c r="I11" s="144" t="s">
        <v>218</v>
      </c>
      <c r="J11" s="144">
        <f>PI()*87.5*87.5/1000000</f>
        <v>2.4052818754046849E-2</v>
      </c>
      <c r="K11" s="145">
        <v>2.3E-2</v>
      </c>
      <c r="L11" s="146">
        <v>1420</v>
      </c>
      <c r="M11" s="146">
        <v>1</v>
      </c>
      <c r="N11" s="141">
        <f>E11*D11</f>
        <v>2.5923646996736607</v>
      </c>
      <c r="O11" s="168"/>
    </row>
    <row r="12" spans="1:15" x14ac:dyDescent="0.25">
      <c r="A12" s="191"/>
      <c r="B12" s="130"/>
      <c r="C12" s="131"/>
      <c r="D12" s="132"/>
      <c r="E12" s="131"/>
      <c r="F12" s="131"/>
      <c r="G12" s="131"/>
      <c r="H12" s="133"/>
      <c r="I12" s="134"/>
      <c r="J12" s="135"/>
      <c r="K12" s="136"/>
      <c r="L12" s="137"/>
      <c r="M12" s="192"/>
      <c r="N12" s="138"/>
      <c r="O12" s="168"/>
    </row>
    <row r="13" spans="1:15" x14ac:dyDescent="0.25">
      <c r="A13" s="16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3" t="s">
        <v>18</v>
      </c>
      <c r="N13" s="106">
        <f>SUM(N11:N11)</f>
        <v>2.5923646996736607</v>
      </c>
      <c r="O13" s="164"/>
    </row>
    <row r="14" spans="1:15" x14ac:dyDescent="0.25">
      <c r="A14" s="16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164"/>
    </row>
    <row r="15" spans="1:15" x14ac:dyDescent="0.25">
      <c r="A15" s="183" t="s">
        <v>14</v>
      </c>
      <c r="B15" s="187" t="s">
        <v>31</v>
      </c>
      <c r="C15" s="187" t="s">
        <v>20</v>
      </c>
      <c r="D15" s="187" t="s">
        <v>21</v>
      </c>
      <c r="E15" s="187" t="s">
        <v>32</v>
      </c>
      <c r="F15" s="187" t="s">
        <v>17</v>
      </c>
      <c r="G15" s="187" t="s">
        <v>33</v>
      </c>
      <c r="H15" s="187" t="s">
        <v>34</v>
      </c>
      <c r="I15" s="187" t="s">
        <v>18</v>
      </c>
      <c r="J15" s="19"/>
      <c r="K15" s="19"/>
      <c r="L15" s="19"/>
      <c r="M15" s="19"/>
      <c r="N15" s="19"/>
      <c r="O15" s="164"/>
    </row>
    <row r="16" spans="1:15" x14ac:dyDescent="0.25">
      <c r="A16" s="194">
        <v>10</v>
      </c>
      <c r="B16" s="195" t="s">
        <v>44</v>
      </c>
      <c r="C16" s="196" t="s">
        <v>219</v>
      </c>
      <c r="D16" s="197">
        <v>1.3</v>
      </c>
      <c r="E16" s="198" t="s">
        <v>32</v>
      </c>
      <c r="F16" s="198">
        <v>1</v>
      </c>
      <c r="G16" s="199"/>
      <c r="H16" s="198"/>
      <c r="I16" s="200">
        <f>IF(H16="",D16*F16,D16*F16*H16)</f>
        <v>1.3</v>
      </c>
      <c r="J16" s="48"/>
      <c r="K16" s="48"/>
      <c r="L16" s="48"/>
      <c r="M16" s="48"/>
      <c r="N16" s="48"/>
      <c r="O16" s="170"/>
    </row>
    <row r="17" spans="1:15" ht="30" x14ac:dyDescent="0.25">
      <c r="A17" s="194">
        <v>20</v>
      </c>
      <c r="B17" s="201" t="s">
        <v>162</v>
      </c>
      <c r="C17" s="190" t="s">
        <v>220</v>
      </c>
      <c r="D17" s="202">
        <v>0.04</v>
      </c>
      <c r="E17" s="203" t="s">
        <v>163</v>
      </c>
      <c r="F17" s="204">
        <v>350.61</v>
      </c>
      <c r="G17" s="201" t="s">
        <v>221</v>
      </c>
      <c r="H17" s="205">
        <v>0.5</v>
      </c>
      <c r="I17" s="200">
        <f>IF(H17="",D17*F17,D17*F17*H17)</f>
        <v>7.0122</v>
      </c>
      <c r="J17" s="48"/>
      <c r="K17" s="48"/>
      <c r="L17" s="48"/>
      <c r="M17" s="48"/>
      <c r="N17" s="48"/>
      <c r="O17" s="170"/>
    </row>
    <row r="18" spans="1:15" x14ac:dyDescent="0.25">
      <c r="A18" s="169"/>
      <c r="B18" s="19"/>
      <c r="C18" s="19"/>
      <c r="D18" s="19"/>
      <c r="E18" s="19"/>
      <c r="F18" s="19"/>
      <c r="G18" s="19"/>
      <c r="H18" s="111" t="s">
        <v>18</v>
      </c>
      <c r="I18" s="106">
        <f>SUM(I16:I17)</f>
        <v>8.3122000000000007</v>
      </c>
      <c r="J18" s="19"/>
      <c r="K18" s="19"/>
      <c r="L18" s="19"/>
      <c r="M18" s="19"/>
      <c r="N18" s="19"/>
      <c r="O18" s="164"/>
    </row>
    <row r="19" spans="1:15" x14ac:dyDescent="0.25">
      <c r="A19" s="16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164"/>
    </row>
    <row r="20" spans="1:15" x14ac:dyDescent="0.25">
      <c r="A20" s="165"/>
      <c r="B20" s="46"/>
      <c r="C20" s="178"/>
      <c r="D20" s="178"/>
      <c r="E20" s="179"/>
      <c r="F20" s="46"/>
      <c r="G20" s="46"/>
      <c r="H20" s="46"/>
      <c r="I20" s="46"/>
      <c r="J20" s="46"/>
      <c r="K20" s="46"/>
      <c r="L20" s="46"/>
      <c r="M20" s="46"/>
      <c r="N20" s="46"/>
      <c r="O20" s="164"/>
    </row>
    <row r="21" spans="1:15" x14ac:dyDescent="0.25">
      <c r="A21" s="165"/>
      <c r="B21" s="46"/>
      <c r="C21" s="178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164"/>
    </row>
    <row r="22" spans="1:15" x14ac:dyDescent="0.25">
      <c r="A22" s="16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164"/>
    </row>
    <row r="23" spans="1:15" x14ac:dyDescent="0.25">
      <c r="A23" s="16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164"/>
    </row>
    <row r="24" spans="1:15" x14ac:dyDescent="0.25">
      <c r="A24" s="16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164"/>
    </row>
    <row r="25" spans="1:15" x14ac:dyDescent="0.25">
      <c r="A25" s="16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164"/>
    </row>
    <row r="26" spans="1:15" ht="15.75" thickBot="1" x14ac:dyDescent="0.3">
      <c r="A26" s="173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5"/>
    </row>
  </sheetData>
  <hyperlinks>
    <hyperlink ref="D3" location="'EN_0900_002 Drawing'!A1" display="FileLink1" xr:uid="{ECDC8661-0D3F-4C07-AD93-18900582CBCA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  <pageSetUpPr fitToPage="1"/>
  </sheetPr>
  <dimension ref="A1:B1"/>
  <sheetViews>
    <sheetView zoomScale="85" zoomScaleNormal="85" workbookViewId="0">
      <selection activeCell="P21" sqref="P21"/>
    </sheetView>
  </sheetViews>
  <sheetFormatPr baseColWidth="10" defaultRowHeight="15" x14ac:dyDescent="0.25"/>
  <cols>
    <col min="1" max="1" width="14" customWidth="1"/>
  </cols>
  <sheetData>
    <row r="1" spans="1:2" x14ac:dyDescent="0.25">
      <c r="A1" s="67" t="s">
        <v>212</v>
      </c>
      <c r="B1" s="67"/>
    </row>
  </sheetData>
  <hyperlinks>
    <hyperlink ref="A1" location="EN_0900_002" display="EN_0900_002" xr:uid="{3E6B704C-0A42-4901-8D65-9CD184337D9B}"/>
  </hyperlinks>
  <pageMargins left="0.7" right="0.7" top="0.75" bottom="0.75" header="0.3" footer="0.3"/>
  <pageSetup paperSize="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CB35-5E4D-477D-B0C4-98B12375369F}">
  <sheetPr>
    <tabColor theme="6" tint="0.39997558519241921"/>
  </sheetPr>
  <dimension ref="A1:P31"/>
  <sheetViews>
    <sheetView zoomScale="70" zoomScaleNormal="70" workbookViewId="0">
      <selection activeCell="D3" sqref="D3"/>
    </sheetView>
  </sheetViews>
  <sheetFormatPr baseColWidth="10" defaultRowHeight="15" x14ac:dyDescent="0.25"/>
  <cols>
    <col min="2" max="2" width="33.7109375" bestFit="1" customWidth="1"/>
  </cols>
  <sheetData>
    <row r="1" spans="1:15" x14ac:dyDescent="0.2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</row>
    <row r="2" spans="1:15" x14ac:dyDescent="0.25">
      <c r="A2" s="180" t="s">
        <v>0</v>
      </c>
      <c r="B2" s="181" t="s">
        <v>43</v>
      </c>
      <c r="C2" s="46"/>
      <c r="D2" s="46"/>
      <c r="E2" s="46"/>
      <c r="F2" s="46"/>
      <c r="G2" s="46" t="s">
        <v>120</v>
      </c>
      <c r="H2" s="46"/>
      <c r="I2" s="46"/>
      <c r="J2" s="103" t="s">
        <v>1</v>
      </c>
      <c r="K2" s="64">
        <v>81</v>
      </c>
      <c r="L2" s="46"/>
      <c r="M2" s="102" t="s">
        <v>16</v>
      </c>
      <c r="N2" s="62">
        <f>EN_0900_003_m+EN_0900_003_p</f>
        <v>8.5389646196590014</v>
      </c>
      <c r="O2" s="164"/>
    </row>
    <row r="3" spans="1:15" x14ac:dyDescent="0.25">
      <c r="A3" s="182" t="s">
        <v>3</v>
      </c>
      <c r="B3" s="181" t="s">
        <v>135</v>
      </c>
      <c r="C3" s="46"/>
      <c r="D3" s="223" t="s">
        <v>6</v>
      </c>
      <c r="E3" s="46" t="s">
        <v>91</v>
      </c>
      <c r="F3" s="46"/>
      <c r="G3" s="46"/>
      <c r="H3" s="46"/>
      <c r="I3" s="46"/>
      <c r="J3" s="46"/>
      <c r="K3" s="46"/>
      <c r="L3" s="46"/>
      <c r="M3" s="102" t="s">
        <v>4</v>
      </c>
      <c r="N3" s="63">
        <v>1</v>
      </c>
      <c r="O3" s="164"/>
    </row>
    <row r="4" spans="1:15" x14ac:dyDescent="0.25">
      <c r="A4" s="183" t="s">
        <v>5</v>
      </c>
      <c r="B4" s="46" t="s">
        <v>136</v>
      </c>
      <c r="C4" s="46"/>
      <c r="D4" s="102" t="s">
        <v>8</v>
      </c>
      <c r="E4" s="46"/>
      <c r="F4" s="46"/>
      <c r="G4" s="46"/>
      <c r="H4" s="46"/>
      <c r="I4" s="46"/>
      <c r="J4" s="104" t="s">
        <v>6</v>
      </c>
      <c r="K4" s="46"/>
      <c r="L4" s="46"/>
      <c r="M4" s="46"/>
      <c r="N4" s="46"/>
      <c r="O4" s="164"/>
    </row>
    <row r="5" spans="1:15" x14ac:dyDescent="0.25">
      <c r="A5" s="183" t="s">
        <v>15</v>
      </c>
      <c r="B5" s="46" t="s">
        <v>139</v>
      </c>
      <c r="C5" s="46"/>
      <c r="D5" s="102" t="s">
        <v>12</v>
      </c>
      <c r="E5" s="46"/>
      <c r="F5" s="46"/>
      <c r="G5" s="46"/>
      <c r="H5" s="46"/>
      <c r="I5" s="46"/>
      <c r="J5" s="104" t="s">
        <v>8</v>
      </c>
      <c r="K5" s="46"/>
      <c r="L5" s="46"/>
      <c r="M5" s="102" t="s">
        <v>9</v>
      </c>
      <c r="N5" s="62">
        <f>N3*N2</f>
        <v>8.5389646196590014</v>
      </c>
      <c r="O5" s="164"/>
    </row>
    <row r="6" spans="1:15" x14ac:dyDescent="0.25">
      <c r="A6" s="183" t="s">
        <v>7</v>
      </c>
      <c r="B6" s="176" t="s">
        <v>222</v>
      </c>
      <c r="C6" s="46"/>
      <c r="D6" s="46"/>
      <c r="E6" s="46"/>
      <c r="F6" s="46"/>
      <c r="G6" s="46"/>
      <c r="H6" s="46"/>
      <c r="I6" s="46"/>
      <c r="J6" s="104" t="s">
        <v>12</v>
      </c>
      <c r="K6" s="46"/>
      <c r="L6" s="46"/>
      <c r="M6" s="46"/>
      <c r="N6" s="46"/>
      <c r="O6" s="164"/>
    </row>
    <row r="7" spans="1:15" x14ac:dyDescent="0.25">
      <c r="A7" s="184" t="s">
        <v>10</v>
      </c>
      <c r="B7" s="181" t="s">
        <v>11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164"/>
    </row>
    <row r="8" spans="1:15" x14ac:dyDescent="0.25">
      <c r="A8" s="180" t="s">
        <v>13</v>
      </c>
      <c r="B8" s="112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164"/>
    </row>
    <row r="9" spans="1:15" x14ac:dyDescent="0.25">
      <c r="A9" s="185"/>
      <c r="B9" s="22"/>
      <c r="C9" s="22"/>
      <c r="D9" s="22"/>
      <c r="E9" s="22"/>
      <c r="F9" s="46"/>
      <c r="G9" s="46"/>
      <c r="H9" s="46"/>
      <c r="I9" s="46"/>
      <c r="J9" s="46"/>
      <c r="K9" s="46"/>
      <c r="L9" s="46"/>
      <c r="M9" s="46"/>
      <c r="N9" s="46"/>
      <c r="O9" s="164"/>
    </row>
    <row r="10" spans="1:15" x14ac:dyDescent="0.25">
      <c r="A10" s="186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87" t="s">
        <v>23</v>
      </c>
      <c r="G10" s="187" t="s">
        <v>24</v>
      </c>
      <c r="H10" s="187" t="s">
        <v>25</v>
      </c>
      <c r="I10" s="187" t="s">
        <v>26</v>
      </c>
      <c r="J10" s="187" t="s">
        <v>27</v>
      </c>
      <c r="K10" s="187" t="s">
        <v>28</v>
      </c>
      <c r="L10" s="187" t="s">
        <v>29</v>
      </c>
      <c r="M10" s="187" t="s">
        <v>17</v>
      </c>
      <c r="N10" s="187" t="s">
        <v>18</v>
      </c>
      <c r="O10" s="164"/>
    </row>
    <row r="11" spans="1:15" x14ac:dyDescent="0.25">
      <c r="A11" s="188">
        <v>10</v>
      </c>
      <c r="B11" s="189" t="s">
        <v>217</v>
      </c>
      <c r="C11" s="190"/>
      <c r="D11" s="141">
        <v>3.3</v>
      </c>
      <c r="E11" s="142">
        <f>J11*K11*L11</f>
        <v>0.60726200595727309</v>
      </c>
      <c r="F11" s="140" t="s">
        <v>156</v>
      </c>
      <c r="G11" s="140"/>
      <c r="H11" s="143"/>
      <c r="I11" s="144" t="s">
        <v>223</v>
      </c>
      <c r="J11" s="144">
        <f>PI()*82.5*82.5/1000000</f>
        <v>2.138246499849553E-2</v>
      </c>
      <c r="K11" s="145">
        <v>0.02</v>
      </c>
      <c r="L11" s="146">
        <v>1420</v>
      </c>
      <c r="M11" s="146">
        <v>1</v>
      </c>
      <c r="N11" s="141">
        <f>E11*D11</f>
        <v>2.0039646196590013</v>
      </c>
      <c r="O11" s="168"/>
    </row>
    <row r="12" spans="1:15" x14ac:dyDescent="0.25">
      <c r="A12" s="191"/>
      <c r="B12" s="130"/>
      <c r="C12" s="131"/>
      <c r="D12" s="132"/>
      <c r="E12" s="131"/>
      <c r="F12" s="131"/>
      <c r="G12" s="131"/>
      <c r="H12" s="133"/>
      <c r="I12" s="134"/>
      <c r="J12" s="135"/>
      <c r="K12" s="136"/>
      <c r="L12" s="137"/>
      <c r="M12" s="192"/>
      <c r="N12" s="138"/>
      <c r="O12" s="168"/>
    </row>
    <row r="13" spans="1:15" x14ac:dyDescent="0.25">
      <c r="A13" s="16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3" t="s">
        <v>18</v>
      </c>
      <c r="N13" s="106">
        <f>SUM(N11:N11)</f>
        <v>2.0039646196590013</v>
      </c>
      <c r="O13" s="164"/>
    </row>
    <row r="14" spans="1:15" x14ac:dyDescent="0.25">
      <c r="A14" s="16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164"/>
    </row>
    <row r="15" spans="1:15" x14ac:dyDescent="0.25">
      <c r="A15" s="183" t="s">
        <v>14</v>
      </c>
      <c r="B15" s="187" t="s">
        <v>31</v>
      </c>
      <c r="C15" s="187" t="s">
        <v>20</v>
      </c>
      <c r="D15" s="187" t="s">
        <v>21</v>
      </c>
      <c r="E15" s="187" t="s">
        <v>32</v>
      </c>
      <c r="F15" s="187" t="s">
        <v>17</v>
      </c>
      <c r="G15" s="187" t="s">
        <v>33</v>
      </c>
      <c r="H15" s="187" t="s">
        <v>34</v>
      </c>
      <c r="I15" s="187" t="s">
        <v>18</v>
      </c>
      <c r="J15" s="19"/>
      <c r="K15" s="19"/>
      <c r="L15" s="19"/>
      <c r="M15" s="19"/>
      <c r="N15" s="19"/>
      <c r="O15" s="164"/>
    </row>
    <row r="16" spans="1:15" ht="30" x14ac:dyDescent="0.25">
      <c r="A16" s="194">
        <v>10</v>
      </c>
      <c r="B16" s="195" t="s">
        <v>44</v>
      </c>
      <c r="C16" s="196" t="s">
        <v>219</v>
      </c>
      <c r="D16" s="197">
        <v>1.3</v>
      </c>
      <c r="E16" s="198" t="s">
        <v>32</v>
      </c>
      <c r="F16" s="198">
        <v>1</v>
      </c>
      <c r="G16" s="199"/>
      <c r="H16" s="198"/>
      <c r="I16" s="200">
        <f>IF(H16="",D16*F16,D16*F16*H16)</f>
        <v>1.3</v>
      </c>
      <c r="J16" s="48"/>
      <c r="K16" s="48"/>
      <c r="L16" s="48"/>
      <c r="M16" s="48"/>
      <c r="N16" s="48"/>
      <c r="O16" s="170"/>
    </row>
    <row r="17" spans="1:16" ht="30" x14ac:dyDescent="0.25">
      <c r="A17" s="194">
        <v>20</v>
      </c>
      <c r="B17" s="201" t="s">
        <v>162</v>
      </c>
      <c r="C17" s="190" t="s">
        <v>220</v>
      </c>
      <c r="D17" s="202">
        <v>0.04</v>
      </c>
      <c r="E17" s="203" t="s">
        <v>163</v>
      </c>
      <c r="F17" s="204">
        <v>261.75</v>
      </c>
      <c r="G17" s="201" t="s">
        <v>221</v>
      </c>
      <c r="H17" s="205">
        <v>0.5</v>
      </c>
      <c r="I17" s="200">
        <f>IF(H17="",D17*F17,D17*F17*H17)</f>
        <v>5.2350000000000003</v>
      </c>
      <c r="J17" s="48"/>
      <c r="K17" s="48"/>
      <c r="L17" s="48"/>
      <c r="M17" s="48"/>
      <c r="N17" s="48"/>
      <c r="O17" s="170"/>
    </row>
    <row r="18" spans="1:16" x14ac:dyDescent="0.25">
      <c r="A18" s="169"/>
      <c r="B18" s="19"/>
      <c r="C18" s="19"/>
      <c r="D18" s="19"/>
      <c r="E18" s="19"/>
      <c r="F18" s="19"/>
      <c r="G18" s="19"/>
      <c r="H18" s="111" t="s">
        <v>18</v>
      </c>
      <c r="I18" s="106">
        <f>SUM(I16:I17)</f>
        <v>6.5350000000000001</v>
      </c>
      <c r="J18" s="19"/>
      <c r="K18" s="19"/>
      <c r="L18" s="19"/>
      <c r="M18" s="19"/>
      <c r="N18" s="19"/>
      <c r="O18" s="164"/>
    </row>
    <row r="19" spans="1:16" x14ac:dyDescent="0.25">
      <c r="A19" s="16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164"/>
    </row>
    <row r="20" spans="1:16" x14ac:dyDescent="0.25">
      <c r="A20" s="16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164"/>
    </row>
    <row r="21" spans="1:16" x14ac:dyDescent="0.25">
      <c r="A21" s="165"/>
      <c r="B21" s="46"/>
      <c r="C21" s="46"/>
      <c r="D21" s="46"/>
      <c r="E21" s="178"/>
      <c r="F21" s="46"/>
      <c r="G21" s="178"/>
      <c r="H21" s="179"/>
      <c r="I21" s="46"/>
      <c r="J21" s="46"/>
      <c r="K21" s="46"/>
      <c r="L21" s="46"/>
      <c r="M21" s="46"/>
      <c r="N21" s="46"/>
      <c r="O21" s="164"/>
    </row>
    <row r="22" spans="1:16" x14ac:dyDescent="0.25">
      <c r="A22" s="165"/>
      <c r="B22" s="46"/>
      <c r="C22" s="46"/>
      <c r="D22" s="46"/>
      <c r="E22" s="178"/>
      <c r="F22" s="46"/>
      <c r="G22" s="46"/>
      <c r="H22" s="46"/>
      <c r="I22" s="46"/>
      <c r="J22" s="46"/>
      <c r="K22" s="46"/>
      <c r="L22" s="46"/>
      <c r="M22" s="46"/>
      <c r="N22" s="46"/>
      <c r="O22" s="164"/>
    </row>
    <row r="23" spans="1:16" x14ac:dyDescent="0.25">
      <c r="A23" s="16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164"/>
    </row>
    <row r="24" spans="1:16" x14ac:dyDescent="0.25">
      <c r="A24" s="16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164"/>
    </row>
    <row r="25" spans="1:16" x14ac:dyDescent="0.25">
      <c r="A25" s="16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164"/>
    </row>
    <row r="26" spans="1:16" x14ac:dyDescent="0.25">
      <c r="A26" s="16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164"/>
      <c r="P26" s="46"/>
    </row>
    <row r="27" spans="1:16" ht="15.75" thickBot="1" x14ac:dyDescent="0.3">
      <c r="A27" s="173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5"/>
      <c r="P27" s="46"/>
    </row>
    <row r="28" spans="1:16" x14ac:dyDescent="0.25">
      <c r="A28" s="16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</row>
    <row r="29" spans="1:16" x14ac:dyDescent="0.25">
      <c r="A29" s="16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</row>
    <row r="30" spans="1:16" x14ac:dyDescent="0.25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6" x14ac:dyDescent="0.2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</row>
  </sheetData>
  <hyperlinks>
    <hyperlink ref="D3" location="'EN_0900_003 Drawing'!A1" display="FileLink1" xr:uid="{59C5B32C-7553-42F4-AFEA-29C9E3DD5D96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A229-419E-4C21-8D70-722F177075CC}">
  <sheetPr>
    <tabColor theme="6" tint="0.39997558519241921"/>
  </sheetPr>
  <dimension ref="A1"/>
  <sheetViews>
    <sheetView workbookViewId="0">
      <selection activeCell="O10" sqref="O10"/>
    </sheetView>
  </sheetViews>
  <sheetFormatPr baseColWidth="10" defaultRowHeight="15" x14ac:dyDescent="0.25"/>
  <sheetData>
    <row r="1" spans="1:1" x14ac:dyDescent="0.25">
      <c r="A1" s="67" t="s">
        <v>222</v>
      </c>
    </row>
  </sheetData>
  <hyperlinks>
    <hyperlink ref="A1" location="EN_0900_003" display="EN_0900_003" xr:uid="{3478DEC4-9D81-4D5D-B1A0-69D3277F469C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3489-9D64-49E7-BB99-1CCB29392CF5}">
  <sheetPr>
    <tabColor theme="6" tint="0.39997558519241921"/>
  </sheetPr>
  <dimension ref="A1:P26"/>
  <sheetViews>
    <sheetView workbookViewId="0">
      <selection activeCell="D3" sqref="D3"/>
    </sheetView>
  </sheetViews>
  <sheetFormatPr baseColWidth="10" defaultRowHeight="15" x14ac:dyDescent="0.25"/>
  <cols>
    <col min="2" max="2" width="21.28515625" bestFit="1" customWidth="1"/>
    <col min="3" max="3" width="32.28515625" bestFit="1" customWidth="1"/>
    <col min="9" max="9" width="27.42578125" bestFit="1" customWidth="1"/>
  </cols>
  <sheetData>
    <row r="1" spans="1:16" x14ac:dyDescent="0.25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</row>
    <row r="2" spans="1:16" x14ac:dyDescent="0.25">
      <c r="A2" s="180" t="s">
        <v>0</v>
      </c>
      <c r="B2" s="181" t="s">
        <v>43</v>
      </c>
      <c r="C2" s="46"/>
      <c r="D2" s="46"/>
      <c r="E2" s="46"/>
      <c r="F2" s="46"/>
      <c r="G2" s="46" t="s">
        <v>120</v>
      </c>
      <c r="H2" s="46"/>
      <c r="I2" s="46"/>
      <c r="J2" s="103" t="s">
        <v>1</v>
      </c>
      <c r="K2" s="64">
        <v>81</v>
      </c>
      <c r="L2" s="46"/>
      <c r="M2" s="102" t="s">
        <v>16</v>
      </c>
      <c r="N2" s="62">
        <f>EN_0900_004_m+EN_0900_004_p</f>
        <v>23.956417471999998</v>
      </c>
      <c r="O2" s="164"/>
    </row>
    <row r="3" spans="1:16" x14ac:dyDescent="0.25">
      <c r="A3" s="182" t="s">
        <v>3</v>
      </c>
      <c r="B3" s="181" t="s">
        <v>135</v>
      </c>
      <c r="C3" s="46"/>
      <c r="D3" s="223" t="s">
        <v>6</v>
      </c>
      <c r="E3" s="46" t="s">
        <v>91</v>
      </c>
      <c r="F3" s="46"/>
      <c r="G3" s="46"/>
      <c r="H3" s="46"/>
      <c r="I3" s="46"/>
      <c r="J3" s="46"/>
      <c r="K3" s="46"/>
      <c r="L3" s="46"/>
      <c r="M3" s="102" t="s">
        <v>4</v>
      </c>
      <c r="N3" s="63">
        <v>1</v>
      </c>
      <c r="O3" s="164"/>
    </row>
    <row r="4" spans="1:16" x14ac:dyDescent="0.25">
      <c r="A4" s="183" t="s">
        <v>5</v>
      </c>
      <c r="B4" s="46" t="s">
        <v>136</v>
      </c>
      <c r="C4" s="46"/>
      <c r="D4" s="102" t="s">
        <v>8</v>
      </c>
      <c r="E4" s="46"/>
      <c r="F4" s="46"/>
      <c r="G4" s="46"/>
      <c r="H4" s="46"/>
      <c r="I4" s="46"/>
      <c r="J4" s="104" t="s">
        <v>6</v>
      </c>
      <c r="K4" s="46"/>
      <c r="L4" s="46"/>
      <c r="M4" s="46"/>
      <c r="N4" s="46"/>
      <c r="O4" s="164"/>
    </row>
    <row r="5" spans="1:16" x14ac:dyDescent="0.25">
      <c r="A5" s="183" t="s">
        <v>15</v>
      </c>
      <c r="B5" s="46" t="s">
        <v>225</v>
      </c>
      <c r="C5" s="46"/>
      <c r="D5" s="102" t="s">
        <v>12</v>
      </c>
      <c r="E5" s="46"/>
      <c r="F5" s="46"/>
      <c r="G5" s="46"/>
      <c r="H5" s="46"/>
      <c r="I5" s="46"/>
      <c r="J5" s="104" t="s">
        <v>8</v>
      </c>
      <c r="K5" s="46"/>
      <c r="L5" s="46"/>
      <c r="M5" s="102" t="s">
        <v>9</v>
      </c>
      <c r="N5" s="62">
        <f>N3*N2</f>
        <v>23.956417471999998</v>
      </c>
      <c r="O5" s="164"/>
    </row>
    <row r="6" spans="1:16" x14ac:dyDescent="0.25">
      <c r="A6" s="183" t="s">
        <v>7</v>
      </c>
      <c r="B6" s="176" t="s">
        <v>224</v>
      </c>
      <c r="C6" s="46"/>
      <c r="D6" s="46"/>
      <c r="E6" s="46"/>
      <c r="F6" s="46"/>
      <c r="G6" s="46"/>
      <c r="H6" s="46"/>
      <c r="I6" s="46"/>
      <c r="J6" s="104" t="s">
        <v>12</v>
      </c>
      <c r="K6" s="46"/>
      <c r="L6" s="46"/>
      <c r="M6" s="46"/>
      <c r="N6" s="46"/>
      <c r="O6" s="164"/>
    </row>
    <row r="7" spans="1:16" x14ac:dyDescent="0.25">
      <c r="A7" s="184" t="s">
        <v>10</v>
      </c>
      <c r="B7" s="181" t="s">
        <v>11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164"/>
      <c r="P7">
        <f>341.663+32</f>
        <v>373.66300000000001</v>
      </c>
    </row>
    <row r="8" spans="1:16" x14ac:dyDescent="0.25">
      <c r="A8" s="180" t="s">
        <v>13</v>
      </c>
      <c r="B8" s="112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164"/>
    </row>
    <row r="9" spans="1:16" x14ac:dyDescent="0.25">
      <c r="A9" s="185"/>
      <c r="B9" s="22"/>
      <c r="C9" s="22"/>
      <c r="D9" s="22"/>
      <c r="E9" s="22"/>
      <c r="F9" s="46"/>
      <c r="G9" s="46"/>
      <c r="H9" s="46"/>
      <c r="I9" s="46"/>
      <c r="J9" s="46"/>
      <c r="K9" s="46"/>
      <c r="L9" s="46"/>
      <c r="M9" s="46"/>
      <c r="N9" s="46"/>
      <c r="O9" s="164"/>
    </row>
    <row r="10" spans="1:16" x14ac:dyDescent="0.25">
      <c r="A10" s="186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87" t="s">
        <v>23</v>
      </c>
      <c r="G10" s="187" t="s">
        <v>24</v>
      </c>
      <c r="H10" s="187" t="s">
        <v>25</v>
      </c>
      <c r="I10" s="187" t="s">
        <v>26</v>
      </c>
      <c r="J10" s="187" t="s">
        <v>27</v>
      </c>
      <c r="K10" s="187" t="s">
        <v>28</v>
      </c>
      <c r="L10" s="187" t="s">
        <v>29</v>
      </c>
      <c r="M10" s="187" t="s">
        <v>17</v>
      </c>
      <c r="N10" s="187" t="s">
        <v>18</v>
      </c>
      <c r="O10" s="164"/>
    </row>
    <row r="11" spans="1:16" x14ac:dyDescent="0.25">
      <c r="A11" s="206">
        <v>10</v>
      </c>
      <c r="B11" s="207" t="s">
        <v>155</v>
      </c>
      <c r="C11" s="208" t="s">
        <v>226</v>
      </c>
      <c r="D11" s="209">
        <v>4.2</v>
      </c>
      <c r="E11" s="210">
        <f>J11*K11*L11</f>
        <v>1.8460041599999997</v>
      </c>
      <c r="F11" s="198" t="s">
        <v>156</v>
      </c>
      <c r="G11" s="198"/>
      <c r="H11" s="211"/>
      <c r="I11" s="212" t="s">
        <v>227</v>
      </c>
      <c r="J11" s="213">
        <f>374*130/1000000</f>
        <v>4.8619999999999997E-2</v>
      </c>
      <c r="K11" s="214">
        <f>14/1000</f>
        <v>1.4E-2</v>
      </c>
      <c r="L11" s="215">
        <v>2712</v>
      </c>
      <c r="M11" s="215">
        <v>1</v>
      </c>
      <c r="N11" s="216">
        <f>IF(J11="",D11*M11,D11*J11*K11*L11*M11)</f>
        <v>7.7532174719999993</v>
      </c>
      <c r="O11" s="168"/>
    </row>
    <row r="12" spans="1:16" x14ac:dyDescent="0.25">
      <c r="A12" s="191"/>
      <c r="B12" s="130"/>
      <c r="C12" s="131"/>
      <c r="D12" s="132"/>
      <c r="E12" s="131"/>
      <c r="F12" s="131"/>
      <c r="G12" s="131"/>
      <c r="H12" s="133"/>
      <c r="I12" s="134"/>
      <c r="J12" s="135"/>
      <c r="K12" s="136"/>
      <c r="L12" s="137"/>
      <c r="M12" s="192"/>
      <c r="N12" s="138"/>
      <c r="O12" s="168"/>
    </row>
    <row r="13" spans="1:16" x14ac:dyDescent="0.25">
      <c r="A13" s="16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3" t="s">
        <v>18</v>
      </c>
      <c r="N13" s="106">
        <f>SUM(N11:N11)</f>
        <v>7.7532174719999993</v>
      </c>
      <c r="O13" s="164"/>
    </row>
    <row r="14" spans="1:16" x14ac:dyDescent="0.25">
      <c r="A14" s="16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164"/>
    </row>
    <row r="15" spans="1:16" x14ac:dyDescent="0.25">
      <c r="A15" s="183" t="s">
        <v>14</v>
      </c>
      <c r="B15" s="187" t="s">
        <v>31</v>
      </c>
      <c r="C15" s="187" t="s">
        <v>20</v>
      </c>
      <c r="D15" s="187" t="s">
        <v>21</v>
      </c>
      <c r="E15" s="187" t="s">
        <v>32</v>
      </c>
      <c r="F15" s="187" t="s">
        <v>17</v>
      </c>
      <c r="G15" s="187" t="s">
        <v>33</v>
      </c>
      <c r="H15" s="187" t="s">
        <v>34</v>
      </c>
      <c r="I15" s="187" t="s">
        <v>18</v>
      </c>
      <c r="J15" s="19"/>
      <c r="K15" s="19"/>
      <c r="L15" s="19"/>
      <c r="M15" s="19"/>
      <c r="N15" s="19"/>
      <c r="O15" s="164"/>
    </row>
    <row r="16" spans="1:16" ht="45" x14ac:dyDescent="0.25">
      <c r="A16" s="188">
        <v>10</v>
      </c>
      <c r="B16" s="217" t="s">
        <v>44</v>
      </c>
      <c r="C16" s="217" t="s">
        <v>228</v>
      </c>
      <c r="D16" s="209">
        <v>1.3</v>
      </c>
      <c r="E16" s="195" t="s">
        <v>32</v>
      </c>
      <c r="F16" s="218">
        <v>1</v>
      </c>
      <c r="G16" s="218"/>
      <c r="H16" s="205"/>
      <c r="I16" s="216">
        <f>IF(H16="",D16*F16,D16*F16*H16)</f>
        <v>1.3</v>
      </c>
      <c r="J16" s="48"/>
      <c r="K16" s="48"/>
      <c r="L16" s="48"/>
      <c r="M16" s="48"/>
      <c r="N16" s="48"/>
      <c r="O16" s="170"/>
    </row>
    <row r="17" spans="1:15" ht="30" x14ac:dyDescent="0.25">
      <c r="A17" s="188">
        <v>20</v>
      </c>
      <c r="B17" s="217" t="s">
        <v>162</v>
      </c>
      <c r="C17" s="217" t="s">
        <v>229</v>
      </c>
      <c r="D17" s="209">
        <v>0.04</v>
      </c>
      <c r="E17" s="198" t="s">
        <v>163</v>
      </c>
      <c r="F17" s="204">
        <v>372.58</v>
      </c>
      <c r="G17" s="195" t="s">
        <v>230</v>
      </c>
      <c r="H17" s="205">
        <v>1</v>
      </c>
      <c r="I17" s="216">
        <f>IF(H17="",D17*F17,D17*F17*H17)</f>
        <v>14.9032</v>
      </c>
      <c r="J17" s="48"/>
      <c r="K17" s="48"/>
      <c r="L17" s="48"/>
      <c r="M17" s="48"/>
      <c r="N17" s="48"/>
      <c r="O17" s="170"/>
    </row>
    <row r="18" spans="1:15" x14ac:dyDescent="0.25">
      <c r="A18" s="169"/>
      <c r="B18" s="19"/>
      <c r="C18" s="19"/>
      <c r="D18" s="19"/>
      <c r="E18" s="19"/>
      <c r="F18" s="19"/>
      <c r="G18" s="19"/>
      <c r="H18" s="111" t="s">
        <v>18</v>
      </c>
      <c r="I18" s="106">
        <f>SUM(I16:I17)</f>
        <v>16.203199999999999</v>
      </c>
      <c r="J18" s="19"/>
      <c r="K18" s="19"/>
      <c r="L18" s="19"/>
      <c r="M18" s="19"/>
      <c r="N18" s="19"/>
      <c r="O18" s="164"/>
    </row>
    <row r="19" spans="1:15" x14ac:dyDescent="0.25">
      <c r="A19" s="16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164"/>
    </row>
    <row r="20" spans="1:15" x14ac:dyDescent="0.25">
      <c r="A20" s="16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164"/>
    </row>
    <row r="21" spans="1:15" x14ac:dyDescent="0.25">
      <c r="A21" s="165"/>
      <c r="B21" s="46"/>
      <c r="C21" s="46"/>
      <c r="D21" s="46"/>
      <c r="E21" s="46"/>
      <c r="F21" s="178"/>
      <c r="G21" s="179"/>
      <c r="H21" s="179"/>
      <c r="I21" s="46"/>
      <c r="J21" s="46"/>
      <c r="K21" s="46"/>
      <c r="L21" s="46"/>
      <c r="M21" s="46"/>
      <c r="N21" s="46"/>
      <c r="O21" s="164"/>
    </row>
    <row r="22" spans="1:15" x14ac:dyDescent="0.25">
      <c r="A22" s="165"/>
      <c r="B22" s="46"/>
      <c r="C22" s="46"/>
      <c r="D22" s="46"/>
      <c r="E22" s="46"/>
      <c r="F22" s="178"/>
      <c r="G22" s="46"/>
      <c r="H22" s="46"/>
      <c r="I22" s="46"/>
      <c r="J22" s="46"/>
      <c r="K22" s="46"/>
      <c r="L22" s="46"/>
      <c r="M22" s="46"/>
      <c r="N22" s="46"/>
      <c r="O22" s="164"/>
    </row>
    <row r="23" spans="1:15" x14ac:dyDescent="0.25">
      <c r="A23" s="16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164"/>
    </row>
    <row r="24" spans="1:15" x14ac:dyDescent="0.25">
      <c r="A24" s="16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164"/>
    </row>
    <row r="25" spans="1:15" x14ac:dyDescent="0.25">
      <c r="A25" s="16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164"/>
    </row>
    <row r="26" spans="1:15" ht="15.75" thickBot="1" x14ac:dyDescent="0.3">
      <c r="A26" s="173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5"/>
    </row>
  </sheetData>
  <hyperlinks>
    <hyperlink ref="D3" location="'EN_0900_004 Drawing'!A1" display="FileLink1" xr:uid="{6A68EED4-513C-421E-A1FD-224DD9A14C5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51</vt:i4>
      </vt:variant>
    </vt:vector>
  </HeadingPairs>
  <TitlesOfParts>
    <vt:vector size="66" baseType="lpstr">
      <vt:lpstr>Instructions</vt:lpstr>
      <vt:lpstr>BOM</vt:lpstr>
      <vt:lpstr>EN_A0900</vt:lpstr>
      <vt:lpstr>EN_0900_001</vt:lpstr>
      <vt:lpstr>EN_0900_002</vt:lpstr>
      <vt:lpstr>EN_0900_002 Drawing</vt:lpstr>
      <vt:lpstr>EN_0900_003</vt:lpstr>
      <vt:lpstr>EN_0900_003 Drawing</vt:lpstr>
      <vt:lpstr>EN_0900_004</vt:lpstr>
      <vt:lpstr>EN_0900_004 Drawing</vt:lpstr>
      <vt:lpstr>EN_0900_005</vt:lpstr>
      <vt:lpstr>EN_0900_006</vt:lpstr>
      <vt:lpstr>EN_0900_007</vt:lpstr>
      <vt:lpstr>EN_0900_008</vt:lpstr>
      <vt:lpstr>EN_0900_009</vt:lpstr>
      <vt:lpstr>BOM!Car</vt:lpstr>
      <vt:lpstr>BOM!CompCode</vt:lpstr>
      <vt:lpstr>dBR_01001</vt:lpstr>
      <vt:lpstr>dEL_01001</vt:lpstr>
      <vt:lpstr>EN_0900_001</vt:lpstr>
      <vt:lpstr>EN_0900_001_f</vt:lpstr>
      <vt:lpstr>EN_0900_001_m</vt:lpstr>
      <vt:lpstr>EN_0900_001_p</vt:lpstr>
      <vt:lpstr>EN_0900_002</vt:lpstr>
      <vt:lpstr>EN_0900_002_m</vt:lpstr>
      <vt:lpstr>EN_0900_002_p</vt:lpstr>
      <vt:lpstr>EN_0900_002_q</vt:lpstr>
      <vt:lpstr>EN_0900_003</vt:lpstr>
      <vt:lpstr>EN_0900_003_m</vt:lpstr>
      <vt:lpstr>EN_0900_003_p</vt:lpstr>
      <vt:lpstr>EN_0900_003_q</vt:lpstr>
      <vt:lpstr>EN_0900_004</vt:lpstr>
      <vt:lpstr>EN_0900_004_m</vt:lpstr>
      <vt:lpstr>EN_0900_004_p</vt:lpstr>
      <vt:lpstr>EN_0900_004_q</vt:lpstr>
      <vt:lpstr>EN_0900_005</vt:lpstr>
      <vt:lpstr>EN_0900_005_m</vt:lpstr>
      <vt:lpstr>EN_0900_005_p</vt:lpstr>
      <vt:lpstr>EN_0900_005_q</vt:lpstr>
      <vt:lpstr>EN_0900_006</vt:lpstr>
      <vt:lpstr>EN_0900_006_m</vt:lpstr>
      <vt:lpstr>EN_0900_006_p</vt:lpstr>
      <vt:lpstr>EN_0900_006_q</vt:lpstr>
      <vt:lpstr>EN_0900_007</vt:lpstr>
      <vt:lpstr>EN_0900_007_m</vt:lpstr>
      <vt:lpstr>EN_0900_007_p</vt:lpstr>
      <vt:lpstr>EN_0900_007_q</vt:lpstr>
      <vt:lpstr>EN_0900_008</vt:lpstr>
      <vt:lpstr>EN_0900_008_m</vt:lpstr>
      <vt:lpstr>EN_0900_008_p</vt:lpstr>
      <vt:lpstr>EN_0900_008_q</vt:lpstr>
      <vt:lpstr>EN_0900_009</vt:lpstr>
      <vt:lpstr>EN_0900_009_m</vt:lpstr>
      <vt:lpstr>EN_0900_009_p</vt:lpstr>
      <vt:lpstr>EN_0900_009_q</vt:lpstr>
      <vt:lpstr>EN_A0900</vt:lpstr>
      <vt:lpstr>EN_A0900_f</vt:lpstr>
      <vt:lpstr>EN_A0900_m</vt:lpstr>
      <vt:lpstr>EN_A0900_p</vt:lpstr>
      <vt:lpstr>EN_A0900_pa</vt:lpstr>
      <vt:lpstr>EN_A0900_q</vt:lpstr>
      <vt:lpstr>EN_A0900_t</vt:lpstr>
      <vt:lpstr>EN_A0900p</vt:lpstr>
      <vt:lpstr>EN_A090f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Adrien de la Salle</cp:lastModifiedBy>
  <cp:revision>0</cp:revision>
  <dcterms:created xsi:type="dcterms:W3CDTF">2015-05-29T18:57:13Z</dcterms:created>
  <dcterms:modified xsi:type="dcterms:W3CDTF">2018-03-27T16:18:21Z</dcterms:modified>
  <dc:language>fr-FR</dc:language>
</cp:coreProperties>
</file>