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firstSheet="45" activeTab="51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42" r:id="rId12"/>
    <sheet name="dSU 01006" sheetId="43" r:id="rId13"/>
    <sheet name="SU 01007" sheetId="26" r:id="rId14"/>
    <sheet name="dSU 01007" sheetId="30" r:id="rId15"/>
    <sheet name="SU_A0200" sheetId="31" r:id="rId16"/>
    <sheet name="SU_02001" sheetId="32" r:id="rId17"/>
    <sheet name="dSU_02001" sheetId="38" r:id="rId18"/>
    <sheet name="SU_02002" sheetId="33" r:id="rId19"/>
    <sheet name="dSU_02002" sheetId="39" r:id="rId20"/>
    <sheet name="SU_02003" sheetId="34" r:id="rId21"/>
    <sheet name="SU_02004" sheetId="35" r:id="rId22"/>
    <sheet name="SU_02005" sheetId="36" r:id="rId23"/>
    <sheet name="dSU_02005" sheetId="40" r:id="rId24"/>
    <sheet name="SU_02006" sheetId="44" r:id="rId25"/>
    <sheet name="dSU_02006" sheetId="45" r:id="rId26"/>
    <sheet name="SU_02007" sheetId="37" r:id="rId27"/>
    <sheet name="dSU_02007" sheetId="41" r:id="rId28"/>
    <sheet name="SU_A0300" sheetId="46" r:id="rId29"/>
    <sheet name="SU_03001" sheetId="47" r:id="rId30"/>
    <sheet name="dSU_03001" sheetId="53" r:id="rId31"/>
    <sheet name="SU_03002" sheetId="48" r:id="rId32"/>
    <sheet name="dSU_03002" sheetId="54" r:id="rId33"/>
    <sheet name="SU_03003" sheetId="49" r:id="rId34"/>
    <sheet name="SU_03004" sheetId="50" r:id="rId35"/>
    <sheet name="SU_03005" sheetId="51" r:id="rId36"/>
    <sheet name="dSU_03005" sheetId="55" r:id="rId37"/>
    <sheet name="SU_03006" sheetId="57" r:id="rId38"/>
    <sheet name="dSU_03006" sheetId="58" r:id="rId39"/>
    <sheet name="SU_03007" sheetId="52" r:id="rId40"/>
    <sheet name="dSU_03007" sheetId="56" r:id="rId41"/>
    <sheet name="SU_A0400" sheetId="59" r:id="rId42"/>
    <sheet name="SU_04001" sheetId="60" r:id="rId43"/>
    <sheet name="dSU_04001" sheetId="66" r:id="rId44"/>
    <sheet name="SU_04002" sheetId="61" r:id="rId45"/>
    <sheet name="dSU_04002" sheetId="67" r:id="rId46"/>
    <sheet name="SU_04003" sheetId="62" r:id="rId47"/>
    <sheet name="SU_04004" sheetId="63" r:id="rId48"/>
    <sheet name="SU_04005" sheetId="64" r:id="rId49"/>
    <sheet name="dSU_04005" sheetId="68" r:id="rId50"/>
    <sheet name="SU_04006" sheetId="70" r:id="rId51"/>
    <sheet name="dSU_04006" sheetId="71" r:id="rId52"/>
    <sheet name="SU_04007" sheetId="65" r:id="rId53"/>
    <sheet name="dSU_04007" sheetId="69" r:id="rId54"/>
  </sheets>
  <externalReferences>
    <externalReference r:id="rId55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dSU_01007">'dSU 01007'!$A$1</definedName>
    <definedName name="dSU_02001">dSU_02001!$A$1</definedName>
    <definedName name="dSU_02002">dSU_02002!$A$1</definedName>
    <definedName name="dSU_02005">dSU_02005!$A$1</definedName>
    <definedName name="dSU_02006">dSU_02006!$A$1</definedName>
    <definedName name="dSU_02007">dSU_02007!$A$1</definedName>
    <definedName name="dSU_03001">dSU_03001!$A$1</definedName>
    <definedName name="dSU_03002">dSU_03002!$A$1</definedName>
    <definedName name="dSU_03005">dSU_03005!$A$1</definedName>
    <definedName name="dSU_03006">dSU_03006!$A$1</definedName>
    <definedName name="dSU_03007">dSU_03007!$A$1</definedName>
    <definedName name="SU_01001">'SU 01001'!$B$6</definedName>
    <definedName name="SU_01001_m">'SU 01001'!$N$12</definedName>
    <definedName name="SU_01001_p">'SU 01001'!$I$21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01005'!$I$21</definedName>
    <definedName name="SU_01005_q">'SU 01005'!$N$3</definedName>
    <definedName name="SU_01006">'SU 01006'!$B$6</definedName>
    <definedName name="SU_01006_m">'SU 01006'!$N$12</definedName>
    <definedName name="SU_01006_p">'SU 01006'!$I$21</definedName>
    <definedName name="SU_01006_q">'SU 01006'!$N$3</definedName>
    <definedName name="SU_01007">'SU 01007'!$B$6</definedName>
    <definedName name="SU_01007_m">'SU 01007'!$N$12</definedName>
    <definedName name="SU_01007_p">'SU 01007'!$I$19</definedName>
    <definedName name="SU_01007_q">'SU 01007'!$N$3</definedName>
    <definedName name="SU_02001">SU_02001!$B$6</definedName>
    <definedName name="SU_02001_m">SU_02001!$N$12</definedName>
    <definedName name="SU_02001_p">SU_02001!$I$21</definedName>
    <definedName name="SU_02001_q">SU_02001!$N$3</definedName>
    <definedName name="SU_02002">SU_02002!$B$6</definedName>
    <definedName name="SU_02002_m">SU_02002!$N$12</definedName>
    <definedName name="SU_02002_p">SU_02002!$I$21</definedName>
    <definedName name="SU_02002_q">SU_02002!$N$3</definedName>
    <definedName name="SU_02003">SU_02003!$B$6</definedName>
    <definedName name="SU_02003_m">SU_02003!$N$12</definedName>
    <definedName name="SU_02003_p">SU_02003!$I$16</definedName>
    <definedName name="SU_02003_q">SU_02003!$N$3</definedName>
    <definedName name="SU_02004">SU_02004!$B$6</definedName>
    <definedName name="SU_02004_m">SU_02004!$N$12</definedName>
    <definedName name="SU_02004_p">SU_02004!$I$16</definedName>
    <definedName name="SU_02004_q">SU_02004!$N$3</definedName>
    <definedName name="SU_02005">SU_02005!$B$6</definedName>
    <definedName name="SU_02005_m">SU_02005!$N$12</definedName>
    <definedName name="SU_02005_p">SU_02005!$I$21</definedName>
    <definedName name="SU_02005_q">SU_02005!$N$3</definedName>
    <definedName name="SU_02006">SU_02006!$B$6</definedName>
    <definedName name="SU_02006_m">SU_02006!$N$12</definedName>
    <definedName name="SU_02006_p">SU_02006!$I$21</definedName>
    <definedName name="SU_02006_q">SU_02006!$N$3</definedName>
    <definedName name="SU_02007">SU_02007!$B$6</definedName>
    <definedName name="SU_02007_m">SU_02007!$N$12</definedName>
    <definedName name="SU_02007_p">SU_02007!$I$19</definedName>
    <definedName name="SU_02007_q">SU_02007!$N$3</definedName>
    <definedName name="SU_03001">SU_03001!$B$6</definedName>
    <definedName name="SU_03001_m">SU_03001!$N$12</definedName>
    <definedName name="SU_03001_p">SU_03001!$I$21</definedName>
    <definedName name="SU_03001_q">SU_03001!$N$3</definedName>
    <definedName name="SU_03002">SU_03002!$B$6</definedName>
    <definedName name="SU_03002_m">SU_03002!$N$12</definedName>
    <definedName name="SU_03002_p">SU_03002!$I$21</definedName>
    <definedName name="SU_03002_q">SU_03002!$N$3</definedName>
    <definedName name="SU_03003">SU_03003!$B$6</definedName>
    <definedName name="SU_03003_m">SU_03003!$N$12</definedName>
    <definedName name="SU_03003_p">SU_03003!$I$16</definedName>
    <definedName name="SU_03003_q">SU_03003!$N$3</definedName>
    <definedName name="SU_03004">SU_03004!$B$6</definedName>
    <definedName name="SU_03004_m">SU_03004!$N$12</definedName>
    <definedName name="SU_03004_p">SU_03004!$I$16</definedName>
    <definedName name="SU_03004_q">SU_03004!$N$3</definedName>
    <definedName name="SU_03005">SU_03005!$B$6</definedName>
    <definedName name="SU_03005_m">SU_03005!$N$12</definedName>
    <definedName name="SU_03005_p">SU_03005!$I$21</definedName>
    <definedName name="SU_03005_q">SU_03005!$N$3</definedName>
    <definedName name="SU_03006">SU_03006!$B$6</definedName>
    <definedName name="SU_03006_m">SU_03006!$N$12</definedName>
    <definedName name="SU_03006_p">SU_03006!$I$21</definedName>
    <definedName name="SU_03006_q">SU_03006!$N$3</definedName>
    <definedName name="SU_03007">SU_03007!$B$6</definedName>
    <definedName name="SU_03007_m">SU_03007!$N$12</definedName>
    <definedName name="SU_03007_p">SU_03007!$I$19</definedName>
    <definedName name="SU_03007_q">SU_03007!$N$3</definedName>
    <definedName name="SU_A0100">'SU A0100'!$B$5</definedName>
    <definedName name="SU_A0100_BOM">BOM!$C$7</definedName>
    <definedName name="SU_A0100_f">'SU A0100'!$J$51</definedName>
    <definedName name="SU_A0100_m">'SU A0100'!$N$23</definedName>
    <definedName name="SU_A0100_p">'SU A0100'!$I$44</definedName>
    <definedName name="SU_A0100_pa">'SU A0100'!$E$17</definedName>
    <definedName name="SU_A0100_q">'SU A0100'!$N$3</definedName>
    <definedName name="SU_A0200">SU_A0200!$B$5</definedName>
    <definedName name="SU_A0200_BOM">BOM!$C$15</definedName>
    <definedName name="SU_A0200_f">SU_A0200!$J$51</definedName>
    <definedName name="SU_A0200_m">SU_A0200!$N$23</definedName>
    <definedName name="SU_A0200_p">SU_A0200!$I$44</definedName>
    <definedName name="SU_A0200_pa">SU_A0200!$E$17</definedName>
    <definedName name="SU_A0200_q">SU_A0200!$N$3</definedName>
    <definedName name="SU_A0300">SU_A0300!$B$5</definedName>
    <definedName name="SU_A0300_BOM">BOM!$C$23</definedName>
    <definedName name="SU_A0300_f">SU_A0300!$J$51</definedName>
    <definedName name="SU_A0300_m">SU_A0300!$N$23</definedName>
    <definedName name="SU_A0300_p">SU_A0300!$I$44</definedName>
    <definedName name="SU_A0300_pa">SU_A0300!$E$17</definedName>
    <definedName name="SU_A0300_q">SU_A0300!$N$3</definedName>
  </definedNames>
  <calcPr calcId="162913" concurrentCalc="0"/>
</workbook>
</file>

<file path=xl/calcChain.xml><?xml version="1.0" encoding="utf-8"?>
<calcChain xmlns="http://schemas.openxmlformats.org/spreadsheetml/2006/main">
  <c r="B1" i="66" l="1"/>
  <c r="I15" i="65"/>
  <c r="I16" i="65"/>
  <c r="I17" i="65"/>
  <c r="I18" i="65"/>
  <c r="I19" i="65"/>
  <c r="D11" i="65"/>
  <c r="J11" i="65"/>
  <c r="E11" i="65"/>
  <c r="N11" i="65"/>
  <c r="N12" i="65"/>
  <c r="N2" i="65"/>
  <c r="N5" i="65"/>
  <c r="B3" i="65"/>
  <c r="I15" i="64"/>
  <c r="I16" i="64"/>
  <c r="I17" i="64"/>
  <c r="I18" i="64"/>
  <c r="I19" i="64"/>
  <c r="I20" i="64"/>
  <c r="I21" i="64"/>
  <c r="J11" i="64"/>
  <c r="E11" i="64"/>
  <c r="N11" i="64"/>
  <c r="N12" i="64"/>
  <c r="N2" i="64"/>
  <c r="N5" i="64"/>
  <c r="B3" i="64"/>
  <c r="I15" i="63"/>
  <c r="I16" i="63"/>
  <c r="J11" i="63"/>
  <c r="E11" i="63"/>
  <c r="N11" i="63"/>
  <c r="N12" i="63"/>
  <c r="N2" i="63"/>
  <c r="N5" i="63"/>
  <c r="B3" i="63"/>
  <c r="I15" i="62"/>
  <c r="I16" i="62"/>
  <c r="J11" i="62"/>
  <c r="E11" i="62"/>
  <c r="N11" i="62"/>
  <c r="N12" i="62"/>
  <c r="N2" i="62"/>
  <c r="N5" i="62"/>
  <c r="B3" i="62"/>
  <c r="I15" i="61"/>
  <c r="I16" i="61"/>
  <c r="I17" i="61"/>
  <c r="I18" i="61"/>
  <c r="I19" i="61"/>
  <c r="I20" i="61"/>
  <c r="I21" i="61"/>
  <c r="J11" i="61"/>
  <c r="R13" i="61"/>
  <c r="R14" i="61"/>
  <c r="R15" i="61"/>
  <c r="R16" i="61"/>
  <c r="D11" i="61"/>
  <c r="E11" i="61"/>
  <c r="N11" i="61"/>
  <c r="N12" i="61"/>
  <c r="N2" i="61"/>
  <c r="N5" i="61"/>
  <c r="B3" i="61"/>
  <c r="I15" i="60"/>
  <c r="I16" i="60"/>
  <c r="I17" i="60"/>
  <c r="I18" i="60"/>
  <c r="I19" i="60"/>
  <c r="I20" i="60"/>
  <c r="I21" i="60"/>
  <c r="R18" i="60"/>
  <c r="R17" i="60"/>
  <c r="R16" i="60"/>
  <c r="J11" i="60"/>
  <c r="D11" i="60"/>
  <c r="N11" i="60"/>
  <c r="N12" i="60"/>
  <c r="N2" i="60"/>
  <c r="N5" i="60"/>
  <c r="B3" i="60"/>
  <c r="D46" i="59"/>
  <c r="J46" i="59"/>
  <c r="D47" i="59"/>
  <c r="J47" i="59"/>
  <c r="D48" i="59"/>
  <c r="J48" i="59"/>
  <c r="J49" i="59"/>
  <c r="J50" i="59"/>
  <c r="F25" i="59"/>
  <c r="I25" i="59"/>
  <c r="I26" i="59"/>
  <c r="I27" i="59"/>
  <c r="I28" i="59"/>
  <c r="I29" i="59"/>
  <c r="I30" i="59"/>
  <c r="I31" i="59"/>
  <c r="I32" i="59"/>
  <c r="F33" i="59"/>
  <c r="I33" i="59"/>
  <c r="F34" i="59"/>
  <c r="I34" i="59"/>
  <c r="I35" i="59"/>
  <c r="I36" i="59"/>
  <c r="I37" i="59"/>
  <c r="I38" i="59"/>
  <c r="I39" i="59"/>
  <c r="I40" i="59"/>
  <c r="I41" i="59"/>
  <c r="I42" i="59"/>
  <c r="I43" i="59"/>
  <c r="D19" i="59"/>
  <c r="N19" i="59"/>
  <c r="N20" i="59"/>
  <c r="N21" i="59"/>
  <c r="N22" i="59"/>
  <c r="C10" i="59"/>
  <c r="E10" i="59"/>
  <c r="C11" i="59"/>
  <c r="E11" i="59"/>
  <c r="C12" i="59"/>
  <c r="E12" i="59"/>
  <c r="C13" i="59"/>
  <c r="E13" i="59"/>
  <c r="C14" i="59"/>
  <c r="E14" i="59"/>
  <c r="C15" i="59"/>
  <c r="E15" i="59"/>
  <c r="E16" i="59"/>
  <c r="B15" i="59"/>
  <c r="B14" i="59"/>
  <c r="B13" i="59"/>
  <c r="B12" i="59"/>
  <c r="B11" i="59"/>
  <c r="B10" i="59"/>
  <c r="N2" i="59"/>
  <c r="N5" i="59"/>
  <c r="J38" i="8"/>
  <c r="K38" i="8"/>
  <c r="H38" i="8"/>
  <c r="I38" i="8"/>
  <c r="N38" i="8"/>
  <c r="F38" i="8"/>
  <c r="E38" i="8"/>
  <c r="C38" i="8"/>
  <c r="J37" i="8"/>
  <c r="K37" i="8"/>
  <c r="H37" i="8"/>
  <c r="I37" i="8"/>
  <c r="N37" i="8"/>
  <c r="F37" i="8"/>
  <c r="E37" i="8"/>
  <c r="C37" i="8"/>
  <c r="J36" i="8"/>
  <c r="K36" i="8"/>
  <c r="H36" i="8"/>
  <c r="I36" i="8"/>
  <c r="N36" i="8"/>
  <c r="F36" i="8"/>
  <c r="E36" i="8"/>
  <c r="C36" i="8"/>
  <c r="J35" i="8"/>
  <c r="K35" i="8"/>
  <c r="H35" i="8"/>
  <c r="I35" i="8"/>
  <c r="N35" i="8"/>
  <c r="F35" i="8"/>
  <c r="E35" i="8"/>
  <c r="C35" i="8"/>
  <c r="J34" i="8"/>
  <c r="K34" i="8"/>
  <c r="H34" i="8"/>
  <c r="I34" i="8"/>
  <c r="N34" i="8"/>
  <c r="F34" i="8"/>
  <c r="E34" i="8"/>
  <c r="C34" i="8"/>
  <c r="J33" i="8"/>
  <c r="K33" i="8"/>
  <c r="H33" i="8"/>
  <c r="I33" i="8"/>
  <c r="N33" i="8"/>
  <c r="F33" i="8"/>
  <c r="E33" i="8"/>
  <c r="C33" i="8"/>
  <c r="J32" i="8"/>
  <c r="K32" i="8"/>
  <c r="H32" i="8"/>
  <c r="I32" i="8"/>
  <c r="N32" i="8"/>
  <c r="F32" i="8"/>
  <c r="E32" i="8"/>
  <c r="C32" i="8"/>
  <c r="J31" i="8"/>
  <c r="K31" i="8"/>
  <c r="L31" i="8"/>
  <c r="H31" i="8"/>
  <c r="I31" i="8"/>
  <c r="N31" i="8"/>
  <c r="F31" i="8"/>
  <c r="C31" i="8"/>
  <c r="J11" i="47"/>
  <c r="J11" i="32"/>
  <c r="J11" i="21"/>
  <c r="J11" i="57"/>
  <c r="E11" i="57"/>
  <c r="N11" i="57"/>
  <c r="J11" i="51"/>
  <c r="E11" i="51"/>
  <c r="N11" i="51"/>
  <c r="L23" i="8"/>
  <c r="K30" i="8"/>
  <c r="K29" i="8"/>
  <c r="K28" i="8"/>
  <c r="K27" i="8"/>
  <c r="K26" i="8"/>
  <c r="K25" i="8"/>
  <c r="K24" i="8"/>
  <c r="K23" i="8"/>
  <c r="J30" i="8"/>
  <c r="N12" i="57"/>
  <c r="J29" i="8"/>
  <c r="N12" i="51"/>
  <c r="J28" i="8"/>
  <c r="J27" i="8"/>
  <c r="J26" i="8"/>
  <c r="J25" i="8"/>
  <c r="D11" i="47"/>
  <c r="N11" i="47"/>
  <c r="N12" i="47"/>
  <c r="J24" i="8"/>
  <c r="J23" i="8"/>
  <c r="I30" i="8"/>
  <c r="I29" i="8"/>
  <c r="I28" i="8"/>
  <c r="I27" i="8"/>
  <c r="I26" i="8"/>
  <c r="I25" i="8"/>
  <c r="I24" i="8"/>
  <c r="I23" i="8"/>
  <c r="N2" i="51"/>
  <c r="C14" i="46"/>
  <c r="D14" i="46"/>
  <c r="E14" i="46"/>
  <c r="N2" i="47"/>
  <c r="C10" i="46"/>
  <c r="D10" i="46"/>
  <c r="E10" i="46"/>
  <c r="D11" i="46"/>
  <c r="E11" i="46"/>
  <c r="D12" i="46"/>
  <c r="E12" i="46"/>
  <c r="D13" i="46"/>
  <c r="E13" i="46"/>
  <c r="D16" i="46"/>
  <c r="E16" i="46"/>
  <c r="E17" i="46"/>
  <c r="N2" i="46"/>
  <c r="F30" i="8"/>
  <c r="F29" i="8"/>
  <c r="F28" i="8"/>
  <c r="F27" i="8"/>
  <c r="F26" i="8"/>
  <c r="F25" i="8"/>
  <c r="F24" i="8"/>
  <c r="F23" i="8"/>
  <c r="C30" i="8"/>
  <c r="C29" i="8"/>
  <c r="C28" i="8"/>
  <c r="C27" i="8"/>
  <c r="C26" i="8"/>
  <c r="C25" i="8"/>
  <c r="C24" i="8"/>
  <c r="C23" i="8"/>
  <c r="H30" i="8"/>
  <c r="N30" i="8"/>
  <c r="F15" i="8"/>
  <c r="E30" i="8"/>
  <c r="H29" i="8"/>
  <c r="N29" i="8"/>
  <c r="E29" i="8"/>
  <c r="H28" i="8"/>
  <c r="N28" i="8"/>
  <c r="E28" i="8"/>
  <c r="H27" i="8"/>
  <c r="N27" i="8"/>
  <c r="E27" i="8"/>
  <c r="H26" i="8"/>
  <c r="N26" i="8"/>
  <c r="E26" i="8"/>
  <c r="H25" i="8"/>
  <c r="N25" i="8"/>
  <c r="E25" i="8"/>
  <c r="H24" i="8"/>
  <c r="N24" i="8"/>
  <c r="E24" i="8"/>
  <c r="H23" i="8"/>
  <c r="N23" i="8"/>
  <c r="C22" i="8"/>
  <c r="F15" i="24"/>
  <c r="I15" i="24"/>
  <c r="F15" i="23"/>
  <c r="I15" i="23"/>
  <c r="F15" i="35"/>
  <c r="I15" i="35"/>
  <c r="F15" i="34"/>
  <c r="I15" i="34"/>
  <c r="F15" i="49"/>
  <c r="I15" i="49"/>
  <c r="F15" i="50"/>
  <c r="I15" i="50"/>
  <c r="E11" i="50"/>
  <c r="D11" i="50"/>
  <c r="N11" i="50"/>
  <c r="E11" i="49"/>
  <c r="D11" i="49"/>
  <c r="N11" i="49"/>
  <c r="J11" i="50"/>
  <c r="J11" i="49"/>
  <c r="D15" i="46"/>
  <c r="N2" i="57"/>
  <c r="C15" i="46"/>
  <c r="B15" i="46"/>
  <c r="B1" i="55"/>
  <c r="B1" i="53"/>
  <c r="B1" i="54"/>
  <c r="I15" i="57"/>
  <c r="I16" i="57"/>
  <c r="I17" i="57"/>
  <c r="I18" i="57"/>
  <c r="I19" i="57"/>
  <c r="I20" i="57"/>
  <c r="I21" i="57"/>
  <c r="N5" i="57"/>
  <c r="B3" i="57"/>
  <c r="B1" i="56"/>
  <c r="I15" i="52"/>
  <c r="I16" i="52"/>
  <c r="I17" i="52"/>
  <c r="I18" i="52"/>
  <c r="I19" i="52"/>
  <c r="D11" i="52"/>
  <c r="J11" i="52"/>
  <c r="E11" i="52"/>
  <c r="N11" i="52"/>
  <c r="N12" i="52"/>
  <c r="N2" i="52"/>
  <c r="N5" i="52"/>
  <c r="B3" i="52"/>
  <c r="I15" i="51"/>
  <c r="I16" i="51"/>
  <c r="I17" i="51"/>
  <c r="I18" i="51"/>
  <c r="I19" i="51"/>
  <c r="I20" i="51"/>
  <c r="I21" i="51"/>
  <c r="N5" i="51"/>
  <c r="B3" i="51"/>
  <c r="I16" i="50"/>
  <c r="N12" i="50"/>
  <c r="N2" i="50"/>
  <c r="N5" i="50"/>
  <c r="B3" i="50"/>
  <c r="I16" i="49"/>
  <c r="N12" i="49"/>
  <c r="N2" i="49"/>
  <c r="N5" i="49"/>
  <c r="B3" i="49"/>
  <c r="I15" i="48"/>
  <c r="I16" i="48"/>
  <c r="I17" i="48"/>
  <c r="I18" i="48"/>
  <c r="I19" i="48"/>
  <c r="I20" i="48"/>
  <c r="I21" i="48"/>
  <c r="J11" i="48"/>
  <c r="R13" i="48"/>
  <c r="R14" i="48"/>
  <c r="R15" i="48"/>
  <c r="R16" i="48"/>
  <c r="D11" i="48"/>
  <c r="E11" i="48"/>
  <c r="N11" i="48"/>
  <c r="N12" i="48"/>
  <c r="N2" i="48"/>
  <c r="N5" i="48"/>
  <c r="B3" i="48"/>
  <c r="I15" i="47"/>
  <c r="I16" i="47"/>
  <c r="I17" i="47"/>
  <c r="I18" i="47"/>
  <c r="I19" i="47"/>
  <c r="I20" i="47"/>
  <c r="I21" i="47"/>
  <c r="R18" i="47"/>
  <c r="R17" i="47"/>
  <c r="R16" i="47"/>
  <c r="N5" i="47"/>
  <c r="B3" i="47"/>
  <c r="D47" i="46"/>
  <c r="J47" i="46"/>
  <c r="D48" i="46"/>
  <c r="J48" i="46"/>
  <c r="D49" i="46"/>
  <c r="J49" i="46"/>
  <c r="J50" i="46"/>
  <c r="J51" i="46"/>
  <c r="F26" i="46"/>
  <c r="I26" i="46"/>
  <c r="I27" i="46"/>
  <c r="I28" i="46"/>
  <c r="I29" i="46"/>
  <c r="I30" i="46"/>
  <c r="I31" i="46"/>
  <c r="I32" i="46"/>
  <c r="I33" i="46"/>
  <c r="F34" i="46"/>
  <c r="I34" i="46"/>
  <c r="F35" i="46"/>
  <c r="I35" i="46"/>
  <c r="I36" i="46"/>
  <c r="I37" i="46"/>
  <c r="I38" i="46"/>
  <c r="I39" i="46"/>
  <c r="I40" i="46"/>
  <c r="I41" i="46"/>
  <c r="I42" i="46"/>
  <c r="I43" i="46"/>
  <c r="I44" i="46"/>
  <c r="D20" i="46"/>
  <c r="N20" i="46"/>
  <c r="N21" i="46"/>
  <c r="N22" i="46"/>
  <c r="N23" i="46"/>
  <c r="C11" i="46"/>
  <c r="C12" i="46"/>
  <c r="C13" i="46"/>
  <c r="C16" i="46"/>
  <c r="B16" i="46"/>
  <c r="B14" i="46"/>
  <c r="B13" i="46"/>
  <c r="B12" i="46"/>
  <c r="B11" i="46"/>
  <c r="B10" i="46"/>
  <c r="N5" i="46"/>
  <c r="D20" i="31"/>
  <c r="C21" i="8"/>
  <c r="E21" i="8"/>
  <c r="F21" i="8"/>
  <c r="D16" i="31"/>
  <c r="D15" i="31"/>
  <c r="D14" i="31"/>
  <c r="D13" i="31"/>
  <c r="D12" i="31"/>
  <c r="D11" i="31"/>
  <c r="D10" i="31"/>
  <c r="C15" i="31"/>
  <c r="B15" i="31"/>
  <c r="B1" i="45"/>
  <c r="B1" i="41"/>
  <c r="J11" i="44"/>
  <c r="E11" i="44"/>
  <c r="N11" i="44"/>
  <c r="J11" i="36"/>
  <c r="E11" i="36"/>
  <c r="N11" i="36"/>
  <c r="I15" i="44"/>
  <c r="I16" i="44"/>
  <c r="I17" i="44"/>
  <c r="I18" i="44"/>
  <c r="I19" i="44"/>
  <c r="I20" i="44"/>
  <c r="I21" i="44"/>
  <c r="N12" i="44"/>
  <c r="N2" i="44"/>
  <c r="N5" i="44"/>
  <c r="B3" i="44"/>
  <c r="K22" i="8"/>
  <c r="J22" i="8"/>
  <c r="I22" i="8"/>
  <c r="I21" i="8"/>
  <c r="J21" i="8"/>
  <c r="K21" i="8"/>
  <c r="H21" i="8"/>
  <c r="N21" i="8"/>
  <c r="J11" i="42"/>
  <c r="E11" i="42"/>
  <c r="C13" i="8"/>
  <c r="F7" i="8"/>
  <c r="E13" i="8"/>
  <c r="F13" i="8"/>
  <c r="B1" i="30"/>
  <c r="B1" i="43"/>
  <c r="N11" i="42"/>
  <c r="N12" i="42"/>
  <c r="N2" i="42"/>
  <c r="C15" i="20"/>
  <c r="D15" i="20"/>
  <c r="E15" i="20"/>
  <c r="E11" i="25"/>
  <c r="N11" i="25"/>
  <c r="N12" i="25"/>
  <c r="N2" i="25"/>
  <c r="C14" i="20"/>
  <c r="D14" i="20"/>
  <c r="E14" i="20"/>
  <c r="D11" i="20"/>
  <c r="E11" i="20"/>
  <c r="D12" i="20"/>
  <c r="I16" i="23"/>
  <c r="N2" i="23"/>
  <c r="C12" i="20"/>
  <c r="E12" i="20"/>
  <c r="D13" i="20"/>
  <c r="I16" i="24"/>
  <c r="N2" i="24"/>
  <c r="C13" i="20"/>
  <c r="E13" i="20"/>
  <c r="D16" i="20"/>
  <c r="E16" i="20"/>
  <c r="D11" i="21"/>
  <c r="N11" i="21"/>
  <c r="N12" i="21"/>
  <c r="N2" i="21"/>
  <c r="C10" i="20"/>
  <c r="D10" i="20"/>
  <c r="E10" i="20"/>
  <c r="E17" i="20"/>
  <c r="I15" i="42"/>
  <c r="I16" i="42"/>
  <c r="I17" i="42"/>
  <c r="I18" i="42"/>
  <c r="I19" i="42"/>
  <c r="I20" i="42"/>
  <c r="I21" i="42"/>
  <c r="N5" i="42"/>
  <c r="B4" i="42"/>
  <c r="B3" i="42"/>
  <c r="K14" i="8"/>
  <c r="J14" i="8"/>
  <c r="I14" i="8"/>
  <c r="J13" i="8"/>
  <c r="K13" i="8"/>
  <c r="H13" i="8"/>
  <c r="I13" i="8"/>
  <c r="N13" i="8"/>
  <c r="C14" i="8"/>
  <c r="E17" i="8"/>
  <c r="E18" i="8"/>
  <c r="E19" i="8"/>
  <c r="E20" i="8"/>
  <c r="E22" i="8"/>
  <c r="E16" i="8"/>
  <c r="I20" i="8"/>
  <c r="I19" i="8"/>
  <c r="I18" i="8"/>
  <c r="I17" i="8"/>
  <c r="I16" i="8"/>
  <c r="D11" i="35"/>
  <c r="N11" i="35"/>
  <c r="D11" i="34"/>
  <c r="N11" i="34"/>
  <c r="D11" i="24"/>
  <c r="N11" i="24"/>
  <c r="J11" i="35"/>
  <c r="E11" i="35"/>
  <c r="J11" i="34"/>
  <c r="E11" i="34"/>
  <c r="J11" i="24"/>
  <c r="E11" i="24"/>
  <c r="K11" i="35"/>
  <c r="N11" i="23"/>
  <c r="J11" i="23"/>
  <c r="E11" i="23"/>
  <c r="D11" i="23"/>
  <c r="F22" i="8"/>
  <c r="F20" i="8"/>
  <c r="F19" i="8"/>
  <c r="F18" i="8"/>
  <c r="F16" i="8"/>
  <c r="F17" i="8"/>
  <c r="L15" i="8"/>
  <c r="K20" i="8"/>
  <c r="I16" i="35"/>
  <c r="K19" i="8"/>
  <c r="I16" i="34"/>
  <c r="K18" i="8"/>
  <c r="K17" i="8"/>
  <c r="K16" i="8"/>
  <c r="K15" i="8"/>
  <c r="N12" i="36"/>
  <c r="J20" i="8"/>
  <c r="N12" i="35"/>
  <c r="J19" i="8"/>
  <c r="N12" i="34"/>
  <c r="J18" i="8"/>
  <c r="J17" i="8"/>
  <c r="D11" i="32"/>
  <c r="N11" i="32"/>
  <c r="N12" i="32"/>
  <c r="J16" i="8"/>
  <c r="N20" i="31"/>
  <c r="N23" i="31"/>
  <c r="J15" i="8"/>
  <c r="I15" i="8"/>
  <c r="C20" i="8"/>
  <c r="C19" i="8"/>
  <c r="C18" i="8"/>
  <c r="C17" i="8"/>
  <c r="C16" i="8"/>
  <c r="C15" i="8"/>
  <c r="H22" i="8"/>
  <c r="N22" i="8"/>
  <c r="H20" i="8"/>
  <c r="N20" i="8"/>
  <c r="H19" i="8"/>
  <c r="N19" i="8"/>
  <c r="H18" i="8"/>
  <c r="N18" i="8"/>
  <c r="H17" i="8"/>
  <c r="N17" i="8"/>
  <c r="H16" i="8"/>
  <c r="N16" i="8"/>
  <c r="H15" i="8"/>
  <c r="N15" i="8"/>
  <c r="B1" i="38"/>
  <c r="I21" i="32"/>
  <c r="N12" i="23"/>
  <c r="N12" i="24"/>
  <c r="C11" i="20"/>
  <c r="C16" i="20"/>
  <c r="N2" i="31"/>
  <c r="I44" i="31"/>
  <c r="N2" i="32"/>
  <c r="I15" i="37"/>
  <c r="I16" i="37"/>
  <c r="I17" i="37"/>
  <c r="I18" i="37"/>
  <c r="I19" i="37"/>
  <c r="D11" i="37"/>
  <c r="J11" i="37"/>
  <c r="E11" i="37"/>
  <c r="N11" i="37"/>
  <c r="N12" i="37"/>
  <c r="N2" i="37"/>
  <c r="N5" i="37"/>
  <c r="B3" i="37"/>
  <c r="I15" i="36"/>
  <c r="I16" i="36"/>
  <c r="I17" i="36"/>
  <c r="I18" i="36"/>
  <c r="I19" i="36"/>
  <c r="I20" i="36"/>
  <c r="I21" i="36"/>
  <c r="N2" i="36"/>
  <c r="N5" i="36"/>
  <c r="B3" i="36"/>
  <c r="N2" i="35"/>
  <c r="N5" i="35"/>
  <c r="B3" i="35"/>
  <c r="N2" i="34"/>
  <c r="N5" i="34"/>
  <c r="B3" i="34"/>
  <c r="I15" i="33"/>
  <c r="I16" i="33"/>
  <c r="I17" i="33"/>
  <c r="I18" i="33"/>
  <c r="I19" i="33"/>
  <c r="I20" i="33"/>
  <c r="I21" i="33"/>
  <c r="D11" i="33"/>
  <c r="J11" i="33"/>
  <c r="E11" i="33"/>
  <c r="N11" i="33"/>
  <c r="N12" i="33"/>
  <c r="N2" i="33"/>
  <c r="N5" i="33"/>
  <c r="B3" i="33"/>
  <c r="I15" i="32"/>
  <c r="I16" i="32"/>
  <c r="I17" i="32"/>
  <c r="I18" i="32"/>
  <c r="I19" i="32"/>
  <c r="I20" i="32"/>
  <c r="R18" i="32"/>
  <c r="R17" i="32"/>
  <c r="R16" i="32"/>
  <c r="N5" i="32"/>
  <c r="B3" i="32"/>
  <c r="D47" i="31"/>
  <c r="J47" i="31"/>
  <c r="D48" i="31"/>
  <c r="J48" i="31"/>
  <c r="D49" i="31"/>
  <c r="J49" i="31"/>
  <c r="J50" i="31"/>
  <c r="J51" i="31"/>
  <c r="F26" i="31"/>
  <c r="I26" i="31"/>
  <c r="I27" i="31"/>
  <c r="I28" i="31"/>
  <c r="I29" i="31"/>
  <c r="I30" i="31"/>
  <c r="I31" i="31"/>
  <c r="I32" i="31"/>
  <c r="I33" i="31"/>
  <c r="F34" i="31"/>
  <c r="I34" i="31"/>
  <c r="F35" i="31"/>
  <c r="I35" i="31"/>
  <c r="I36" i="31"/>
  <c r="I37" i="31"/>
  <c r="I38" i="31"/>
  <c r="I39" i="31"/>
  <c r="I40" i="31"/>
  <c r="I41" i="31"/>
  <c r="I42" i="31"/>
  <c r="I43" i="31"/>
  <c r="N21" i="31"/>
  <c r="N22" i="31"/>
  <c r="C10" i="31"/>
  <c r="E10" i="31"/>
  <c r="C11" i="31"/>
  <c r="E11" i="31"/>
  <c r="C12" i="31"/>
  <c r="E12" i="31"/>
  <c r="C13" i="31"/>
  <c r="E13" i="31"/>
  <c r="C14" i="31"/>
  <c r="E14" i="31"/>
  <c r="C16" i="31"/>
  <c r="E16" i="31"/>
  <c r="E17" i="31"/>
  <c r="B16" i="31"/>
  <c r="B14" i="31"/>
  <c r="B13" i="31"/>
  <c r="B12" i="31"/>
  <c r="B11" i="31"/>
  <c r="B10" i="31"/>
  <c r="N5" i="31"/>
  <c r="I19" i="26"/>
  <c r="I21" i="25"/>
  <c r="N2" i="22"/>
  <c r="I21" i="22"/>
  <c r="I21" i="21"/>
  <c r="L7" i="8"/>
  <c r="K12" i="8"/>
  <c r="K11" i="8"/>
  <c r="K10" i="8"/>
  <c r="K9" i="8"/>
  <c r="K8" i="8"/>
  <c r="K7" i="8"/>
  <c r="F14" i="8"/>
  <c r="F12" i="8"/>
  <c r="F11" i="8"/>
  <c r="F10" i="8"/>
  <c r="F9" i="8"/>
  <c r="F8" i="8"/>
  <c r="J12" i="8"/>
  <c r="J11" i="8"/>
  <c r="J10" i="8"/>
  <c r="J9" i="8"/>
  <c r="J8" i="8"/>
  <c r="J7" i="8"/>
  <c r="I7" i="8"/>
  <c r="I12" i="8"/>
  <c r="I11" i="8"/>
  <c r="I10" i="8"/>
  <c r="I9" i="8"/>
  <c r="I8" i="8"/>
  <c r="E9" i="8"/>
  <c r="E10" i="8"/>
  <c r="E11" i="8"/>
  <c r="E12" i="8"/>
  <c r="E14" i="8"/>
  <c r="E8" i="8"/>
  <c r="C12" i="8"/>
  <c r="C11" i="8"/>
  <c r="C10" i="8"/>
  <c r="C9" i="8"/>
  <c r="C8" i="8"/>
  <c r="C7" i="8"/>
  <c r="N2" i="26"/>
  <c r="J51" i="20"/>
  <c r="N23" i="20"/>
  <c r="I44" i="20"/>
  <c r="B1" i="27"/>
  <c r="N2" i="20"/>
  <c r="L58" i="30"/>
  <c r="I18" i="26"/>
  <c r="I17" i="26"/>
  <c r="I16" i="26"/>
  <c r="I15" i="26"/>
  <c r="J11" i="26"/>
  <c r="E11" i="26"/>
  <c r="D11" i="26"/>
  <c r="N11" i="26"/>
  <c r="N12" i="26"/>
  <c r="B4" i="26"/>
  <c r="B3" i="26"/>
  <c r="I20" i="25"/>
  <c r="I19" i="25"/>
  <c r="I18" i="25"/>
  <c r="I17" i="25"/>
  <c r="I16" i="25"/>
  <c r="I15" i="25"/>
  <c r="J11" i="25"/>
  <c r="B4" i="25"/>
  <c r="B3" i="25"/>
  <c r="B4" i="24"/>
  <c r="B3" i="24"/>
  <c r="B4" i="23"/>
  <c r="B3" i="23"/>
  <c r="I20" i="22"/>
  <c r="I19" i="22"/>
  <c r="I18" i="22"/>
  <c r="I17" i="22"/>
  <c r="I16" i="22"/>
  <c r="I15" i="22"/>
  <c r="J11" i="22"/>
  <c r="E11" i="22"/>
  <c r="D11" i="22"/>
  <c r="N11" i="22"/>
  <c r="N12" i="22"/>
  <c r="B4" i="22"/>
  <c r="B3" i="22"/>
  <c r="I20" i="21"/>
  <c r="I19" i="21"/>
  <c r="I18" i="21"/>
  <c r="I17" i="21"/>
  <c r="I16" i="21"/>
  <c r="I15" i="21"/>
  <c r="B4" i="21"/>
  <c r="B3" i="21"/>
  <c r="J50" i="20"/>
  <c r="D49" i="20"/>
  <c r="J49" i="20"/>
  <c r="D48" i="20"/>
  <c r="J48" i="20"/>
  <c r="D47" i="20"/>
  <c r="J47" i="20"/>
  <c r="I43" i="20"/>
  <c r="I42" i="20"/>
  <c r="I41" i="20"/>
  <c r="I40" i="20"/>
  <c r="I39" i="20"/>
  <c r="I38" i="20"/>
  <c r="I37" i="20"/>
  <c r="I36" i="20"/>
  <c r="F35" i="20"/>
  <c r="I35" i="20"/>
  <c r="F34" i="20"/>
  <c r="I34" i="20"/>
  <c r="I33" i="20"/>
  <c r="I32" i="20"/>
  <c r="I31" i="20"/>
  <c r="I30" i="20"/>
  <c r="I29" i="20"/>
  <c r="I28" i="20"/>
  <c r="I27" i="20"/>
  <c r="F26" i="20"/>
  <c r="I26" i="20"/>
  <c r="N22" i="20"/>
  <c r="N21" i="20"/>
  <c r="D20" i="20"/>
  <c r="N20" i="20"/>
  <c r="B16" i="20"/>
  <c r="B14" i="20"/>
  <c r="B13" i="20"/>
  <c r="B12" i="20"/>
  <c r="B11" i="20"/>
  <c r="B10" i="20"/>
  <c r="N5" i="21"/>
  <c r="N5" i="22"/>
  <c r="N5" i="25"/>
  <c r="N5" i="24"/>
  <c r="N5" i="26"/>
  <c r="N5" i="23"/>
  <c r="N5" i="20"/>
  <c r="B39" i="8"/>
  <c r="H9" i="8"/>
  <c r="N9" i="8"/>
  <c r="H10" i="8"/>
  <c r="N10" i="8"/>
  <c r="H11" i="8"/>
  <c r="N11" i="8"/>
  <c r="H12" i="8"/>
  <c r="N12" i="8"/>
  <c r="H14" i="8"/>
  <c r="N14" i="8"/>
  <c r="L39" i="8"/>
  <c r="M39" i="8"/>
  <c r="K39" i="8"/>
  <c r="H7" i="8"/>
  <c r="N7" i="8"/>
  <c r="O1" i="8"/>
  <c r="H8" i="8"/>
  <c r="N8" i="8"/>
  <c r="J39" i="8"/>
  <c r="N39" i="8"/>
</calcChain>
</file>

<file path=xl/sharedStrings.xml><?xml version="1.0" encoding="utf-8"?>
<sst xmlns="http://schemas.openxmlformats.org/spreadsheetml/2006/main" count="2464" uniqueCount="254">
  <si>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</si>
  <si>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</si>
  <si>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</si>
  <si>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</si>
  <si>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</si>
  <si>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</si>
  <si>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</si>
  <si>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</si>
  <si>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</si>
  <si>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</si>
  <si>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</si>
  <si>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</si>
  <si>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</si>
  <si>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</si>
  <si>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</si>
  <si>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</si>
  <si>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</si>
  <si>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</si>
  <si>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</si>
  <si>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</si>
  <si>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</si>
  <si>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</si>
  <si>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</si>
  <si>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</si>
  <si>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</si>
  <si>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</si>
  <si>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</si>
  <si>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</si>
  <si>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</si>
  <si>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</si>
  <si>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</si>
  <si>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</si>
  <si>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</si>
  <si>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</si>
  <si>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</si>
  <si>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</si>
  <si>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</si>
  <si>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</si>
  <si>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</si>
  <si>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</si>
  <si>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</si>
  <si>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</si>
  <si>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</si>
  <si>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</si>
  <si>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</si>
  <si>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</si>
  <si>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</si>
  <si>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</si>
  <si>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</si>
  <si>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</si>
  <si>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</si>
  <si>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</si>
  <si>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</si>
  <si>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</si>
  <si>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</si>
  <si>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</si>
  <si>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</si>
  <si>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</si>
  <si>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</si>
  <si>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</si>
  <si>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</si>
  <si>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</si>
  <si>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</si>
  <si>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</si>
  <si>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</si>
  <si>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</si>
  <si>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</si>
  <si>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</si>
  <si>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</si>
  <si>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</si>
  <si>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</si>
  <si>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</si>
  <si>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</si>
  <si>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</si>
  <si>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</si>
  <si>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</si>
  <si>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</si>
  <si>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</si>
  <si>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</si>
  <si>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</si>
  <si>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</si>
  <si>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</si>
  <si>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</si>
  <si>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</si>
  <si>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</si>
  <si>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</si>
  <si>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</si>
  <si>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</si>
  <si>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</si>
  <si>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</si>
  <si>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</si>
  <si>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</si>
  <si>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</si>
  <si>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</si>
  <si>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</si>
  <si>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</si>
  <si>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</si>
  <si>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</si>
  <si>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</si>
  <si>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</si>
  <si>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</si>
  <si>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</si>
  <si>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</si>
  <si>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</si>
  <si>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</si>
  <si>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</si>
  <si>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</si>
  <si>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</si>
  <si>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</si>
  <si>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</si>
  <si>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</si>
  <si>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</si>
  <si>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</si>
  <si>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</si>
  <si>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</si>
  <si>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</si>
  <si>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</si>
  <si>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</si>
  <si>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</si>
  <si>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</si>
  <si>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</si>
  <si>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</si>
  <si>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</si>
  <si>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</si>
  <si>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</si>
  <si>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</si>
  <si>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</si>
  <si>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</si>
  <si>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</si>
  <si>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</si>
  <si>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</si>
  <si>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</si>
  <si>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</si>
  <si>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</si>
  <si>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</si>
  <si>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</si>
  <si>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</si>
  <si>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</si>
  <si>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</si>
  <si>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</si>
  <si>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</si>
  <si>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</si>
  <si>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</si>
  <si>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</si>
  <si>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</si>
  <si>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</si>
  <si>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</si>
  <si>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</si>
  <si>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</si>
  <si>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</si>
  <si>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</si>
  <si>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</si>
  <si>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</si>
  <si>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</si>
  <si>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</si>
  <si>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</si>
  <si>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</si>
  <si>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</si>
  <si>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</si>
  <si>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</si>
  <si>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</si>
  <si>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</si>
  <si>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</si>
  <si>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</si>
  <si>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</si>
  <si>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</si>
  <si>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</si>
  <si>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</si>
  <si>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</si>
  <si>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</si>
  <si>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</si>
  <si>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</si>
  <si>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</si>
  <si>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</si>
  <si>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</si>
  <si>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</si>
  <si>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</si>
  <si>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</si>
  <si>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</si>
  <si>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</si>
  <si>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</si>
  <si>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</si>
  <si>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</si>
  <si>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</si>
  <si>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</si>
  <si>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</si>
  <si>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</si>
  <si>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</si>
  <si>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</si>
  <si>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</si>
  <si>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</si>
  <si>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</si>
  <si>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</si>
  <si>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</si>
  <si>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</si>
  <si>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</si>
  <si>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</si>
  <si>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</si>
  <si>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</si>
  <si>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</si>
  <si>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</si>
  <si>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SU_01001</t>
  </si>
  <si>
    <t>SU_01004</t>
  </si>
  <si>
    <t>SU_01003</t>
  </si>
  <si>
    <t>Lower Front A-arm</t>
  </si>
  <si>
    <t>SU A0200</t>
  </si>
  <si>
    <t>Lower Front Bearing Support</t>
  </si>
  <si>
    <t>SU_02002</t>
  </si>
  <si>
    <t>Lower Front A-arm tube (Front)  Carbon Fiber Tube</t>
  </si>
  <si>
    <t>SU_02003</t>
  </si>
  <si>
    <t>Lower Front A-arm tube (Back)  Carbon Fiber Tube</t>
  </si>
  <si>
    <t>SU_02004</t>
  </si>
  <si>
    <t>SU_02005</t>
  </si>
  <si>
    <t>SU_02006</t>
  </si>
  <si>
    <t>SU 02001</t>
  </si>
  <si>
    <t>SU 02002</t>
  </si>
  <si>
    <t>Carbon Fiber, 1 Ply</t>
  </si>
  <si>
    <t>Stock</t>
  </si>
  <si>
    <t>m^3</t>
  </si>
  <si>
    <t>SU_01007</t>
  </si>
  <si>
    <t>Spacer 2</t>
  </si>
  <si>
    <t>Spacer 1</t>
  </si>
  <si>
    <t>SU_01006</t>
  </si>
  <si>
    <t>Drawing part :</t>
  </si>
  <si>
    <t>SU_02007</t>
  </si>
  <si>
    <t>Bearing, Spherical</t>
  </si>
  <si>
    <t>Upper Back A-arm</t>
  </si>
  <si>
    <t>SU A0300</t>
  </si>
  <si>
    <t>Upper Back Bearing Support</t>
  </si>
  <si>
    <t>Upper Back A-arm tube (Front)  Carbon Fiber Tube</t>
  </si>
  <si>
    <t>mm^3</t>
  </si>
  <si>
    <t>Upper Back A-arm tube (Back)  Carbon Fiber Tube</t>
  </si>
  <si>
    <t>SU 03002</t>
  </si>
  <si>
    <t>SU 03001</t>
  </si>
  <si>
    <t>SU 03003</t>
  </si>
  <si>
    <t>SU 03007</t>
  </si>
  <si>
    <t>SU 03006</t>
  </si>
  <si>
    <t>SU 03005</t>
  </si>
  <si>
    <t>SU 03004</t>
  </si>
  <si>
    <t>=SU_03006</t>
  </si>
  <si>
    <t>Lamination, Fillament Wirring</t>
  </si>
  <si>
    <t>Tube Lamination</t>
  </si>
  <si>
    <t>kg</t>
  </si>
  <si>
    <t>Lower Back A-arm</t>
  </si>
  <si>
    <t>SU A0400</t>
  </si>
  <si>
    <t>Lower Back Bearing Support</t>
  </si>
  <si>
    <t>SU_04001</t>
  </si>
  <si>
    <t>SU_04002</t>
  </si>
  <si>
    <t>Lower Back A-arm tube (Front)  Carbon Fiber Tube</t>
  </si>
  <si>
    <t>SU_04003</t>
  </si>
  <si>
    <t>Lower Back A-arm tube (Back)  Carbon Fiber Tube</t>
  </si>
  <si>
    <t>SU_04004</t>
  </si>
  <si>
    <t>SU_04005</t>
  </si>
  <si>
    <t>SU_04006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</si>
</sst>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\$* #,##0.000_);_(\$* \(#,##0.000\);_(\$* \-??_);_(@_)"/>
    <numFmt numFmtId="178" formatCode="_(\$* #,##0.000000_);_(\$* \(#,##0.000000\);_(\$* \-??_);_(@_)"/>
    <numFmt numFmtId="179" formatCode="0.000"/>
    <numFmt numFmtId="180" formatCode="0.000000"/>
    <numFmt numFmtId="181" formatCode="_-* #,##0.000000\ _€_-;\-* #,##0.000000\ _€_-;_-* &quot;-&quot;????\ _€_-;_-@_-"/>
    <numFmt numFmtId="182" formatCode="_(* #,##0.0_);_(* \(#,##0.0\);_(* \-??_);_(@_)"/>
    <numFmt numFmtId="184" formatCode="_(&quot;$&quot;* #,##0.0000_);_(&quot;$&quot;* \(#,##0.0000\);_(&quot;$&quot;* &quot;-&quot;??_);_(@_)"/>
  </numFmts>
  <fonts count="3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35">
    <xf numFmtId="0" fontId="0" fillId="0" borderId="0"/>
    <xf numFmtId="0" fontId="11" fillId="0" borderId="0"/>
    <xf numFmtId="170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0" fillId="2" borderId="6">
      <alignment vertical="center" wrapText="1"/>
    </xf>
    <xf numFmtId="171" fontId="11" fillId="0" borderId="0" applyFont="0" applyFill="0" applyBorder="0" applyAlignment="0" applyProtection="0"/>
    <xf numFmtId="0" fontId="6" fillId="0" borderId="0"/>
    <xf numFmtId="166" fontId="9" fillId="0" borderId="1">
      <alignment vertical="center" wrapText="1"/>
    </xf>
    <xf numFmtId="0" fontId="22" fillId="0" borderId="0" applyNumberFormat="0" applyFill="0" applyBorder="0" applyAlignment="0" applyProtection="0"/>
    <xf numFmtId="0" fontId="29" fillId="0" borderId="0"/>
    <xf numFmtId="170" fontId="34" fillId="13" borderId="1">
      <alignment vertical="center" wrapText="1"/>
    </xf>
    <xf numFmtId="170" fontId="28" fillId="11" borderId="6">
      <alignment vertical="center" wrapText="1"/>
    </xf>
    <xf numFmtId="170" fontId="4" fillId="0" borderId="0" applyFont="0" applyFill="0" applyBorder="0" applyAlignment="0" applyProtection="0"/>
    <xf numFmtId="0" fontId="31" fillId="12" borderId="0" applyNumberFormat="0" applyBorder="0" applyAlignment="0" applyProtection="0"/>
    <xf numFmtId="170" fontId="11" fillId="0" borderId="0" applyFont="0" applyFill="0" applyBorder="0" applyAlignment="0" applyProtection="0"/>
    <xf numFmtId="0" fontId="33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32" fillId="0" borderId="0"/>
    <xf numFmtId="174" fontId="34" fillId="0" borderId="1">
      <alignment vertical="center" wrapText="1"/>
    </xf>
    <xf numFmtId="165" fontId="19" fillId="0" borderId="0" applyFill="0" applyBorder="0" applyAlignment="0" applyProtection="0"/>
    <xf numFmtId="0" fontId="36" fillId="0" borderId="0"/>
    <xf numFmtId="0" fontId="3" fillId="0" borderId="0"/>
    <xf numFmtId="0" fontId="2" fillId="0" borderId="0"/>
    <xf numFmtId="0" fontId="9" fillId="0" borderId="0"/>
    <xf numFmtId="0" fontId="1" fillId="0" borderId="0"/>
  </cellStyleXfs>
  <cellXfs count="272">
    <xf numFmtId="0" fontId="0" fillId="0" borderId="0" xfId="0"/>
    <xf numFmtId="18" fontId="15" fillId="0" borderId="7" xfId="1" applyNumberFormat="1" applyFont="1" applyFill="1" applyBorder="1" applyAlignment="1" applyProtection="1">
      <protection locked="0"/>
    </xf>
    <xf numFmtId="0" fontId="15" fillId="0" borderId="7" xfId="1" applyFont="1" applyFill="1" applyBorder="1" applyAlignment="1">
      <alignment horizontal="center"/>
    </xf>
    <xf numFmtId="171" fontId="15" fillId="0" borderId="7" xfId="5" applyFont="1" applyFill="1" applyBorder="1" applyProtection="1">
      <protection locked="0"/>
    </xf>
    <xf numFmtId="0" fontId="15" fillId="0" borderId="7" xfId="1" applyFont="1" applyFill="1" applyBorder="1" applyAlignment="1" applyProtection="1">
      <alignment horizontal="center"/>
      <protection locked="0"/>
    </xf>
    <xf numFmtId="0" fontId="15" fillId="0" borderId="7" xfId="1" applyFont="1" applyFill="1" applyBorder="1" applyProtection="1">
      <protection locked="0"/>
    </xf>
    <xf numFmtId="171" fontId="12" fillId="0" borderId="0" xfId="5" applyFont="1"/>
    <xf numFmtId="0" fontId="12" fillId="0" borderId="0" xfId="1" applyFont="1" applyProtection="1">
      <protection locked="0"/>
    </xf>
    <xf numFmtId="171" fontId="11" fillId="0" borderId="0" xfId="5" applyFont="1"/>
    <xf numFmtId="0" fontId="12" fillId="0" borderId="0" xfId="1" applyFont="1"/>
    <xf numFmtId="0" fontId="14" fillId="0" borderId="0" xfId="1" applyFont="1"/>
    <xf numFmtId="0" fontId="11" fillId="0" borderId="0" xfId="1" applyFont="1" applyProtection="1">
      <protection locked="0"/>
    </xf>
    <xf numFmtId="0" fontId="11" fillId="0" borderId="0" xfId="1" applyFont="1" applyFill="1"/>
    <xf numFmtId="0" fontId="11" fillId="0" borderId="0" xfId="1" applyFont="1"/>
    <xf numFmtId="0" fontId="6" fillId="0" borderId="0" xfId="6" applyBorder="1"/>
    <xf numFmtId="0" fontId="6" fillId="0" borderId="0" xfId="6"/>
    <xf numFmtId="0" fontId="8" fillId="0" borderId="0" xfId="0" applyFont="1" applyBorder="1"/>
    <xf numFmtId="0" fontId="0" fillId="0" borderId="0" xfId="0" applyFont="1"/>
    <xf numFmtId="0" fontId="8" fillId="0" borderId="0" xfId="0" applyFont="1" applyBorder="1" applyAlignment="1">
      <alignment horizontal="left"/>
    </xf>
    <xf numFmtId="0" fontId="8" fillId="0" borderId="3" xfId="0" applyFont="1" applyBorder="1"/>
    <xf numFmtId="164" fontId="8" fillId="0" borderId="3" xfId="7" applyNumberFormat="1" applyFont="1" applyBorder="1" applyAlignment="1" applyProtection="1"/>
    <xf numFmtId="0" fontId="8" fillId="0" borderId="3" xfId="0" applyFont="1" applyBorder="1" applyAlignment="1"/>
    <xf numFmtId="11" fontId="8" fillId="0" borderId="3" xfId="0" applyNumberFormat="1" applyFont="1" applyBorder="1" applyAlignment="1"/>
    <xf numFmtId="0" fontId="0" fillId="0" borderId="0" xfId="0" applyAlignment="1"/>
    <xf numFmtId="2" fontId="8" fillId="0" borderId="3" xfId="7" applyNumberFormat="1" applyFont="1" applyBorder="1" applyAlignment="1" applyProtection="1"/>
    <xf numFmtId="0" fontId="7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8" fillId="0" borderId="0" xfId="0" applyNumberFormat="1" applyFont="1" applyBorder="1" applyAlignment="1">
      <alignment horizontal="left"/>
    </xf>
    <xf numFmtId="0" fontId="7" fillId="0" borderId="4" xfId="0" applyFont="1" applyBorder="1"/>
    <xf numFmtId="165" fontId="8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8" fillId="0" borderId="3" xfId="7" applyNumberFormat="1" applyFont="1" applyBorder="1" applyAlignment="1" applyProtection="1">
      <alignment wrapText="1"/>
    </xf>
    <xf numFmtId="1" fontId="8" fillId="0" borderId="3" xfId="0" applyNumberFormat="1" applyFont="1" applyBorder="1"/>
    <xf numFmtId="0" fontId="16" fillId="0" borderId="0" xfId="1" applyFont="1" applyAlignment="1">
      <alignment horizontal="center"/>
    </xf>
    <xf numFmtId="0" fontId="17" fillId="0" borderId="0" xfId="1" applyFont="1"/>
    <xf numFmtId="0" fontId="20" fillId="0" borderId="0" xfId="6" applyFont="1" applyFill="1" applyBorder="1"/>
    <xf numFmtId="0" fontId="6" fillId="0" borderId="0" xfId="6" applyFill="1"/>
    <xf numFmtId="0" fontId="6" fillId="0" borderId="0" xfId="6" applyFill="1" applyBorder="1"/>
    <xf numFmtId="0" fontId="6" fillId="0" borderId="0" xfId="6" applyFont="1"/>
    <xf numFmtId="0" fontId="6" fillId="0" borderId="0" xfId="6" applyFont="1" applyFill="1" applyBorder="1"/>
    <xf numFmtId="0" fontId="6" fillId="0" borderId="0" xfId="6" applyFont="1" applyFill="1"/>
    <xf numFmtId="0" fontId="15" fillId="0" borderId="7" xfId="1" applyFont="1" applyFill="1" applyBorder="1" applyAlignment="1">
      <alignment horizontal="left"/>
    </xf>
    <xf numFmtId="0" fontId="13" fillId="0" borderId="0" xfId="1" applyFont="1"/>
    <xf numFmtId="0" fontId="18" fillId="0" borderId="0" xfId="1" applyFont="1"/>
    <xf numFmtId="0" fontId="20" fillId="3" borderId="0" xfId="6" applyFont="1" applyFill="1" applyBorder="1" applyAlignment="1"/>
    <xf numFmtId="171" fontId="11" fillId="0" borderId="0" xfId="1" applyNumberFormat="1" applyFont="1"/>
    <xf numFmtId="0" fontId="16" fillId="0" borderId="8" xfId="1" applyFont="1" applyBorder="1" applyAlignment="1">
      <alignment horizontal="center" wrapText="1"/>
    </xf>
    <xf numFmtId="2" fontId="16" fillId="0" borderId="8" xfId="1" applyNumberFormat="1" applyFont="1" applyBorder="1" applyAlignment="1">
      <alignment horizontal="center" wrapText="1"/>
    </xf>
    <xf numFmtId="171" fontId="16" fillId="0" borderId="8" xfId="5" applyFont="1" applyBorder="1" applyAlignment="1">
      <alignment horizontal="center" wrapText="1"/>
    </xf>
    <xf numFmtId="0" fontId="21" fillId="4" borderId="9" xfId="6" applyFont="1" applyFill="1" applyBorder="1"/>
    <xf numFmtId="0" fontId="21" fillId="4" borderId="11" xfId="6" applyFont="1" applyFill="1" applyBorder="1"/>
    <xf numFmtId="0" fontId="21" fillId="4" borderId="10" xfId="6" applyFont="1" applyFill="1" applyBorder="1"/>
    <xf numFmtId="0" fontId="21" fillId="4" borderId="12" xfId="6" applyFont="1" applyFill="1" applyBorder="1"/>
    <xf numFmtId="0" fontId="6" fillId="5" borderId="14" xfId="6" quotePrefix="1" applyFill="1" applyBorder="1" applyAlignment="1">
      <alignment horizontal="left"/>
    </xf>
    <xf numFmtId="2" fontId="6" fillId="6" borderId="15" xfId="6" quotePrefix="1" applyNumberFormat="1" applyFill="1" applyBorder="1" applyAlignment="1">
      <alignment horizontal="right"/>
    </xf>
    <xf numFmtId="0" fontId="21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22" xfId="0" applyFont="1" applyBorder="1"/>
    <xf numFmtId="0" fontId="8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7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16" xfId="0" applyFont="1" applyBorder="1"/>
    <xf numFmtId="0" fontId="8" fillId="0" borderId="16" xfId="7" applyNumberFormat="1" applyFont="1" applyBorder="1" applyAlignment="1" applyProtection="1"/>
    <xf numFmtId="165" fontId="8" fillId="0" borderId="16" xfId="7" applyNumberFormat="1" applyFont="1" applyBorder="1" applyAlignment="1" applyProtection="1"/>
    <xf numFmtId="164" fontId="8" fillId="0" borderId="16" xfId="7" applyNumberFormat="1" applyFont="1" applyBorder="1" applyAlignment="1" applyProtection="1"/>
    <xf numFmtId="11" fontId="8" fillId="0" borderId="16" xfId="0" applyNumberFormat="1" applyFont="1" applyBorder="1"/>
    <xf numFmtId="167" fontId="8" fillId="0" borderId="16" xfId="7" applyNumberFormat="1" applyFont="1" applyBorder="1" applyAlignment="1" applyProtection="1"/>
    <xf numFmtId="0" fontId="8" fillId="0" borderId="16" xfId="0" applyFont="1" applyBorder="1" applyAlignment="1"/>
    <xf numFmtId="11" fontId="8" fillId="0" borderId="16" xfId="0" applyNumberFormat="1" applyFont="1" applyBorder="1" applyAlignment="1"/>
    <xf numFmtId="168" fontId="8" fillId="0" borderId="16" xfId="7" applyNumberFormat="1" applyFont="1" applyBorder="1" applyAlignment="1" applyProtection="1"/>
    <xf numFmtId="0" fontId="0" fillId="0" borderId="16" xfId="0" applyBorder="1" applyAlignment="1"/>
    <xf numFmtId="2" fontId="8" fillId="0" borderId="16" xfId="7" applyNumberFormat="1" applyFont="1" applyBorder="1" applyAlignment="1" applyProtection="1"/>
    <xf numFmtId="169" fontId="8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8" fillId="0" borderId="16" xfId="7" applyNumberFormat="1" applyFont="1" applyBorder="1" applyAlignment="1" applyProtection="1"/>
    <xf numFmtId="0" fontId="8" fillId="0" borderId="16" xfId="0" applyFont="1" applyBorder="1" applyAlignment="1">
      <alignment horizontal="right"/>
    </xf>
    <xf numFmtId="0" fontId="7" fillId="0" borderId="26" xfId="0" applyFont="1" applyBorder="1"/>
    <xf numFmtId="0" fontId="8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2" fillId="0" borderId="16" xfId="8" applyNumberFormat="1" applyBorder="1" applyAlignment="1" applyProtection="1"/>
    <xf numFmtId="0" fontId="23" fillId="0" borderId="0" xfId="0" applyFont="1"/>
    <xf numFmtId="0" fontId="22" fillId="0" borderId="0" xfId="8" applyBorder="1"/>
    <xf numFmtId="0" fontId="22" fillId="0" borderId="0" xfId="8"/>
    <xf numFmtId="0" fontId="25" fillId="0" borderId="0" xfId="0" applyFont="1"/>
    <xf numFmtId="0" fontId="26" fillId="0" borderId="0" xfId="0" applyFont="1"/>
    <xf numFmtId="0" fontId="6" fillId="5" borderId="14" xfId="6" quotePrefix="1" applyFont="1" applyFill="1" applyBorder="1" applyAlignment="1">
      <alignment horizontal="left"/>
    </xf>
    <xf numFmtId="0" fontId="5" fillId="5" borderId="14" xfId="6" applyFont="1" applyFill="1" applyBorder="1"/>
    <xf numFmtId="0" fontId="5" fillId="5" borderId="13" xfId="6" applyFont="1" applyFill="1" applyBorder="1"/>
    <xf numFmtId="172" fontId="8" fillId="0" borderId="16" xfId="7" applyNumberFormat="1" applyFont="1" applyBorder="1" applyAlignment="1" applyProtection="1"/>
    <xf numFmtId="172" fontId="15" fillId="0" borderId="7" xfId="1" applyNumberFormat="1" applyFont="1" applyFill="1" applyBorder="1" applyAlignment="1">
      <alignment horizontal="right"/>
    </xf>
    <xf numFmtId="173" fontId="8" fillId="0" borderId="16" xfId="7" applyNumberFormat="1" applyFont="1" applyBorder="1" applyAlignment="1" applyProtection="1"/>
    <xf numFmtId="0" fontId="7" fillId="7" borderId="16" xfId="0" applyFont="1" applyFill="1" applyBorder="1"/>
    <xf numFmtId="0" fontId="7" fillId="7" borderId="0" xfId="0" applyFont="1" applyFill="1" applyBorder="1"/>
    <xf numFmtId="165" fontId="7" fillId="7" borderId="16" xfId="0" applyNumberFormat="1" applyFont="1" applyFill="1" applyBorder="1"/>
    <xf numFmtId="0" fontId="7" fillId="7" borderId="16" xfId="0" applyFont="1" applyFill="1" applyBorder="1" applyAlignment="1">
      <alignment horizontal="right"/>
    </xf>
    <xf numFmtId="0" fontId="7" fillId="8" borderId="16" xfId="0" applyFont="1" applyFill="1" applyBorder="1"/>
    <xf numFmtId="0" fontId="7" fillId="8" borderId="16" xfId="0" applyFont="1" applyFill="1" applyBorder="1" applyAlignment="1">
      <alignment horizontal="left"/>
    </xf>
    <xf numFmtId="0" fontId="7" fillId="8" borderId="2" xfId="0" applyFont="1" applyFill="1" applyBorder="1"/>
    <xf numFmtId="0" fontId="7" fillId="8" borderId="27" xfId="0" applyFont="1" applyFill="1" applyBorder="1"/>
    <xf numFmtId="0" fontId="7" fillId="8" borderId="5" xfId="0" applyFont="1" applyFill="1" applyBorder="1"/>
    <xf numFmtId="0" fontId="7" fillId="8" borderId="3" xfId="0" applyFont="1" applyFill="1" applyBorder="1"/>
    <xf numFmtId="0" fontId="7" fillId="8" borderId="3" xfId="0" applyFont="1" applyFill="1" applyBorder="1" applyAlignment="1">
      <alignment horizontal="right"/>
    </xf>
    <xf numFmtId="165" fontId="7" fillId="8" borderId="5" xfId="0" applyNumberFormat="1" applyFont="1" applyFill="1" applyBorder="1"/>
    <xf numFmtId="0" fontId="7" fillId="8" borderId="22" xfId="0" applyFont="1" applyFill="1" applyBorder="1"/>
    <xf numFmtId="0" fontId="7" fillId="8" borderId="5" xfId="0" applyFont="1" applyFill="1" applyBorder="1" applyAlignment="1">
      <alignment horizontal="right"/>
    </xf>
    <xf numFmtId="0" fontId="15" fillId="9" borderId="3" xfId="1" applyFont="1" applyFill="1" applyBorder="1" applyProtection="1">
      <protection locked="0"/>
    </xf>
    <xf numFmtId="0" fontId="15" fillId="9" borderId="3" xfId="1" applyFont="1" applyFill="1" applyBorder="1" applyAlignment="1">
      <alignment horizontal="left"/>
    </xf>
    <xf numFmtId="18" fontId="15" fillId="9" borderId="3" xfId="1" applyNumberFormat="1" applyFont="1" applyFill="1" applyBorder="1" applyAlignment="1" applyProtection="1">
      <protection locked="0"/>
    </xf>
    <xf numFmtId="172" fontId="15" fillId="9" borderId="3" xfId="5" applyNumberFormat="1" applyFont="1" applyFill="1" applyBorder="1" applyProtection="1">
      <protection locked="0"/>
    </xf>
    <xf numFmtId="172" fontId="15" fillId="9" borderId="3" xfId="1" applyNumberFormat="1" applyFont="1" applyFill="1" applyBorder="1" applyAlignment="1" applyProtection="1">
      <alignment horizontal="center"/>
      <protection locked="0"/>
    </xf>
    <xf numFmtId="172" fontId="15" fillId="9" borderId="3" xfId="1" applyNumberFormat="1" applyFont="1" applyFill="1" applyBorder="1" applyAlignment="1">
      <alignment horizontal="right"/>
    </xf>
    <xf numFmtId="0" fontId="15" fillId="9" borderId="3" xfId="1" applyFont="1" applyFill="1" applyBorder="1" applyAlignment="1">
      <alignment horizontal="center"/>
    </xf>
    <xf numFmtId="0" fontId="15" fillId="10" borderId="3" xfId="1" applyFont="1" applyFill="1" applyBorder="1" applyProtection="1">
      <protection locked="0"/>
    </xf>
    <xf numFmtId="18" fontId="15" fillId="10" borderId="3" xfId="1" applyNumberFormat="1" applyFont="1" applyFill="1" applyBorder="1" applyAlignment="1" applyProtection="1">
      <protection locked="0"/>
    </xf>
    <xf numFmtId="0" fontId="22" fillId="10" borderId="3" xfId="8" applyFill="1" applyBorder="1" applyAlignment="1">
      <alignment horizontal="left"/>
    </xf>
    <xf numFmtId="172" fontId="15" fillId="10" borderId="3" xfId="5" applyNumberFormat="1" applyFont="1" applyFill="1" applyBorder="1" applyProtection="1">
      <protection locked="0"/>
    </xf>
    <xf numFmtId="172" fontId="15" fillId="10" borderId="3" xfId="1" applyNumberFormat="1" applyFont="1" applyFill="1" applyBorder="1" applyAlignment="1" applyProtection="1">
      <alignment horizontal="center"/>
      <protection locked="0"/>
    </xf>
    <xf numFmtId="172" fontId="15" fillId="10" borderId="3" xfId="1" applyNumberFormat="1" applyFont="1" applyFill="1" applyBorder="1" applyAlignment="1">
      <alignment horizontal="right"/>
    </xf>
    <xf numFmtId="0" fontId="15" fillId="10" borderId="3" xfId="1" applyFont="1" applyFill="1" applyBorder="1" applyAlignment="1">
      <alignment horizontal="center"/>
    </xf>
    <xf numFmtId="0" fontId="15" fillId="10" borderId="3" xfId="1" applyFont="1" applyFill="1" applyBorder="1" applyAlignment="1" applyProtection="1">
      <alignment horizontal="center"/>
      <protection locked="0"/>
    </xf>
    <xf numFmtId="170" fontId="35" fillId="0" borderId="0" xfId="11" applyFont="1" applyFill="1" applyBorder="1">
      <alignment vertical="center" wrapText="1"/>
    </xf>
    <xf numFmtId="0" fontId="8" fillId="0" borderId="0" xfId="0" applyFont="1" applyFill="1" applyBorder="1"/>
    <xf numFmtId="0" fontId="8" fillId="0" borderId="16" xfId="0" applyNumberFormat="1" applyFont="1" applyBorder="1"/>
    <xf numFmtId="165" fontId="30" fillId="0" borderId="28" xfId="29" applyFont="1" applyFill="1" applyBorder="1" applyAlignment="1" applyProtection="1"/>
    <xf numFmtId="166" fontId="9" fillId="0" borderId="1" xfId="7">
      <alignment vertical="center" wrapText="1"/>
    </xf>
    <xf numFmtId="165" fontId="30" fillId="0" borderId="29" xfId="29" applyFont="1" applyFill="1" applyBorder="1" applyAlignment="1" applyProtection="1"/>
    <xf numFmtId="165" fontId="30" fillId="0" borderId="3" xfId="29" applyFont="1" applyFill="1" applyBorder="1" applyAlignment="1" applyProtection="1"/>
    <xf numFmtId="39" fontId="30" fillId="0" borderId="28" xfId="29" applyNumberFormat="1" applyFont="1" applyFill="1" applyBorder="1" applyAlignment="1" applyProtection="1"/>
    <xf numFmtId="37" fontId="30" fillId="0" borderId="30" xfId="29" applyNumberFormat="1" applyFont="1" applyFill="1" applyBorder="1" applyAlignment="1" applyProtection="1"/>
    <xf numFmtId="165" fontId="30" fillId="0" borderId="30" xfId="29" applyFont="1" applyFill="1" applyBorder="1" applyAlignment="1" applyProtection="1"/>
    <xf numFmtId="37" fontId="30" fillId="0" borderId="28" xfId="29" applyNumberFormat="1" applyFont="1" applyFill="1" applyBorder="1" applyAlignment="1" applyProtection="1"/>
    <xf numFmtId="0" fontId="19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8" fillId="0" borderId="3" xfId="0" applyNumberFormat="1" applyFont="1" applyBorder="1" applyAlignment="1"/>
    <xf numFmtId="176" fontId="0" fillId="0" borderId="0" xfId="0" applyNumberFormat="1" applyAlignment="1">
      <alignment wrapText="1"/>
    </xf>
    <xf numFmtId="0" fontId="8" fillId="0" borderId="3" xfId="0" applyNumberFormat="1" applyFont="1" applyBorder="1"/>
    <xf numFmtId="177" fontId="8" fillId="0" borderId="3" xfId="7" applyNumberFormat="1" applyFont="1" applyBorder="1" applyAlignment="1" applyProtection="1"/>
    <xf numFmtId="178" fontId="8" fillId="0" borderId="3" xfId="7" applyNumberFormat="1" applyFont="1" applyBorder="1" applyAlignment="1" applyProtection="1"/>
    <xf numFmtId="0" fontId="0" fillId="10" borderId="0" xfId="0" applyFill="1"/>
    <xf numFmtId="0" fontId="30" fillId="0" borderId="28" xfId="31" applyFont="1" applyFill="1" applyBorder="1"/>
    <xf numFmtId="0" fontId="30" fillId="0" borderId="28" xfId="31" applyFont="1" applyFill="1" applyBorder="1" applyAlignment="1">
      <alignment wrapText="1"/>
    </xf>
    <xf numFmtId="0" fontId="30" fillId="0" borderId="28" xfId="31" applyNumberFormat="1" applyFont="1" applyFill="1" applyBorder="1"/>
    <xf numFmtId="175" fontId="30" fillId="0" borderId="28" xfId="31" applyNumberFormat="1" applyFont="1" applyFill="1" applyBorder="1"/>
    <xf numFmtId="0" fontId="30" fillId="0" borderId="29" xfId="31" applyNumberFormat="1" applyFont="1" applyFill="1" applyBorder="1"/>
    <xf numFmtId="0" fontId="30" fillId="0" borderId="29" xfId="31" applyFont="1" applyFill="1" applyBorder="1"/>
    <xf numFmtId="0" fontId="30" fillId="0" borderId="3" xfId="31" applyNumberFormat="1" applyFont="1" applyFill="1" applyBorder="1"/>
    <xf numFmtId="0" fontId="30" fillId="0" borderId="3" xfId="31" applyFont="1" applyFill="1" applyBorder="1"/>
    <xf numFmtId="0" fontId="30" fillId="0" borderId="3" xfId="31" applyFont="1" applyBorder="1"/>
    <xf numFmtId="0" fontId="3" fillId="0" borderId="3" xfId="31" applyBorder="1"/>
    <xf numFmtId="4" fontId="30" fillId="0" borderId="28" xfId="31" applyNumberFormat="1" applyFont="1" applyFill="1" applyBorder="1"/>
    <xf numFmtId="0" fontId="19" fillId="0" borderId="28" xfId="31" applyFont="1" applyFill="1" applyBorder="1"/>
    <xf numFmtId="2" fontId="30" fillId="0" borderId="28" xfId="31" applyNumberFormat="1" applyFont="1" applyFill="1" applyBorder="1"/>
    <xf numFmtId="1" fontId="8" fillId="0" borderId="16" xfId="7" applyNumberFormat="1" applyFont="1" applyBorder="1" applyAlignment="1" applyProtection="1"/>
    <xf numFmtId="18" fontId="22" fillId="9" borderId="3" xfId="8" applyNumberFormat="1" applyFill="1" applyBorder="1" applyAlignment="1" applyProtection="1">
      <protection locked="0"/>
    </xf>
    <xf numFmtId="0" fontId="30" fillId="0" borderId="28" xfId="32" applyFont="1" applyFill="1" applyBorder="1"/>
    <xf numFmtId="0" fontId="8" fillId="0" borderId="16" xfId="0" applyFont="1" applyBorder="1" applyAlignment="1">
      <alignment wrapText="1"/>
    </xf>
    <xf numFmtId="179" fontId="0" fillId="0" borderId="16" xfId="0" applyNumberFormat="1" applyBorder="1"/>
    <xf numFmtId="0" fontId="30" fillId="0" borderId="3" xfId="9" applyFont="1" applyFill="1" applyBorder="1" applyAlignment="1" applyProtection="1">
      <alignment wrapText="1"/>
    </xf>
    <xf numFmtId="0" fontId="30" fillId="0" borderId="3" xfId="9" applyFont="1" applyFill="1" applyBorder="1" applyAlignment="1">
      <alignment horizontal="left" wrapText="1"/>
    </xf>
    <xf numFmtId="180" fontId="8" fillId="0" borderId="16" xfId="7" applyNumberFormat="1" applyFont="1" applyBorder="1" applyAlignment="1" applyProtection="1"/>
    <xf numFmtId="1" fontId="8" fillId="0" borderId="3" xfId="7" applyNumberFormat="1" applyFont="1" applyBorder="1" applyAlignment="1" applyProtection="1"/>
    <xf numFmtId="181" fontId="8" fillId="0" borderId="3" xfId="0" applyNumberFormat="1" applyFont="1" applyBorder="1" applyAlignment="1"/>
    <xf numFmtId="170" fontId="35" fillId="0" borderId="3" xfId="11" applyNumberFormat="1" applyFont="1" applyFill="1" applyBorder="1">
      <alignment vertical="center" wrapText="1"/>
    </xf>
    <xf numFmtId="165" fontId="8" fillId="0" borderId="31" xfId="7" applyNumberFormat="1" applyFont="1" applyBorder="1" applyAlignment="1" applyProtection="1"/>
    <xf numFmtId="182" fontId="8" fillId="0" borderId="16" xfId="7" applyNumberFormat="1" applyFont="1" applyBorder="1" applyAlignment="1" applyProtection="1"/>
    <xf numFmtId="0" fontId="15" fillId="9" borderId="3" xfId="1" applyFont="1" applyFill="1" applyBorder="1" applyAlignment="1" applyProtection="1">
      <alignment horizontal="center"/>
      <protection locked="0"/>
    </xf>
    <xf numFmtId="0" fontId="9" fillId="0" borderId="17" xfId="33" applyBorder="1"/>
    <xf numFmtId="0" fontId="9" fillId="0" borderId="18" xfId="33" applyBorder="1"/>
    <xf numFmtId="0" fontId="9" fillId="0" borderId="19" xfId="33" applyBorder="1"/>
    <xf numFmtId="0" fontId="9" fillId="0" borderId="0" xfId="33"/>
    <xf numFmtId="0" fontId="7" fillId="7" borderId="16" xfId="33" applyFont="1" applyFill="1" applyBorder="1"/>
    <xf numFmtId="0" fontId="8" fillId="0" borderId="0" xfId="33" applyFont="1" applyBorder="1"/>
    <xf numFmtId="0" fontId="9" fillId="0" borderId="0" xfId="33" applyBorder="1"/>
    <xf numFmtId="0" fontId="8" fillId="0" borderId="16" xfId="33" applyFont="1" applyBorder="1" applyAlignment="1">
      <alignment horizontal="right"/>
    </xf>
    <xf numFmtId="0" fontId="9" fillId="0" borderId="20" xfId="33" applyBorder="1"/>
    <xf numFmtId="0" fontId="9" fillId="0" borderId="0" xfId="33" applyFont="1" applyBorder="1"/>
    <xf numFmtId="0" fontId="7" fillId="7" borderId="0" xfId="33" applyFont="1" applyFill="1" applyBorder="1"/>
    <xf numFmtId="0" fontId="8" fillId="0" borderId="0" xfId="33" applyFont="1" applyBorder="1" applyAlignment="1">
      <alignment horizontal="left"/>
    </xf>
    <xf numFmtId="0" fontId="9" fillId="0" borderId="21" xfId="33" applyBorder="1"/>
    <xf numFmtId="0" fontId="8" fillId="0" borderId="16" xfId="33" applyFont="1" applyBorder="1"/>
    <xf numFmtId="0" fontId="8" fillId="0" borderId="16" xfId="33" applyNumberFormat="1" applyFont="1" applyBorder="1"/>
    <xf numFmtId="0" fontId="9" fillId="0" borderId="0" xfId="33" applyFont="1"/>
    <xf numFmtId="0" fontId="9" fillId="0" borderId="20" xfId="33" applyFont="1" applyBorder="1"/>
    <xf numFmtId="0" fontId="8" fillId="0" borderId="0" xfId="33" applyFont="1" applyFill="1" applyBorder="1"/>
    <xf numFmtId="0" fontId="7" fillId="7" borderId="16" xfId="33" applyFont="1" applyFill="1" applyBorder="1" applyAlignment="1">
      <alignment horizontal="right"/>
    </xf>
    <xf numFmtId="165" fontId="7" fillId="7" borderId="16" xfId="33" applyNumberFormat="1" applyFont="1" applyFill="1" applyBorder="1"/>
    <xf numFmtId="11" fontId="8" fillId="0" borderId="16" xfId="33" applyNumberFormat="1" applyFont="1" applyBorder="1"/>
    <xf numFmtId="0" fontId="30" fillId="0" borderId="28" xfId="34" applyFont="1" applyFill="1" applyBorder="1"/>
    <xf numFmtId="0" fontId="30" fillId="0" borderId="28" xfId="34" applyFont="1" applyFill="1" applyBorder="1" applyAlignment="1">
      <alignment wrapText="1"/>
    </xf>
    <xf numFmtId="0" fontId="8" fillId="0" borderId="16" xfId="33" applyFont="1" applyBorder="1" applyAlignment="1"/>
    <xf numFmtId="11" fontId="8" fillId="0" borderId="16" xfId="33" applyNumberFormat="1" applyFont="1" applyBorder="1" applyAlignment="1"/>
    <xf numFmtId="0" fontId="9" fillId="0" borderId="16" xfId="33" applyBorder="1" applyAlignment="1"/>
    <xf numFmtId="0" fontId="9" fillId="0" borderId="20" xfId="33" applyBorder="1" applyAlignment="1"/>
    <xf numFmtId="0" fontId="9" fillId="0" borderId="0" xfId="33" applyAlignment="1"/>
    <xf numFmtId="0" fontId="7" fillId="0" borderId="21" xfId="33" applyFont="1" applyBorder="1"/>
    <xf numFmtId="0" fontId="7" fillId="0" borderId="0" xfId="33" applyFont="1" applyBorder="1"/>
    <xf numFmtId="0" fontId="9" fillId="0" borderId="20" xfId="33" applyBorder="1" applyAlignment="1">
      <alignment wrapText="1"/>
    </xf>
    <xf numFmtId="0" fontId="9" fillId="0" borderId="0" xfId="33" applyAlignment="1">
      <alignment wrapText="1"/>
    </xf>
    <xf numFmtId="0" fontId="30" fillId="0" borderId="28" xfId="34" applyNumberFormat="1" applyFont="1" applyFill="1" applyBorder="1"/>
    <xf numFmtId="175" fontId="30" fillId="0" borderId="28" xfId="34" applyNumberFormat="1" applyFont="1" applyFill="1" applyBorder="1"/>
    <xf numFmtId="0" fontId="9" fillId="0" borderId="16" xfId="33" applyBorder="1"/>
    <xf numFmtId="0" fontId="29" fillId="0" borderId="0" xfId="9"/>
    <xf numFmtId="0" fontId="30" fillId="0" borderId="29" xfId="34" applyNumberFormat="1" applyFont="1" applyFill="1" applyBorder="1"/>
    <xf numFmtId="0" fontId="30" fillId="0" borderId="29" xfId="34" applyFont="1" applyFill="1" applyBorder="1"/>
    <xf numFmtId="0" fontId="30" fillId="0" borderId="3" xfId="34" applyNumberFormat="1" applyFont="1" applyFill="1" applyBorder="1"/>
    <xf numFmtId="0" fontId="30" fillId="0" borderId="3" xfId="34" applyFont="1" applyFill="1" applyBorder="1"/>
    <xf numFmtId="0" fontId="30" fillId="0" borderId="3" xfId="34" applyFont="1" applyBorder="1"/>
    <xf numFmtId="0" fontId="1" fillId="0" borderId="3" xfId="34" applyBorder="1"/>
    <xf numFmtId="4" fontId="30" fillId="0" borderId="28" xfId="34" applyNumberFormat="1" applyFont="1" applyFill="1" applyBorder="1"/>
    <xf numFmtId="0" fontId="19" fillId="0" borderId="28" xfId="34" applyFont="1" applyFill="1" applyBorder="1"/>
    <xf numFmtId="2" fontId="30" fillId="0" borderId="28" xfId="34" applyNumberFormat="1" applyFont="1" applyFill="1" applyBorder="1"/>
    <xf numFmtId="0" fontId="9" fillId="0" borderId="0" xfId="33" applyBorder="1" applyAlignment="1">
      <alignment wrapText="1"/>
    </xf>
    <xf numFmtId="0" fontId="9" fillId="0" borderId="23" xfId="33" applyBorder="1"/>
    <xf numFmtId="0" fontId="9" fillId="0" borderId="24" xfId="33" applyBorder="1"/>
    <xf numFmtId="0" fontId="9" fillId="0" borderId="25" xfId="33" applyBorder="1"/>
    <xf numFmtId="0" fontId="7" fillId="8" borderId="16" xfId="33" applyFont="1" applyFill="1" applyBorder="1"/>
    <xf numFmtId="0" fontId="7" fillId="8" borderId="16" xfId="33" applyFont="1" applyFill="1" applyBorder="1" applyAlignment="1">
      <alignment horizontal="left"/>
    </xf>
    <xf numFmtId="0" fontId="7" fillId="8" borderId="2" xfId="33" applyFont="1" applyFill="1" applyBorder="1"/>
    <xf numFmtId="49" fontId="8" fillId="0" borderId="0" xfId="33" applyNumberFormat="1" applyFont="1" applyBorder="1" applyAlignment="1">
      <alignment horizontal="left"/>
    </xf>
    <xf numFmtId="0" fontId="7" fillId="0" borderId="26" xfId="33" applyFont="1" applyBorder="1"/>
    <xf numFmtId="0" fontId="7" fillId="0" borderId="4" xfId="33" applyFont="1" applyBorder="1"/>
    <xf numFmtId="0" fontId="7" fillId="8" borderId="27" xfId="33" applyFont="1" applyFill="1" applyBorder="1"/>
    <xf numFmtId="0" fontId="7" fillId="8" borderId="5" xfId="33" applyFont="1" applyFill="1" applyBorder="1"/>
    <xf numFmtId="0" fontId="7" fillId="8" borderId="3" xfId="33" applyFont="1" applyFill="1" applyBorder="1"/>
    <xf numFmtId="0" fontId="8" fillId="0" borderId="22" xfId="33" applyFont="1" applyBorder="1" applyAlignment="1"/>
    <xf numFmtId="0" fontId="9" fillId="0" borderId="3" xfId="33" applyBorder="1"/>
    <xf numFmtId="0" fontId="8" fillId="0" borderId="3" xfId="33" applyFont="1" applyBorder="1" applyAlignment="1"/>
    <xf numFmtId="11" fontId="8" fillId="0" borderId="3" xfId="33" applyNumberFormat="1" applyFont="1" applyBorder="1" applyAlignment="1"/>
    <xf numFmtId="0" fontId="7" fillId="8" borderId="3" xfId="33" applyFont="1" applyFill="1" applyBorder="1" applyAlignment="1">
      <alignment horizontal="right"/>
    </xf>
    <xf numFmtId="165" fontId="7" fillId="8" borderId="5" xfId="33" applyNumberFormat="1" applyFont="1" applyFill="1" applyBorder="1"/>
    <xf numFmtId="176" fontId="9" fillId="0" borderId="0" xfId="33" applyNumberFormat="1"/>
    <xf numFmtId="0" fontId="7" fillId="8" borderId="22" xfId="33" applyFont="1" applyFill="1" applyBorder="1"/>
    <xf numFmtId="0" fontId="9" fillId="0" borderId="22" xfId="33" applyBorder="1" applyAlignment="1">
      <alignment wrapText="1"/>
    </xf>
    <xf numFmtId="0" fontId="9" fillId="0" borderId="3" xfId="33" applyBorder="1" applyAlignment="1">
      <alignment wrapText="1"/>
    </xf>
    <xf numFmtId="0" fontId="8" fillId="0" borderId="22" xfId="33" applyFont="1" applyBorder="1"/>
    <xf numFmtId="0" fontId="8" fillId="0" borderId="3" xfId="33" applyFont="1" applyBorder="1"/>
    <xf numFmtId="1" fontId="8" fillId="0" borderId="3" xfId="33" applyNumberFormat="1" applyFont="1" applyBorder="1"/>
    <xf numFmtId="0" fontId="9" fillId="0" borderId="22" xfId="33" applyBorder="1"/>
    <xf numFmtId="176" fontId="9" fillId="0" borderId="0" xfId="33" applyNumberFormat="1" applyFont="1"/>
    <xf numFmtId="0" fontId="7" fillId="8" borderId="5" xfId="33" applyFont="1" applyFill="1" applyBorder="1" applyAlignment="1">
      <alignment horizontal="right"/>
    </xf>
    <xf numFmtId="0" fontId="7" fillId="8" borderId="31" xfId="33" applyFont="1" applyFill="1" applyBorder="1"/>
    <xf numFmtId="0" fontId="8" fillId="0" borderId="32" xfId="7" applyNumberFormat="1" applyFont="1" applyBorder="1" applyAlignment="1" applyProtection="1"/>
    <xf numFmtId="176" fontId="8" fillId="0" borderId="3" xfId="33" applyNumberFormat="1" applyFont="1" applyBorder="1" applyAlignment="1"/>
    <xf numFmtId="176" fontId="9" fillId="0" borderId="0" xfId="33" applyNumberFormat="1" applyAlignment="1">
      <alignment wrapText="1"/>
    </xf>
    <xf numFmtId="184" fontId="35" fillId="0" borderId="0" xfId="11" applyNumberFormat="1" applyFont="1" applyFill="1" applyBorder="1">
      <alignment vertical="center" wrapText="1"/>
    </xf>
    <xf numFmtId="0" fontId="8" fillId="0" borderId="3" xfId="33" applyNumberFormat="1" applyFont="1" applyBorder="1"/>
    <xf numFmtId="0" fontId="9" fillId="10" borderId="0" xfId="33" applyFill="1"/>
    <xf numFmtId="49" fontId="22" fillId="0" borderId="0" xfId="8" applyNumberFormat="1"/>
    <xf numFmtId="184" fontId="35" fillId="0" borderId="3" xfId="11" applyNumberFormat="1" applyFont="1" applyFill="1" applyBorder="1">
      <alignment vertical="center" wrapText="1"/>
    </xf>
    <xf numFmtId="0" fontId="29" fillId="0" borderId="3" xfId="9" applyBorder="1"/>
    <xf numFmtId="0" fontId="30" fillId="0" borderId="3" xfId="30" applyFont="1" applyFill="1" applyBorder="1" applyAlignment="1">
      <alignment wrapText="1"/>
    </xf>
    <xf numFmtId="170" fontId="30" fillId="0" borderId="3" xfId="3" applyFont="1" applyFill="1" applyBorder="1"/>
    <xf numFmtId="170" fontId="30" fillId="0" borderId="3" xfId="3" applyNumberFormat="1" applyFont="1" applyFill="1" applyBorder="1" applyAlignment="1"/>
    <xf numFmtId="179" fontId="30" fillId="0" borderId="3" xfId="9" applyNumberFormat="1" applyFont="1" applyFill="1" applyBorder="1" applyAlignment="1">
      <alignment horizontal="right" wrapText="1"/>
    </xf>
    <xf numFmtId="182" fontId="8" fillId="0" borderId="16" xfId="7" quotePrefix="1" applyNumberFormat="1" applyFont="1" applyBorder="1" applyAlignment="1" applyProtection="1"/>
  </cellXfs>
  <cellStyles count="35">
    <cellStyle name="Comma 2" xfId="5"/>
    <cellStyle name="Cost Table Plain" xfId="10"/>
    <cellStyle name="Cost_Green" xfId="4"/>
    <cellStyle name="Cost_Yellow" xfId="11"/>
    <cellStyle name="Currency 2" xfId="2"/>
    <cellStyle name="Currency 2 2" xfId="12"/>
    <cellStyle name="Good 2" xfId="13"/>
    <cellStyle name="Lien hypertexte" xfId="8" builtinId="8"/>
    <cellStyle name="Monétaire 10 2" xfId="29"/>
    <cellStyle name="Monétaire 2" xfId="3"/>
    <cellStyle name="Monétaire 3" xfId="1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2 5" xfId="33"/>
    <cellStyle name="Normal 3" xfId="6"/>
    <cellStyle name="Normal 3 2" xfId="26"/>
    <cellStyle name="Normal 3 3" xfId="25"/>
    <cellStyle name="Normal 3 4" xfId="31"/>
    <cellStyle name="Normal 3 5" xfId="32"/>
    <cellStyle name="Normal 3 6" xfId="34"/>
    <cellStyle name="Normal 4" xfId="9"/>
    <cellStyle name="Normal 5" xfId="27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SU_02006!B5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SU_02002!B5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hyperlink" Target="#SU_02005!B5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SU_02006!B5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24</xdr:row>
      <xdr:rowOff>126066</xdr:rowOff>
    </xdr:from>
    <xdr:to>
      <xdr:col>13</xdr:col>
      <xdr:colOff>760304</xdr:colOff>
      <xdr:row>43</xdr:row>
      <xdr:rowOff>123265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251244</xdr:colOff>
      <xdr:row>23</xdr:row>
      <xdr:rowOff>127359</xdr:rowOff>
    </xdr:from>
    <xdr:to>
      <xdr:col>13</xdr:col>
      <xdr:colOff>632004</xdr:colOff>
      <xdr:row>43</xdr:row>
      <xdr:rowOff>102678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47944" y="4229459"/>
          <a:ext cx="2869960" cy="35440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343259</xdr:colOff>
      <xdr:row>14</xdr:row>
      <xdr:rowOff>30552</xdr:rowOff>
    </xdr:from>
    <xdr:to>
      <xdr:col>13</xdr:col>
      <xdr:colOff>552928</xdr:colOff>
      <xdr:row>17</xdr:row>
      <xdr:rowOff>265982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28731" y="2546590"/>
          <a:ext cx="2948555" cy="20613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98844</xdr:rowOff>
    </xdr:from>
    <xdr:to>
      <xdr:col>10</xdr:col>
      <xdr:colOff>562604</xdr:colOff>
      <xdr:row>32</xdr:row>
      <xdr:rowOff>98843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D20527-4F08-4414-A552-9E9580FA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81724"/>
          <a:ext cx="8556200" cy="566927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382799</xdr:colOff>
      <xdr:row>12</xdr:row>
      <xdr:rowOff>106033</xdr:rowOff>
    </xdr:from>
    <xdr:to>
      <xdr:col>13</xdr:col>
      <xdr:colOff>186906</xdr:colOff>
      <xdr:row>21</xdr:row>
      <xdr:rowOff>121413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73271" y="2262637"/>
          <a:ext cx="2967126" cy="18197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126341</xdr:colOff>
      <xdr:row>1</xdr:row>
      <xdr:rowOff>158152</xdr:rowOff>
    </xdr:from>
    <xdr:ext cx="8610220" cy="407852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41" y="337869"/>
          <a:ext cx="8610220" cy="4078525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64698</xdr:colOff>
      <xdr:row>1</xdr:row>
      <xdr:rowOff>86265</xdr:rowOff>
    </xdr:from>
    <xdr:to>
      <xdr:col>9</xdr:col>
      <xdr:colOff>532636</xdr:colOff>
      <xdr:row>34</xdr:row>
      <xdr:rowOff>43133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698" y="265982"/>
          <a:ext cx="8339542" cy="58875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160020</xdr:rowOff>
    </xdr:from>
    <xdr:to>
      <xdr:col>9</xdr:col>
      <xdr:colOff>693507</xdr:colOff>
      <xdr:row>32</xdr:row>
      <xdr:rowOff>53340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" y="342900"/>
          <a:ext cx="7863927" cy="55626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107292</xdr:colOff>
      <xdr:row>1</xdr:row>
      <xdr:rowOff>90122</xdr:rowOff>
    </xdr:from>
    <xdr:ext cx="8972010" cy="369339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292" y="269839"/>
          <a:ext cx="8972010" cy="369339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282320</xdr:colOff>
      <xdr:row>23</xdr:row>
      <xdr:rowOff>138546</xdr:rowOff>
    </xdr:from>
    <xdr:to>
      <xdr:col>13</xdr:col>
      <xdr:colOff>776985</xdr:colOff>
      <xdr:row>44</xdr:row>
      <xdr:rowOff>86592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500" y="4161906"/>
          <a:ext cx="2994025" cy="379614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66496</xdr:colOff>
      <xdr:row>13</xdr:row>
      <xdr:rowOff>28036</xdr:rowOff>
    </xdr:from>
    <xdr:to>
      <xdr:col>14</xdr:col>
      <xdr:colOff>97631</xdr:colOff>
      <xdr:row>18</xdr:row>
      <xdr:rowOff>35944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51968" y="2364357"/>
          <a:ext cx="3395437" cy="2380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59532</xdr:colOff>
      <xdr:row>13</xdr:row>
      <xdr:rowOff>168672</xdr:rowOff>
    </xdr:from>
    <xdr:to>
      <xdr:col>14</xdr:col>
      <xdr:colOff>110726</xdr:colOff>
      <xdr:row>18</xdr:row>
      <xdr:rowOff>92471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38516" y="2619375"/>
          <a:ext cx="3192461" cy="239434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80873</xdr:rowOff>
    </xdr:from>
    <xdr:to>
      <xdr:col>10</xdr:col>
      <xdr:colOff>48354</xdr:colOff>
      <xdr:row>30</xdr:row>
      <xdr:rowOff>107831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8C848-D8F4-4ED8-9809-B8873C7EA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60590"/>
          <a:ext cx="7964887" cy="52387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368420</xdr:colOff>
      <xdr:row>12</xdr:row>
      <xdr:rowOff>177469</xdr:rowOff>
    </xdr:from>
    <xdr:to>
      <xdr:col>13</xdr:col>
      <xdr:colOff>251842</xdr:colOff>
      <xdr:row>21</xdr:row>
      <xdr:rowOff>116993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18060" y="2372029"/>
          <a:ext cx="3022862" cy="176832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255736</xdr:colOff>
      <xdr:row>2</xdr:row>
      <xdr:rowOff>90398</xdr:rowOff>
    </xdr:from>
    <xdr:ext cx="8080135" cy="382743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736" y="449832"/>
          <a:ext cx="8080135" cy="3827432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7230</xdr:colOff>
      <xdr:row>30</xdr:row>
      <xdr:rowOff>86266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9435"/>
          <a:ext cx="7253419" cy="511834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152400</xdr:rowOff>
    </xdr:from>
    <xdr:to>
      <xdr:col>9</xdr:col>
      <xdr:colOff>541917</xdr:colOff>
      <xdr:row>30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7660" y="335280"/>
          <a:ext cx="7476117" cy="52882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777240</xdr:colOff>
      <xdr:row>12</xdr:row>
      <xdr:rowOff>106680</xdr:rowOff>
    </xdr:from>
    <xdr:to>
      <xdr:col>12</xdr:col>
      <xdr:colOff>782942</xdr:colOff>
      <xdr:row>19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72700" y="2301240"/>
          <a:ext cx="2360282" cy="143256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23925"/>
          <a:ext cx="10058400" cy="4140616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318998</xdr:colOff>
      <xdr:row>22</xdr:row>
      <xdr:rowOff>95250</xdr:rowOff>
    </xdr:from>
    <xdr:to>
      <xdr:col>14</xdr:col>
      <xdr:colOff>71437</xdr:colOff>
      <xdr:row>43</xdr:row>
      <xdr:rowOff>80595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27178" y="4118610"/>
          <a:ext cx="3044279" cy="383344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116818</xdr:colOff>
      <xdr:row>12</xdr:row>
      <xdr:rowOff>98844</xdr:rowOff>
    </xdr:from>
    <xdr:to>
      <xdr:col>14</xdr:col>
      <xdr:colOff>152760</xdr:colOff>
      <xdr:row>17</xdr:row>
      <xdr:rowOff>303271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99558" y="2293404"/>
          <a:ext cx="3396362" cy="239898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125802</xdr:colOff>
      <xdr:row>1</xdr:row>
      <xdr:rowOff>107830</xdr:rowOff>
    </xdr:from>
    <xdr:to>
      <xdr:col>10</xdr:col>
      <xdr:colOff>627685</xdr:colOff>
      <xdr:row>32</xdr:row>
      <xdr:rowOff>134787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8578BB-0831-46B3-A339-F4994947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2" y="290710"/>
          <a:ext cx="8525743" cy="5696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143775</xdr:colOff>
      <xdr:row>12</xdr:row>
      <xdr:rowOff>56342</xdr:rowOff>
    </xdr:from>
    <xdr:to>
      <xdr:col>13</xdr:col>
      <xdr:colOff>224646</xdr:colOff>
      <xdr:row>21</xdr:row>
      <xdr:rowOff>143953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3415" y="2250902"/>
          <a:ext cx="3220311" cy="191641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70535"/>
          <a:ext cx="10058400" cy="4764505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365885"/>
          <a:ext cx="9878804" cy="4296375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23925"/>
          <a:ext cx="10058400" cy="414061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626969</xdr:colOff>
      <xdr:row>12</xdr:row>
      <xdr:rowOff>49306</xdr:rowOff>
    </xdr:from>
    <xdr:to>
      <xdr:col>14</xdr:col>
      <xdr:colOff>17369</xdr:colOff>
      <xdr:row>21</xdr:row>
      <xdr:rowOff>165287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1734" y="2335306"/>
          <a:ext cx="3200400" cy="24019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647910</xdr:colOff>
      <xdr:row>33</xdr:row>
      <xdr:rowOff>152400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534610" cy="6004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38100</xdr:rowOff>
    </xdr:from>
    <xdr:to>
      <xdr:col>10</xdr:col>
      <xdr:colOff>108065</xdr:colOff>
      <xdr:row>32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20980"/>
          <a:ext cx="8154785" cy="57683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685799</xdr:colOff>
      <xdr:row>12</xdr:row>
      <xdr:rowOff>97971</xdr:rowOff>
    </xdr:from>
    <xdr:to>
      <xdr:col>12</xdr:col>
      <xdr:colOff>242723</xdr:colOff>
      <xdr:row>19</xdr:row>
      <xdr:rowOff>76200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9023" r="10549"/>
        <a:stretch/>
      </xdr:blipFill>
      <xdr:spPr>
        <a:xfrm>
          <a:off x="10145485" y="2318657"/>
          <a:ext cx="1940895" cy="14586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100" t="s">
        <v>128</v>
      </c>
    </row>
    <row r="3" spans="1:2" x14ac:dyDescent="0.3">
      <c r="A3" s="99" t="s">
        <v>61</v>
      </c>
      <c r="B3" s="96" t="s">
        <v>62</v>
      </c>
    </row>
    <row r="5" spans="1:2" x14ac:dyDescent="0.3">
      <c r="A5" t="s">
        <v>96</v>
      </c>
    </row>
    <row r="6" spans="1:2" x14ac:dyDescent="0.3">
      <c r="A6" t="s">
        <v>97</v>
      </c>
    </row>
    <row r="7" spans="1:2" x14ac:dyDescent="0.3">
      <c r="A7" t="s">
        <v>104</v>
      </c>
    </row>
    <row r="8" spans="1:2" x14ac:dyDescent="0.3">
      <c r="A8" t="s">
        <v>101</v>
      </c>
    </row>
    <row r="9" spans="1:2" x14ac:dyDescent="0.3">
      <c r="A9" t="s">
        <v>63</v>
      </c>
    </row>
    <row r="10" spans="1:2" x14ac:dyDescent="0.3">
      <c r="A10" s="96" t="s">
        <v>92</v>
      </c>
    </row>
    <row r="11" spans="1:2" x14ac:dyDescent="0.3">
      <c r="A11" t="s">
        <v>64</v>
      </c>
    </row>
    <row r="12" spans="1:2" x14ac:dyDescent="0.3">
      <c r="A12" t="s">
        <v>65</v>
      </c>
    </row>
    <row r="14" spans="1:2" x14ac:dyDescent="0.3">
      <c r="A14" t="s">
        <v>95</v>
      </c>
    </row>
    <row r="15" spans="1:2" x14ac:dyDescent="0.3">
      <c r="A15" t="s">
        <v>109</v>
      </c>
    </row>
    <row r="16" spans="1:2" x14ac:dyDescent="0.3">
      <c r="A16" t="s">
        <v>113</v>
      </c>
    </row>
    <row r="18" spans="1:3" x14ac:dyDescent="0.3">
      <c r="A18" s="99" t="s">
        <v>66</v>
      </c>
      <c r="B18" s="96" t="s">
        <v>99</v>
      </c>
      <c r="C18" s="96"/>
    </row>
    <row r="20" spans="1:3" x14ac:dyDescent="0.3">
      <c r="A20" t="s">
        <v>110</v>
      </c>
    </row>
    <row r="21" spans="1:3" x14ac:dyDescent="0.3">
      <c r="A21" t="s">
        <v>129</v>
      </c>
    </row>
    <row r="23" spans="1:3" x14ac:dyDescent="0.3">
      <c r="A23" s="99" t="s">
        <v>68</v>
      </c>
      <c r="B23" s="96" t="s">
        <v>69</v>
      </c>
    </row>
    <row r="25" spans="1:3" x14ac:dyDescent="0.3">
      <c r="A25" t="s">
        <v>121</v>
      </c>
    </row>
    <row r="26" spans="1:3" x14ac:dyDescent="0.3">
      <c r="A26" t="s">
        <v>75</v>
      </c>
    </row>
    <row r="27" spans="1:3" x14ac:dyDescent="0.3">
      <c r="A27" t="s">
        <v>70</v>
      </c>
    </row>
    <row r="28" spans="1:3" x14ac:dyDescent="0.3">
      <c r="A28" t="s">
        <v>105</v>
      </c>
    </row>
    <row r="29" spans="1:3" x14ac:dyDescent="0.3">
      <c r="A29" t="s">
        <v>102</v>
      </c>
    </row>
    <row r="30" spans="1:3" x14ac:dyDescent="0.3">
      <c r="A30" t="s">
        <v>71</v>
      </c>
    </row>
    <row r="31" spans="1:3" x14ac:dyDescent="0.3">
      <c r="A31" s="96" t="s">
        <v>92</v>
      </c>
    </row>
    <row r="32" spans="1:3" x14ac:dyDescent="0.3">
      <c r="A32" t="s">
        <v>103</v>
      </c>
    </row>
    <row r="33" spans="1:2" x14ac:dyDescent="0.3">
      <c r="A33" t="s">
        <v>106</v>
      </c>
    </row>
    <row r="35" spans="1:2" x14ac:dyDescent="0.3">
      <c r="A35" t="s">
        <v>107</v>
      </c>
    </row>
    <row r="36" spans="1:2" x14ac:dyDescent="0.3">
      <c r="A36" t="s">
        <v>108</v>
      </c>
    </row>
    <row r="37" spans="1:2" x14ac:dyDescent="0.3">
      <c r="A37" t="s">
        <v>114</v>
      </c>
    </row>
    <row r="39" spans="1:2" x14ac:dyDescent="0.3">
      <c r="A39" s="99" t="s">
        <v>72</v>
      </c>
      <c r="B39" s="96" t="s">
        <v>67</v>
      </c>
    </row>
    <row r="41" spans="1:2" x14ac:dyDescent="0.3">
      <c r="A41" t="s">
        <v>119</v>
      </c>
    </row>
    <row r="42" spans="1:2" x14ac:dyDescent="0.3">
      <c r="A42" t="s">
        <v>120</v>
      </c>
    </row>
    <row r="43" spans="1:2" x14ac:dyDescent="0.3">
      <c r="A43" t="s">
        <v>98</v>
      </c>
    </row>
    <row r="45" spans="1:2" x14ac:dyDescent="0.3">
      <c r="A45" s="99" t="s">
        <v>73</v>
      </c>
      <c r="B45" s="96" t="s">
        <v>89</v>
      </c>
    </row>
    <row r="47" spans="1:2" x14ac:dyDescent="0.3">
      <c r="A47" t="s">
        <v>122</v>
      </c>
    </row>
    <row r="48" spans="1:2" x14ac:dyDescent="0.3">
      <c r="A48" t="s">
        <v>90</v>
      </c>
    </row>
    <row r="49" spans="1:2" x14ac:dyDescent="0.3">
      <c r="A49" t="s">
        <v>91</v>
      </c>
    </row>
    <row r="50" spans="1:2" x14ac:dyDescent="0.3">
      <c r="A50" t="s">
        <v>111</v>
      </c>
    </row>
    <row r="51" spans="1:2" x14ac:dyDescent="0.3">
      <c r="A51" t="s">
        <v>123</v>
      </c>
    </row>
    <row r="52" spans="1:2" x14ac:dyDescent="0.3">
      <c r="A52" t="s">
        <v>124</v>
      </c>
    </row>
    <row r="53" spans="1:2" x14ac:dyDescent="0.3">
      <c r="A53" t="s">
        <v>93</v>
      </c>
    </row>
    <row r="55" spans="1:2" x14ac:dyDescent="0.3">
      <c r="A55" t="s">
        <v>115</v>
      </c>
    </row>
    <row r="57" spans="1:2" x14ac:dyDescent="0.3">
      <c r="A57" s="99" t="s">
        <v>77</v>
      </c>
      <c r="B57" s="96" t="s">
        <v>74</v>
      </c>
    </row>
    <row r="59" spans="1:2" x14ac:dyDescent="0.3">
      <c r="A59" t="s">
        <v>76</v>
      </c>
    </row>
    <row r="60" spans="1:2" x14ac:dyDescent="0.3">
      <c r="A60" t="s">
        <v>116</v>
      </c>
    </row>
    <row r="61" spans="1:2" x14ac:dyDescent="0.3">
      <c r="A61" t="s">
        <v>112</v>
      </c>
    </row>
    <row r="63" spans="1:2" x14ac:dyDescent="0.3">
      <c r="A63" s="99" t="s">
        <v>88</v>
      </c>
      <c r="B63" s="96" t="s">
        <v>78</v>
      </c>
    </row>
    <row r="65" spans="1:1" x14ac:dyDescent="0.3">
      <c r="A65" t="s">
        <v>79</v>
      </c>
    </row>
    <row r="66" spans="1:1" x14ac:dyDescent="0.3">
      <c r="A66" t="s">
        <v>81</v>
      </c>
    </row>
    <row r="67" spans="1:1" x14ac:dyDescent="0.3">
      <c r="A67" t="s">
        <v>80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117</v>
      </c>
    </row>
    <row r="72" spans="1:1" x14ac:dyDescent="0.3">
      <c r="A72" t="s">
        <v>118</v>
      </c>
    </row>
    <row r="74" spans="1:1" x14ac:dyDescent="0.3">
      <c r="A74" t="s">
        <v>125</v>
      </c>
    </row>
    <row r="75" spans="1:1" x14ac:dyDescent="0.3">
      <c r="A75" t="s">
        <v>85</v>
      </c>
    </row>
    <row r="76" spans="1:1" x14ac:dyDescent="0.3">
      <c r="A76" t="s">
        <v>86</v>
      </c>
    </row>
    <row r="77" spans="1:1" x14ac:dyDescent="0.3">
      <c r="A77" t="s">
        <v>117</v>
      </c>
    </row>
    <row r="78" spans="1:1" x14ac:dyDescent="0.3">
      <c r="A78" t="s">
        <v>118</v>
      </c>
    </row>
    <row r="80" spans="1:1" x14ac:dyDescent="0.3">
      <c r="A80" s="96" t="s">
        <v>94</v>
      </c>
    </row>
    <row r="82" spans="1:1" x14ac:dyDescent="0.3">
      <c r="A82" s="100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topLeftCell="B1" workbookViewId="0">
      <selection activeCell="N4" sqref="N4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2.6790440160000002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18" t="s">
        <v>221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5.3580880320000004</v>
      </c>
      <c r="O5" s="64"/>
    </row>
    <row r="6" spans="1:17" x14ac:dyDescent="0.3">
      <c r="A6" s="111" t="s">
        <v>7</v>
      </c>
      <c r="B6" s="29" t="s">
        <v>200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194</v>
      </c>
      <c r="C11" s="21" t="s">
        <v>38</v>
      </c>
      <c r="D11" s="31">
        <v>2.25</v>
      </c>
      <c r="E11" s="150">
        <f>J11*K11*L11/1000000000</f>
        <v>1.7352896E-2</v>
      </c>
      <c r="F11" s="21" t="s">
        <v>187</v>
      </c>
      <c r="G11" s="21"/>
      <c r="H11" s="20"/>
      <c r="I11" s="22" t="s">
        <v>193</v>
      </c>
      <c r="J11" s="85">
        <f>3.14*8*8</f>
        <v>200.96</v>
      </c>
      <c r="K11" s="86">
        <v>11</v>
      </c>
      <c r="L11" s="84">
        <v>7850</v>
      </c>
      <c r="M11" s="177">
        <v>1</v>
      </c>
      <c r="N11" s="31">
        <f>D11*E11</f>
        <v>3.9044016000000001E-2</v>
      </c>
      <c r="O11" s="69"/>
      <c r="Q11" s="148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3.9044016000000001E-2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7" t="s">
        <v>184</v>
      </c>
      <c r="C16" s="19" t="s">
        <v>195</v>
      </c>
      <c r="D16" s="31">
        <v>0.04</v>
      </c>
      <c r="E16" s="28" t="s">
        <v>186</v>
      </c>
      <c r="F16" s="152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7" t="s">
        <v>184</v>
      </c>
      <c r="C18" s="19" t="s">
        <v>197</v>
      </c>
      <c r="D18" s="31">
        <v>0.04</v>
      </c>
      <c r="E18" s="28" t="s">
        <v>186</v>
      </c>
      <c r="F18" s="152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7" t="s">
        <v>184</v>
      </c>
      <c r="C20" s="19" t="s">
        <v>196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5" display="Drawing"/>
    <hyperlink ref="G2" location="SU_A0100_BOM" display="Back to B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198</v>
      </c>
      <c r="B1" s="98" t="s">
        <v>200</v>
      </c>
    </row>
  </sheetData>
  <hyperlinks>
    <hyperlink ref="B1" location="SU_01005" display="SU_01005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N4" sqref="N4"/>
    </sheetView>
  </sheetViews>
  <sheetFormatPr baseColWidth="10" defaultRowHeight="14.4" x14ac:dyDescent="0.3"/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2.6541978240000001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18" t="s">
        <v>220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10.616791296000001</v>
      </c>
      <c r="O5" s="64"/>
    </row>
    <row r="6" spans="1:15" x14ac:dyDescent="0.3">
      <c r="A6" s="111" t="s">
        <v>7</v>
      </c>
      <c r="B6" s="29" t="s">
        <v>222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27" t="s">
        <v>194</v>
      </c>
      <c r="C11" s="21" t="s">
        <v>38</v>
      </c>
      <c r="D11" s="31">
        <v>2.25</v>
      </c>
      <c r="E11" s="150">
        <f>J11*K11*L11/1000000000</f>
        <v>6.3101440000000002E-3</v>
      </c>
      <c r="F11" s="21" t="s">
        <v>187</v>
      </c>
      <c r="G11" s="21"/>
      <c r="H11" s="20"/>
      <c r="I11" s="22" t="s">
        <v>193</v>
      </c>
      <c r="J11" s="85">
        <f>3.14*8*8</f>
        <v>200.96</v>
      </c>
      <c r="K11" s="86">
        <v>4</v>
      </c>
      <c r="L11" s="84">
        <v>7850</v>
      </c>
      <c r="M11" s="177">
        <v>1</v>
      </c>
      <c r="N11" s="31">
        <f>D11*E11</f>
        <v>1.4197824000000001E-2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1.4197824000000001E-2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43.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5" x14ac:dyDescent="0.3">
      <c r="A16" s="66">
        <v>20</v>
      </c>
      <c r="B16" s="147" t="s">
        <v>184</v>
      </c>
      <c r="C16" s="19" t="s">
        <v>195</v>
      </c>
      <c r="D16" s="31">
        <v>0.04</v>
      </c>
      <c r="E16" s="28" t="s">
        <v>186</v>
      </c>
      <c r="F16" s="152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ht="43.2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7" t="s">
        <v>184</v>
      </c>
      <c r="C18" s="19" t="s">
        <v>197</v>
      </c>
      <c r="D18" s="31">
        <v>0.04</v>
      </c>
      <c r="E18" s="28" t="s">
        <v>186</v>
      </c>
      <c r="F18" s="152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ht="43.2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7" t="s">
        <v>184</v>
      </c>
      <c r="C20" s="19" t="s">
        <v>196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6" display="Drawing"/>
    <hyperlink ref="G2" location="SU_A0100_BOM" display="Back to BOM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/>
  </sheetViews>
  <sheetFormatPr baseColWidth="10" defaultRowHeight="14.4" x14ac:dyDescent="0.3"/>
  <cols>
    <col min="1" max="1" width="15" customWidth="1"/>
  </cols>
  <sheetData>
    <row r="1" spans="1:2" x14ac:dyDescent="0.3">
      <c r="A1" t="s">
        <v>198</v>
      </c>
      <c r="B1" s="98" t="str">
        <f>SU_01006</f>
        <v>SU_01006</v>
      </c>
    </row>
  </sheetData>
  <hyperlinks>
    <hyperlink ref="B1" location="SU_01006" display="SU_01006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4.031606798336</v>
      </c>
      <c r="O5" s="64"/>
    </row>
    <row r="6" spans="1:17" x14ac:dyDescent="0.3">
      <c r="A6" s="111" t="s">
        <v>7</v>
      </c>
      <c r="B6" s="29" t="s">
        <v>219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133</v>
      </c>
      <c r="C11" s="21" t="s">
        <v>38</v>
      </c>
      <c r="D11" s="153">
        <f>4.2</f>
        <v>4.2</v>
      </c>
      <c r="E11" s="150">
        <f>J11*K11*L11/1000000000</f>
        <v>1.4715095040000001E-2</v>
      </c>
      <c r="F11" s="21" t="s">
        <v>187</v>
      </c>
      <c r="G11" s="21"/>
      <c r="H11" s="20"/>
      <c r="I11" s="22" t="s">
        <v>193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54">
        <f>D11*E11</f>
        <v>6.1803399168000005E-2</v>
      </c>
      <c r="O11" s="69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48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7" t="s">
        <v>184</v>
      </c>
      <c r="C16" s="19" t="s">
        <v>195</v>
      </c>
      <c r="D16" s="31">
        <v>0.04</v>
      </c>
      <c r="E16" s="28" t="s">
        <v>186</v>
      </c>
      <c r="F16" s="152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7" t="s">
        <v>184</v>
      </c>
      <c r="C18" s="19" t="s">
        <v>196</v>
      </c>
      <c r="D18" s="31">
        <v>0.04</v>
      </c>
      <c r="E18" s="28" t="s">
        <v>186</v>
      </c>
      <c r="F18" s="152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3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" thickBot="1" x14ac:dyDescent="0.3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'SU A0100'!A1" display="'SU A0100'!A1"/>
    <hyperlink ref="E3" location="dSU_01007" display="Drawing"/>
    <hyperlink ref="G2" location="SU_A0100_BOM" display="Back to BOM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198</v>
      </c>
      <c r="B1" s="98" t="str">
        <f>SU_01007</f>
        <v>SU_01007</v>
      </c>
    </row>
    <row r="58" spans="12:12" x14ac:dyDescent="0.3">
      <c r="L58" s="95">
        <f>'SU 01002'!L52</f>
        <v>0</v>
      </c>
    </row>
  </sheetData>
  <hyperlinks>
    <hyperlink ref="B1" location="SU_01007" display="SU_01007"/>
    <hyperlink ref="L58" location="BR_01001" display="BR_0100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4"/>
  <sheetViews>
    <sheetView zoomScale="60" zoomScaleNormal="6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57.109375" customWidth="1"/>
    <col min="3" max="3" width="49.21875" customWidth="1"/>
    <col min="5" max="5" width="9.88671875" customWidth="1"/>
    <col min="14" max="14" width="11.5546875" customWidth="1"/>
    <col min="15" max="15" width="5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07" t="s">
        <v>0</v>
      </c>
      <c r="B2" s="16" t="s">
        <v>37</v>
      </c>
      <c r="C2" s="58"/>
      <c r="D2" s="58"/>
      <c r="E2" s="97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SU_A0100_pa+SU_A0100_m+SU_A0100_p+SU_A0100_f</f>
        <v>92.982549501495626</v>
      </c>
      <c r="O2" s="64"/>
    </row>
    <row r="3" spans="1:15" x14ac:dyDescent="0.3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3">
      <c r="A4" s="107" t="s">
        <v>5</v>
      </c>
      <c r="B4" s="59" t="s">
        <v>204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3">
      <c r="A5" s="107" t="s">
        <v>7</v>
      </c>
      <c r="B5" s="18" t="s">
        <v>205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185.96509900299125</v>
      </c>
      <c r="O5" s="64"/>
    </row>
    <row r="6" spans="1:15" x14ac:dyDescent="0.3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3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75">
        <v>10</v>
      </c>
      <c r="B10" s="95" t="str">
        <f>SU_02001!B5</f>
        <v>Lower Front Bearing Support</v>
      </c>
      <c r="C10" s="77">
        <f>SU_02001!N2</f>
        <v>17.5365519056</v>
      </c>
      <c r="D10" s="138">
        <f>SU_02001_q</f>
        <v>1</v>
      </c>
      <c r="E10" s="77">
        <f t="shared" ref="E10:E16" si="0">C10*D10</f>
        <v>17.5365519056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3">
      <c r="A11" s="75">
        <v>20</v>
      </c>
      <c r="B11" s="95" t="str">
        <f>SU_02002!B5</f>
        <v>Inner Bearing Support</v>
      </c>
      <c r="C11" s="77">
        <f>SU_02002!N2</f>
        <v>4.6183805439999999</v>
      </c>
      <c r="D11" s="75">
        <f>SU_02002_q</f>
        <v>2</v>
      </c>
      <c r="E11" s="77">
        <f t="shared" si="0"/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3">
      <c r="A12" s="75">
        <v>30</v>
      </c>
      <c r="B12" s="95" t="str">
        <f>SU_02003!B5</f>
        <v>Lower Front A-arm tube (Front)  Carbon Fiber Tube</v>
      </c>
      <c r="C12" s="77">
        <f>SU_02003!N2</f>
        <v>11.220746039999998</v>
      </c>
      <c r="D12" s="138">
        <f>SU_02003_q</f>
        <v>1</v>
      </c>
      <c r="E12" s="77">
        <f t="shared" si="0"/>
        <v>11.220746039999998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3">
      <c r="A13" s="75">
        <v>40</v>
      </c>
      <c r="B13" s="95" t="str">
        <f>SU_02004!B5</f>
        <v>Lower Front A-arm tube (Back)  Carbon Fiber Tube</v>
      </c>
      <c r="C13" s="77">
        <f>SU_02004!N2</f>
        <v>10.001779199999998</v>
      </c>
      <c r="D13" s="75">
        <f>SU_02004_q</f>
        <v>1</v>
      </c>
      <c r="E13" s="77">
        <f t="shared" si="0"/>
        <v>10.001779199999998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3">
      <c r="A14" s="75">
        <v>50</v>
      </c>
      <c r="B14" s="95" t="str">
        <f>SU_02005!B5</f>
        <v>Spacer 1</v>
      </c>
      <c r="C14" s="77">
        <f>SU_02005!N2</f>
        <v>2.6701703760000002</v>
      </c>
      <c r="D14" s="138">
        <f>SU_02005_q</f>
        <v>2</v>
      </c>
      <c r="E14" s="77">
        <f t="shared" si="0"/>
        <v>5.3403407520000004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3">
      <c r="A15" s="75">
        <v>60</v>
      </c>
      <c r="B15" s="95" t="str">
        <f>SU_02006!B5</f>
        <v>Spacer 2</v>
      </c>
      <c r="C15" s="77">
        <f>SU_02006!N2</f>
        <v>2.6541978240000001</v>
      </c>
      <c r="D15" s="75">
        <f>SU_02006_q</f>
        <v>4</v>
      </c>
      <c r="E15" s="77"/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s="17" customFormat="1" x14ac:dyDescent="0.3">
      <c r="A16" s="75">
        <v>70</v>
      </c>
      <c r="B16" s="95" t="str">
        <f>SU_02007!B5</f>
        <v>Outboard A-arm Insert</v>
      </c>
      <c r="C16" s="77">
        <f>SU_02007!N2</f>
        <v>2.015803399168</v>
      </c>
      <c r="D16" s="138">
        <f>SU_02007_q</f>
        <v>2</v>
      </c>
      <c r="E16" s="77">
        <f t="shared" si="0"/>
        <v>4.031606798336</v>
      </c>
      <c r="F16" s="59"/>
      <c r="G16" s="59"/>
      <c r="H16" s="59"/>
      <c r="I16" s="59"/>
      <c r="J16" s="59"/>
      <c r="K16" s="59"/>
      <c r="L16" s="59"/>
      <c r="M16" s="59"/>
      <c r="N16" s="59"/>
      <c r="O16" s="68"/>
    </row>
    <row r="17" spans="1:15" x14ac:dyDescent="0.3">
      <c r="A17" s="65"/>
      <c r="B17" s="58"/>
      <c r="C17" s="58"/>
      <c r="D17" s="110" t="s">
        <v>18</v>
      </c>
      <c r="E17" s="109">
        <f>SUM(E10:E16)</f>
        <v>57.367785783936</v>
      </c>
      <c r="F17" s="59"/>
      <c r="G17" s="59"/>
      <c r="H17" s="59"/>
      <c r="I17" s="59"/>
      <c r="J17" s="59"/>
      <c r="K17" s="59"/>
      <c r="L17" s="59"/>
      <c r="M17" s="59"/>
      <c r="N17" s="59"/>
      <c r="O17" s="64"/>
    </row>
    <row r="18" spans="1:15" x14ac:dyDescent="0.3">
      <c r="A18" s="65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64"/>
    </row>
    <row r="19" spans="1:15" x14ac:dyDescent="0.3">
      <c r="A19" s="107" t="s">
        <v>14</v>
      </c>
      <c r="B19" s="107" t="s">
        <v>19</v>
      </c>
      <c r="C19" s="107" t="s">
        <v>20</v>
      </c>
      <c r="D19" s="107" t="s">
        <v>21</v>
      </c>
      <c r="E19" s="107" t="s">
        <v>22</v>
      </c>
      <c r="F19" s="107" t="s">
        <v>23</v>
      </c>
      <c r="G19" s="107" t="s">
        <v>24</v>
      </c>
      <c r="H19" s="107" t="s">
        <v>25</v>
      </c>
      <c r="I19" s="107" t="s">
        <v>26</v>
      </c>
      <c r="J19" s="107" t="s">
        <v>27</v>
      </c>
      <c r="K19" s="107" t="s">
        <v>28</v>
      </c>
      <c r="L19" s="107" t="s">
        <v>29</v>
      </c>
      <c r="M19" s="107" t="s">
        <v>17</v>
      </c>
      <c r="N19" s="107" t="s">
        <v>18</v>
      </c>
      <c r="O19" s="64"/>
    </row>
    <row r="20" spans="1:15" ht="14.4" customHeight="1" x14ac:dyDescent="0.3">
      <c r="A20" s="75">
        <v>10</v>
      </c>
      <c r="B20" s="75" t="s">
        <v>225</v>
      </c>
      <c r="C20" s="75"/>
      <c r="D20" s="77">
        <f>0.03*E20*E20+5</f>
        <v>6.92</v>
      </c>
      <c r="E20" s="75">
        <v>8</v>
      </c>
      <c r="F20" s="75" t="s">
        <v>30</v>
      </c>
      <c r="G20" s="75"/>
      <c r="H20" s="78"/>
      <c r="I20" s="79"/>
      <c r="J20" s="80"/>
      <c r="K20" s="78"/>
      <c r="L20" s="78"/>
      <c r="M20" s="86">
        <v>3</v>
      </c>
      <c r="N20" s="77">
        <f>M20*D20</f>
        <v>20.759999999999998</v>
      </c>
      <c r="O20" s="64"/>
    </row>
    <row r="21" spans="1:15" s="23" customFormat="1" ht="14.4" customHeight="1" x14ac:dyDescent="0.3">
      <c r="A21" s="75">
        <v>20</v>
      </c>
      <c r="B21" s="75" t="s">
        <v>137</v>
      </c>
      <c r="C21" s="75" t="s">
        <v>138</v>
      </c>
      <c r="D21" s="77"/>
      <c r="E21" s="81"/>
      <c r="F21" s="81"/>
      <c r="G21" s="81"/>
      <c r="H21" s="78"/>
      <c r="I21" s="82"/>
      <c r="J21" s="106"/>
      <c r="K21" s="83"/>
      <c r="L21" s="84"/>
      <c r="M21" s="85"/>
      <c r="N21" s="77">
        <f>M21*D21</f>
        <v>0</v>
      </c>
      <c r="O21" s="69"/>
    </row>
    <row r="22" spans="1:15" ht="29.4" customHeight="1" x14ac:dyDescent="0.3">
      <c r="A22" s="75">
        <v>30</v>
      </c>
      <c r="B22" s="75" t="s">
        <v>137</v>
      </c>
      <c r="C22" s="172" t="s">
        <v>139</v>
      </c>
      <c r="D22" s="77"/>
      <c r="E22" s="75"/>
      <c r="F22" s="75"/>
      <c r="G22" s="75"/>
      <c r="H22" s="78"/>
      <c r="I22" s="85"/>
      <c r="J22" s="86"/>
      <c r="K22" s="78"/>
      <c r="L22" s="84"/>
      <c r="M22" s="78"/>
      <c r="N22" s="77">
        <f>M22*D22</f>
        <v>0</v>
      </c>
      <c r="O22" s="64"/>
    </row>
    <row r="23" spans="1:15" x14ac:dyDescent="0.3">
      <c r="A23" s="70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107" t="s">
        <v>18</v>
      </c>
      <c r="N23" s="109">
        <f>SUM(N20:N22)</f>
        <v>20.759999999999998</v>
      </c>
      <c r="O23" s="64"/>
    </row>
    <row r="24" spans="1:15" x14ac:dyDescent="0.3">
      <c r="A24" s="65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64"/>
    </row>
    <row r="25" spans="1:15" s="26" customFormat="1" x14ac:dyDescent="0.3">
      <c r="A25" s="107" t="s">
        <v>14</v>
      </c>
      <c r="B25" s="107" t="s">
        <v>31</v>
      </c>
      <c r="C25" s="107" t="s">
        <v>20</v>
      </c>
      <c r="D25" s="107" t="s">
        <v>21</v>
      </c>
      <c r="E25" s="107" t="s">
        <v>32</v>
      </c>
      <c r="F25" s="107" t="s">
        <v>17</v>
      </c>
      <c r="G25" s="107" t="s">
        <v>33</v>
      </c>
      <c r="H25" s="107" t="s">
        <v>34</v>
      </c>
      <c r="I25" s="107" t="s">
        <v>18</v>
      </c>
      <c r="J25" s="25"/>
      <c r="K25" s="25"/>
      <c r="L25" s="25"/>
      <c r="M25" s="25"/>
      <c r="N25" s="25"/>
      <c r="O25" s="71"/>
    </row>
    <row r="26" spans="1:15" x14ac:dyDescent="0.3">
      <c r="A26" s="75">
        <v>10</v>
      </c>
      <c r="B26" s="88" t="s">
        <v>140</v>
      </c>
      <c r="C26" s="75" t="s">
        <v>141</v>
      </c>
      <c r="D26" s="77">
        <v>0.02</v>
      </c>
      <c r="E26" s="88" t="s">
        <v>142</v>
      </c>
      <c r="F26" s="173">
        <f>3*2*PI()*0.8*0.5</f>
        <v>7.5398223686155035</v>
      </c>
      <c r="G26" s="171"/>
      <c r="H26" s="171"/>
      <c r="I26" s="77">
        <f>D26*F26</f>
        <v>0.15079644737231007</v>
      </c>
      <c r="J26" s="58"/>
      <c r="K26" s="58"/>
      <c r="L26" s="58"/>
      <c r="M26" s="58"/>
      <c r="N26" s="58"/>
      <c r="O26" s="64"/>
    </row>
    <row r="27" spans="1:15" x14ac:dyDescent="0.3">
      <c r="A27" s="75">
        <v>20</v>
      </c>
      <c r="B27" s="88" t="s">
        <v>143</v>
      </c>
      <c r="C27" s="75" t="s">
        <v>144</v>
      </c>
      <c r="D27" s="77">
        <v>0.13</v>
      </c>
      <c r="E27" s="88" t="s">
        <v>35</v>
      </c>
      <c r="F27" s="87">
        <v>3</v>
      </c>
      <c r="G27" s="75"/>
      <c r="H27" s="75"/>
      <c r="I27" s="77">
        <f t="shared" ref="I27:I43" si="1">IF(H27="",D27*F27,D27*F27*H27)</f>
        <v>0.39</v>
      </c>
      <c r="J27" s="58"/>
      <c r="K27" s="58"/>
      <c r="L27" s="58"/>
      <c r="M27" s="58"/>
      <c r="N27" s="58"/>
      <c r="O27" s="64"/>
    </row>
    <row r="28" spans="1:15" ht="15" customHeight="1" x14ac:dyDescent="0.3">
      <c r="A28" s="75">
        <v>30</v>
      </c>
      <c r="B28" s="88" t="s">
        <v>145</v>
      </c>
      <c r="C28" s="75" t="s">
        <v>146</v>
      </c>
      <c r="D28" s="77">
        <v>0.02</v>
      </c>
      <c r="E28" s="88" t="s">
        <v>35</v>
      </c>
      <c r="F28" s="87">
        <v>4</v>
      </c>
      <c r="G28" s="75"/>
      <c r="H28" s="75"/>
      <c r="I28" s="77">
        <f t="shared" si="1"/>
        <v>0.08</v>
      </c>
      <c r="J28" s="58"/>
      <c r="K28" s="58"/>
      <c r="L28" s="58"/>
      <c r="M28" s="58"/>
      <c r="N28" s="58"/>
      <c r="O28" s="64"/>
    </row>
    <row r="29" spans="1:15" s="17" customFormat="1" x14ac:dyDescent="0.3">
      <c r="A29" s="75">
        <v>40</v>
      </c>
      <c r="B29" s="88" t="s">
        <v>145</v>
      </c>
      <c r="C29" s="75" t="s">
        <v>147</v>
      </c>
      <c r="D29" s="77">
        <v>0.02</v>
      </c>
      <c r="E29" s="88" t="s">
        <v>35</v>
      </c>
      <c r="F29" s="87">
        <v>6</v>
      </c>
      <c r="G29" s="75"/>
      <c r="H29" s="75"/>
      <c r="I29" s="77">
        <f t="shared" si="1"/>
        <v>0.12</v>
      </c>
      <c r="J29" s="59"/>
      <c r="K29" s="59"/>
      <c r="L29" s="59"/>
      <c r="M29" s="59"/>
      <c r="N29" s="59"/>
      <c r="O29" s="68"/>
    </row>
    <row r="30" spans="1:15" s="17" customFormat="1" x14ac:dyDescent="0.3">
      <c r="A30" s="75">
        <v>50</v>
      </c>
      <c r="B30" s="88" t="s">
        <v>148</v>
      </c>
      <c r="C30" s="75" t="s">
        <v>149</v>
      </c>
      <c r="D30" s="77">
        <v>0.02</v>
      </c>
      <c r="E30" s="88" t="s">
        <v>41</v>
      </c>
      <c r="F30" s="87">
        <v>18</v>
      </c>
      <c r="G30" s="75"/>
      <c r="H30" s="75"/>
      <c r="I30" s="77">
        <f t="shared" si="1"/>
        <v>0.36</v>
      </c>
      <c r="J30" s="59"/>
      <c r="K30" s="59"/>
      <c r="L30" s="59"/>
      <c r="M30" s="59"/>
      <c r="N30" s="59"/>
      <c r="O30" s="68"/>
    </row>
    <row r="31" spans="1:15" s="17" customFormat="1" x14ac:dyDescent="0.3">
      <c r="A31" s="75">
        <v>60</v>
      </c>
      <c r="B31" s="88" t="s">
        <v>177</v>
      </c>
      <c r="C31" s="75" t="s">
        <v>151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3">
      <c r="A32" s="75">
        <v>70</v>
      </c>
      <c r="B32" s="88" t="s">
        <v>177</v>
      </c>
      <c r="C32" s="75" t="s">
        <v>150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3">
      <c r="A33" s="75">
        <v>80</v>
      </c>
      <c r="B33" s="88" t="s">
        <v>177</v>
      </c>
      <c r="C33" s="75" t="s">
        <v>152</v>
      </c>
      <c r="D33" s="77">
        <v>0.13</v>
      </c>
      <c r="E33" s="88" t="s">
        <v>35</v>
      </c>
      <c r="F33" s="87">
        <v>2</v>
      </c>
      <c r="G33" s="75"/>
      <c r="H33" s="75"/>
      <c r="I33" s="77">
        <f t="shared" si="1"/>
        <v>0.26</v>
      </c>
      <c r="J33" s="59"/>
      <c r="K33" s="59"/>
      <c r="L33" s="59"/>
      <c r="M33" s="59"/>
      <c r="N33" s="59"/>
      <c r="O33" s="68"/>
    </row>
    <row r="34" spans="1:15" s="17" customFormat="1" x14ac:dyDescent="0.3">
      <c r="A34" s="75">
        <v>90</v>
      </c>
      <c r="B34" s="88" t="s">
        <v>153</v>
      </c>
      <c r="C34" s="75" t="s">
        <v>155</v>
      </c>
      <c r="D34" s="77">
        <v>10</v>
      </c>
      <c r="E34" s="88" t="s">
        <v>154</v>
      </c>
      <c r="F34" s="173">
        <f>6*0.03*2*3.14*0.06</f>
        <v>6.7823999999999995E-2</v>
      </c>
      <c r="G34" s="75"/>
      <c r="H34" s="75"/>
      <c r="I34" s="77">
        <f t="shared" si="1"/>
        <v>0.67823999999999995</v>
      </c>
      <c r="J34" s="59"/>
      <c r="K34" s="59"/>
      <c r="L34" s="59"/>
      <c r="M34" s="59"/>
      <c r="N34" s="59"/>
      <c r="O34" s="68"/>
    </row>
    <row r="35" spans="1:15" s="17" customFormat="1" x14ac:dyDescent="0.3">
      <c r="A35" s="75">
        <v>100</v>
      </c>
      <c r="B35" s="88" t="s">
        <v>157</v>
      </c>
      <c r="C35" s="75" t="s">
        <v>156</v>
      </c>
      <c r="D35" s="77">
        <v>20</v>
      </c>
      <c r="E35" s="88" t="s">
        <v>154</v>
      </c>
      <c r="F35" s="173">
        <f>6*0.03*2*3.14*0.06</f>
        <v>6.7823999999999995E-2</v>
      </c>
      <c r="G35" s="75"/>
      <c r="H35" s="75"/>
      <c r="I35" s="77">
        <f t="shared" si="1"/>
        <v>1.3564799999999999</v>
      </c>
      <c r="J35" s="59"/>
      <c r="K35" s="59"/>
      <c r="L35" s="59"/>
      <c r="M35" s="59"/>
      <c r="N35" s="59"/>
      <c r="O35" s="68"/>
    </row>
    <row r="36" spans="1:15" s="17" customFormat="1" x14ac:dyDescent="0.3">
      <c r="A36" s="75">
        <v>110</v>
      </c>
      <c r="B36" s="88" t="s">
        <v>158</v>
      </c>
      <c r="C36" s="75" t="s">
        <v>159</v>
      </c>
      <c r="D36" s="77">
        <v>0.06</v>
      </c>
      <c r="E36" s="88" t="s">
        <v>32</v>
      </c>
      <c r="F36" s="87">
        <v>1</v>
      </c>
      <c r="G36" s="75"/>
      <c r="H36" s="75"/>
      <c r="I36" s="77">
        <f t="shared" si="1"/>
        <v>0.06</v>
      </c>
      <c r="J36" s="59"/>
      <c r="K36" s="59"/>
      <c r="L36" s="59"/>
      <c r="M36" s="59"/>
      <c r="N36" s="59"/>
      <c r="O36" s="68"/>
    </row>
    <row r="37" spans="1:15" s="17" customFormat="1" x14ac:dyDescent="0.3">
      <c r="A37" s="75">
        <v>120</v>
      </c>
      <c r="B37" s="88" t="s">
        <v>160</v>
      </c>
      <c r="C37" s="75" t="s">
        <v>161</v>
      </c>
      <c r="D37" s="77">
        <v>0.13</v>
      </c>
      <c r="E37" s="88" t="s">
        <v>32</v>
      </c>
      <c r="F37" s="87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3">
      <c r="A38" s="75">
        <v>130</v>
      </c>
      <c r="B38" s="88" t="s">
        <v>160</v>
      </c>
      <c r="C38" s="75" t="s">
        <v>162</v>
      </c>
      <c r="D38" s="77">
        <v>0.13</v>
      </c>
      <c r="E38" s="88" t="s">
        <v>32</v>
      </c>
      <c r="F38" s="87">
        <v>4</v>
      </c>
      <c r="G38" s="75"/>
      <c r="H38" s="75"/>
      <c r="I38" s="77">
        <f t="shared" si="1"/>
        <v>0.52</v>
      </c>
      <c r="J38" s="59"/>
      <c r="K38" s="59"/>
      <c r="L38" s="59"/>
      <c r="M38" s="59"/>
      <c r="N38" s="59"/>
      <c r="O38" s="68"/>
    </row>
    <row r="39" spans="1:15" s="17" customFormat="1" x14ac:dyDescent="0.3">
      <c r="A39" s="75">
        <v>140</v>
      </c>
      <c r="B39" s="88" t="s">
        <v>158</v>
      </c>
      <c r="C39" s="75" t="s">
        <v>163</v>
      </c>
      <c r="D39" s="77">
        <v>0.06</v>
      </c>
      <c r="E39" s="88" t="s">
        <v>32</v>
      </c>
      <c r="F39" s="87">
        <v>1</v>
      </c>
      <c r="G39" s="75"/>
      <c r="H39" s="75"/>
      <c r="I39" s="77">
        <f t="shared" si="1"/>
        <v>0.06</v>
      </c>
      <c r="J39" s="59"/>
      <c r="K39" s="59"/>
      <c r="L39" s="59"/>
      <c r="M39" s="59"/>
      <c r="N39" s="59"/>
      <c r="O39" s="68"/>
    </row>
    <row r="40" spans="1:15" s="17" customFormat="1" x14ac:dyDescent="0.3">
      <c r="A40" s="75">
        <v>150</v>
      </c>
      <c r="B40" s="88" t="s">
        <v>160</v>
      </c>
      <c r="C40" s="75" t="s">
        <v>164</v>
      </c>
      <c r="D40" s="77">
        <v>0.13</v>
      </c>
      <c r="E40" s="88" t="s">
        <v>32</v>
      </c>
      <c r="F40" s="87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17" customFormat="1" x14ac:dyDescent="0.3">
      <c r="A41" s="75">
        <v>160</v>
      </c>
      <c r="B41" s="88" t="s">
        <v>160</v>
      </c>
      <c r="C41" s="75" t="s">
        <v>165</v>
      </c>
      <c r="D41" s="77">
        <v>0.13</v>
      </c>
      <c r="E41" s="88" t="s">
        <v>32</v>
      </c>
      <c r="F41" s="87">
        <v>2</v>
      </c>
      <c r="G41" s="75"/>
      <c r="H41" s="75"/>
      <c r="I41" s="77">
        <f t="shared" si="1"/>
        <v>0.26</v>
      </c>
      <c r="J41" s="59"/>
      <c r="K41" s="59"/>
      <c r="L41" s="59"/>
      <c r="M41" s="59"/>
      <c r="N41" s="59"/>
      <c r="O41" s="68"/>
    </row>
    <row r="42" spans="1:15" s="26" customFormat="1" x14ac:dyDescent="0.3">
      <c r="A42" s="75">
        <v>170</v>
      </c>
      <c r="B42" s="88" t="s">
        <v>166</v>
      </c>
      <c r="C42" s="75" t="s">
        <v>167</v>
      </c>
      <c r="D42" s="77">
        <v>0.75</v>
      </c>
      <c r="E42" s="88" t="s">
        <v>32</v>
      </c>
      <c r="F42" s="87">
        <v>3</v>
      </c>
      <c r="G42" s="87"/>
      <c r="H42" s="87"/>
      <c r="I42" s="77">
        <f t="shared" si="1"/>
        <v>2.25</v>
      </c>
      <c r="J42" s="59"/>
      <c r="K42" s="59"/>
      <c r="L42" s="59"/>
      <c r="M42" s="59"/>
      <c r="N42" s="59"/>
      <c r="O42" s="71"/>
    </row>
    <row r="43" spans="1:15" s="17" customFormat="1" x14ac:dyDescent="0.3">
      <c r="A43" s="75">
        <v>180</v>
      </c>
      <c r="B43" s="88" t="s">
        <v>168</v>
      </c>
      <c r="C43" s="75" t="s">
        <v>169</v>
      </c>
      <c r="D43" s="77">
        <v>0.25</v>
      </c>
      <c r="E43" s="88" t="s">
        <v>32</v>
      </c>
      <c r="F43" s="87">
        <v>3</v>
      </c>
      <c r="G43" s="75"/>
      <c r="H43" s="75"/>
      <c r="I43" s="77">
        <f t="shared" si="1"/>
        <v>0.75</v>
      </c>
      <c r="J43" s="59"/>
      <c r="K43" s="59"/>
      <c r="L43" s="59"/>
      <c r="M43" s="59"/>
      <c r="N43" s="59"/>
      <c r="O43" s="68"/>
    </row>
    <row r="44" spans="1:15" x14ac:dyDescent="0.3">
      <c r="A44" s="70"/>
      <c r="B44" s="25"/>
      <c r="C44" s="25"/>
      <c r="D44" s="25"/>
      <c r="E44" s="25"/>
      <c r="F44" s="25"/>
      <c r="G44" s="25"/>
      <c r="H44" s="110" t="s">
        <v>18</v>
      </c>
      <c r="I44" s="109">
        <f>SUM(I26:I43)</f>
        <v>8.595516447372308</v>
      </c>
      <c r="J44" s="58"/>
      <c r="K44" s="58"/>
      <c r="L44" s="58"/>
      <c r="M44" s="58"/>
      <c r="N44" s="58"/>
      <c r="O44" s="64"/>
    </row>
    <row r="45" spans="1:15" x14ac:dyDescent="0.3">
      <c r="A45" s="65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64"/>
    </row>
    <row r="46" spans="1:15" x14ac:dyDescent="0.3">
      <c r="A46" s="107" t="s">
        <v>14</v>
      </c>
      <c r="B46" s="107" t="s">
        <v>36</v>
      </c>
      <c r="C46" s="107" t="s">
        <v>20</v>
      </c>
      <c r="D46" s="107" t="s">
        <v>21</v>
      </c>
      <c r="E46" s="107" t="s">
        <v>22</v>
      </c>
      <c r="F46" s="107" t="s">
        <v>23</v>
      </c>
      <c r="G46" s="107" t="s">
        <v>24</v>
      </c>
      <c r="H46" s="107" t="s">
        <v>25</v>
      </c>
      <c r="I46" s="107" t="s">
        <v>17</v>
      </c>
      <c r="J46" s="107" t="s">
        <v>18</v>
      </c>
      <c r="K46" s="58"/>
      <c r="L46" s="58"/>
      <c r="M46" s="58"/>
      <c r="N46" s="58"/>
      <c r="O46" s="64"/>
    </row>
    <row r="47" spans="1:15" x14ac:dyDescent="0.3">
      <c r="A47" s="75">
        <v>10</v>
      </c>
      <c r="B47" s="88" t="s">
        <v>170</v>
      </c>
      <c r="C47" s="75" t="s">
        <v>171</v>
      </c>
      <c r="D47" s="77">
        <f>0.8/105154*E47^2*G47*SQRT(G47)+(0.003*EXP(0.319*E47))</f>
        <v>0.16167651505774214</v>
      </c>
      <c r="E47" s="87">
        <v>8</v>
      </c>
      <c r="F47" s="88" t="s">
        <v>30</v>
      </c>
      <c r="G47" s="87">
        <v>40</v>
      </c>
      <c r="H47" s="88" t="s">
        <v>30</v>
      </c>
      <c r="I47" s="87">
        <v>2</v>
      </c>
      <c r="J47" s="77">
        <f>D47*I47</f>
        <v>0.32335303011548427</v>
      </c>
      <c r="K47" s="58"/>
      <c r="L47" s="58"/>
      <c r="M47" s="58"/>
      <c r="N47" s="58"/>
      <c r="O47" s="64"/>
    </row>
    <row r="48" spans="1:15" x14ac:dyDescent="0.3">
      <c r="A48" s="75">
        <v>20</v>
      </c>
      <c r="B48" s="88" t="s">
        <v>170</v>
      </c>
      <c r="C48" s="75" t="s">
        <v>172</v>
      </c>
      <c r="D48" s="77">
        <f>0.8/105154*E48^2*G48*SQRT(G48)+(0.003*EXP(0.319*E48))</f>
        <v>0.26479118861318168</v>
      </c>
      <c r="E48" s="87">
        <v>8</v>
      </c>
      <c r="F48" s="88" t="s">
        <v>30</v>
      </c>
      <c r="G48" s="87">
        <v>60</v>
      </c>
      <c r="H48" s="88" t="s">
        <v>30</v>
      </c>
      <c r="I48" s="87">
        <v>1</v>
      </c>
      <c r="J48" s="77">
        <f>D48*I48</f>
        <v>0.26479118861318168</v>
      </c>
      <c r="K48" s="58"/>
      <c r="L48" s="58"/>
      <c r="M48" s="58"/>
      <c r="N48" s="58"/>
      <c r="O48" s="64"/>
    </row>
    <row r="49" spans="1:15" x14ac:dyDescent="0.3">
      <c r="A49" s="75">
        <v>30</v>
      </c>
      <c r="B49" s="88" t="s">
        <v>173</v>
      </c>
      <c r="C49" s="75" t="s">
        <v>174</v>
      </c>
      <c r="D49" s="77">
        <f>(0.009*EXP(0.2*E49))</f>
        <v>4.4577291819556032E-2</v>
      </c>
      <c r="E49" s="87">
        <v>8</v>
      </c>
      <c r="F49" s="88" t="s">
        <v>30</v>
      </c>
      <c r="G49" s="87"/>
      <c r="H49" s="88"/>
      <c r="I49" s="87">
        <v>3</v>
      </c>
      <c r="J49" s="77">
        <f>D49*I49</f>
        <v>0.1337318754586681</v>
      </c>
      <c r="K49" s="58"/>
      <c r="L49" s="58"/>
      <c r="M49" s="58"/>
      <c r="N49" s="58"/>
      <c r="O49" s="64"/>
    </row>
    <row r="50" spans="1:15" x14ac:dyDescent="0.3">
      <c r="A50" s="75">
        <v>40</v>
      </c>
      <c r="B50" s="88" t="s">
        <v>175</v>
      </c>
      <c r="C50" s="75" t="s">
        <v>176</v>
      </c>
      <c r="D50" s="77">
        <v>0.01</v>
      </c>
      <c r="E50" s="87">
        <v>8</v>
      </c>
      <c r="F50" s="88" t="s">
        <v>30</v>
      </c>
      <c r="G50" s="87"/>
      <c r="H50" s="88"/>
      <c r="I50" s="87">
        <v>6</v>
      </c>
      <c r="J50" s="77">
        <f>D50*I50</f>
        <v>0.06</v>
      </c>
      <c r="K50" s="60"/>
      <c r="L50" s="60"/>
      <c r="M50" s="60"/>
      <c r="N50" s="60"/>
      <c r="O50" s="64"/>
    </row>
    <row r="51" spans="1:15" x14ac:dyDescent="0.3">
      <c r="A51" s="70"/>
      <c r="B51" s="25"/>
      <c r="C51" s="25"/>
      <c r="D51" s="25"/>
      <c r="E51" s="25"/>
      <c r="F51" s="25"/>
      <c r="G51" s="25"/>
      <c r="H51" s="25"/>
      <c r="I51" s="110" t="s">
        <v>18</v>
      </c>
      <c r="J51" s="109">
        <f>SUM(J47:J50)</f>
        <v>0.78187609418733417</v>
      </c>
      <c r="K51" s="58"/>
      <c r="L51" s="58"/>
      <c r="M51" s="58"/>
      <c r="N51" s="58"/>
      <c r="O51" s="64"/>
    </row>
    <row r="52" spans="1:15" x14ac:dyDescent="0.3">
      <c r="A52" s="65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64"/>
    </row>
    <row r="53" spans="1:15" ht="15" thickBot="1" x14ac:dyDescent="0.35">
      <c r="A53" s="7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4"/>
    </row>
    <row r="54" spans="1:15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</sheetData>
  <hyperlinks>
    <hyperlink ref="B10" location="SU_02001" display="SU_02001"/>
    <hyperlink ref="B11:B13" location="BR_01001" display="BR_01001"/>
    <hyperlink ref="B14" location="SU_02005" display="SU_02005"/>
    <hyperlink ref="B16" location="SU_02006" display="SU_02006"/>
    <hyperlink ref="B11" location="SU_02002" display="SU_02002"/>
    <hyperlink ref="B12" location="SU_02003" display="SU_02003"/>
    <hyperlink ref="B13" location="SU_02004" display="SU_02004"/>
    <hyperlink ref="E2" location="SU_A0200_BOM" display="Back to BOM"/>
    <hyperlink ref="B15" location="SU_02006" display="SU_02006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3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B4" sqref="B4"/>
    </sheetView>
  </sheetViews>
  <sheetFormatPr baseColWidth="10" defaultColWidth="9.109375" defaultRowHeight="14.4" x14ac:dyDescent="0.3"/>
  <cols>
    <col min="3" max="3" width="24.5546875" customWidth="1"/>
    <col min="10" max="10" width="12.5546875" customWidth="1"/>
    <col min="15" max="15" width="3.109375" customWidth="1"/>
    <col min="18" max="19" width="16.3320312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SU_01001_m+SU_01001_p</f>
        <v>17.5365519056</v>
      </c>
      <c r="O2" s="64"/>
    </row>
    <row r="3" spans="1:19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9" x14ac:dyDescent="0.3">
      <c r="A4" s="111" t="s">
        <v>5</v>
      </c>
      <c r="B4" s="98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18" t="s">
        <v>206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17.5365519056</v>
      </c>
      <c r="O5" s="64"/>
    </row>
    <row r="6" spans="1:19" x14ac:dyDescent="0.3">
      <c r="A6" s="111" t="s">
        <v>7</v>
      </c>
      <c r="B6" s="29" t="s">
        <v>214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3">
      <c r="A11" s="92">
        <v>10</v>
      </c>
      <c r="B11" s="27" t="s">
        <v>133</v>
      </c>
      <c r="C11" s="21" t="s">
        <v>38</v>
      </c>
      <c r="D11" s="31">
        <f>J11*K11*L11*4.2/1000000000</f>
        <v>0.65317109760000003</v>
      </c>
      <c r="E11" s="21"/>
      <c r="F11" s="21"/>
      <c r="G11" s="21"/>
      <c r="H11" s="20"/>
      <c r="I11" s="22" t="s">
        <v>134</v>
      </c>
      <c r="J11" s="169">
        <f>64*56</f>
        <v>3584</v>
      </c>
      <c r="K11" s="86">
        <v>16</v>
      </c>
      <c r="L11" s="84">
        <v>2712</v>
      </c>
      <c r="M11" s="177">
        <v>1</v>
      </c>
      <c r="N11" s="31">
        <f>D11*M11</f>
        <v>0.65317109760000003</v>
      </c>
      <c r="O11" s="69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0.65317109760000003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48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48"/>
    </row>
    <row r="15" spans="1:19" s="26" customFormat="1" ht="7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28.8" x14ac:dyDescent="0.3">
      <c r="A16" s="66">
        <v>20</v>
      </c>
      <c r="B16" s="147" t="s">
        <v>184</v>
      </c>
      <c r="C16" s="19" t="s">
        <v>40</v>
      </c>
      <c r="D16" s="31">
        <v>0.04</v>
      </c>
      <c r="E16" s="28" t="s">
        <v>186</v>
      </c>
      <c r="F16" s="34">
        <v>100</v>
      </c>
      <c r="G16" s="28"/>
      <c r="H16" s="27"/>
      <c r="I16" s="31">
        <f t="shared" si="0"/>
        <v>4</v>
      </c>
      <c r="J16" s="58"/>
      <c r="K16" s="58"/>
      <c r="L16" s="58"/>
      <c r="M16" s="58"/>
      <c r="N16" s="58"/>
      <c r="O16" s="64"/>
      <c r="R16" s="148">
        <f>R14/2</f>
        <v>0</v>
      </c>
    </row>
    <row r="17" spans="1:18" s="17" customFormat="1" ht="43.2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49">
        <f>R14/6</f>
        <v>0</v>
      </c>
    </row>
    <row r="18" spans="1:18" ht="28.8" x14ac:dyDescent="0.3">
      <c r="A18" s="66">
        <v>40</v>
      </c>
      <c r="B18" s="147" t="s">
        <v>184</v>
      </c>
      <c r="C18" s="19" t="s">
        <v>40</v>
      </c>
      <c r="D18" s="31">
        <v>0.04</v>
      </c>
      <c r="E18" s="28" t="s">
        <v>186</v>
      </c>
      <c r="F18" s="34">
        <v>30</v>
      </c>
      <c r="G18" s="28"/>
      <c r="H18" s="27"/>
      <c r="I18" s="31">
        <f t="shared" si="0"/>
        <v>1.2</v>
      </c>
      <c r="J18" s="58"/>
      <c r="K18" s="58"/>
      <c r="L18" s="58"/>
      <c r="M18" s="58"/>
      <c r="N18" s="58"/>
      <c r="O18" s="64"/>
      <c r="R18" s="148">
        <f>R14/6*2</f>
        <v>0</v>
      </c>
    </row>
    <row r="19" spans="1:18" ht="43.2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48"/>
    </row>
    <row r="20" spans="1:18" ht="28.8" x14ac:dyDescent="0.3">
      <c r="A20" s="94">
        <v>60</v>
      </c>
      <c r="B20" s="147" t="s">
        <v>184</v>
      </c>
      <c r="C20" s="19" t="s">
        <v>40</v>
      </c>
      <c r="D20" s="31">
        <v>0.04</v>
      </c>
      <c r="E20" s="28" t="s">
        <v>186</v>
      </c>
      <c r="F20" s="27">
        <v>95</v>
      </c>
      <c r="G20" s="27"/>
      <c r="H20" s="27"/>
      <c r="I20" s="31">
        <f t="shared" si="0"/>
        <v>3.8000000000000003</v>
      </c>
      <c r="J20" s="58"/>
      <c r="K20" s="58"/>
      <c r="L20" s="58"/>
      <c r="M20" s="58"/>
      <c r="N20" s="58"/>
      <c r="O20" s="64"/>
    </row>
    <row r="21" spans="1:18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11.600000000000001</v>
      </c>
      <c r="J21" s="25"/>
      <c r="K21" s="25"/>
      <c r="L21" s="25"/>
      <c r="M21" s="25"/>
      <c r="N21" s="25"/>
      <c r="O21" s="64"/>
    </row>
    <row r="22" spans="1:18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E3" location="dSU_02001" display="Drawing"/>
    <hyperlink ref="B4" location="SU_A0200" display="Lower Front A-arm"/>
    <hyperlink ref="G2" location="SU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198</v>
      </c>
      <c r="B1" s="98" t="str">
        <f>SU_01001</f>
        <v>SU_01001</v>
      </c>
    </row>
  </sheetData>
  <hyperlinks>
    <hyperlink ref="B1" location="SU_02001" display="SU_02001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3">
      <c r="A4" s="111" t="s">
        <v>5</v>
      </c>
      <c r="B4" s="97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9.2367610879999997</v>
      </c>
      <c r="O5" s="64"/>
    </row>
    <row r="6" spans="1:19" x14ac:dyDescent="0.3">
      <c r="A6" s="111" t="s">
        <v>7</v>
      </c>
      <c r="B6" s="29" t="s">
        <v>215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3">
      <c r="A11" s="92">
        <v>10</v>
      </c>
      <c r="B11" s="27" t="s">
        <v>133</v>
      </c>
      <c r="C11" s="21" t="s">
        <v>38</v>
      </c>
      <c r="D11" s="31">
        <f>4.2</f>
        <v>4.2</v>
      </c>
      <c r="E11" s="150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48"/>
      <c r="S13" s="148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48"/>
    </row>
    <row r="15" spans="1:19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1"/>
      <c r="S15" s="26"/>
    </row>
    <row r="16" spans="1:19" x14ac:dyDescent="0.3">
      <c r="A16" s="66">
        <v>20</v>
      </c>
      <c r="B16" s="147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48"/>
    </row>
    <row r="17" spans="1:19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49"/>
      <c r="S17" s="17"/>
    </row>
    <row r="18" spans="1:19" x14ac:dyDescent="0.3">
      <c r="A18" s="66">
        <v>40</v>
      </c>
      <c r="B18" s="147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48"/>
    </row>
    <row r="19" spans="1:19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48"/>
    </row>
    <row r="20" spans="1:19" x14ac:dyDescent="0.3">
      <c r="A20" s="94">
        <v>60</v>
      </c>
      <c r="B20" s="147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SU_A0200" display="Lower Front A-arm"/>
    <hyperlink ref="E3" location="dSU_02002" display="Drawing"/>
    <hyperlink ref="G2" location="SU_A0200_BOM" display="Back to BOM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5"/>
  <sheetViews>
    <sheetView zoomScale="90" zoomScaleNormal="90" workbookViewId="0">
      <pane xSplit="3" ySplit="6" topLeftCell="E19" activePane="bottomRight" state="frozen"/>
      <selection activeCell="H10" sqref="H10"/>
      <selection pane="topRight" activeCell="H10" sqref="H10"/>
      <selection pane="bottomLeft" activeCell="H10" sqref="H10"/>
      <selection pane="bottomRight" activeCell="C31" sqref="C31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4" customWidth="1"/>
    <col min="7" max="7" width="14" style="9" customWidth="1"/>
    <col min="8" max="8" width="11" style="9" bestFit="1" customWidth="1"/>
    <col min="9" max="13" width="10.44140625" style="6" customWidth="1"/>
    <col min="14" max="14" width="12.33203125" style="9" customWidth="1"/>
    <col min="15" max="15" width="11.109375" style="13" customWidth="1"/>
    <col min="16" max="16384" width="9.109375" style="13"/>
  </cols>
  <sheetData>
    <row r="1" spans="1:15" ht="15" thickBot="1" x14ac:dyDescent="0.35">
      <c r="A1" s="54" t="s">
        <v>0</v>
      </c>
      <c r="B1" s="103" t="s">
        <v>37</v>
      </c>
      <c r="D1" s="45"/>
      <c r="M1" s="57" t="s">
        <v>42</v>
      </c>
      <c r="N1" s="46"/>
      <c r="O1" s="56" t="e">
        <f>#REF!</f>
        <v>#REF!</v>
      </c>
    </row>
    <row r="2" spans="1:15" s="15" customFormat="1" ht="15" thickBot="1" x14ac:dyDescent="0.35">
      <c r="A2" s="52" t="s">
        <v>43</v>
      </c>
      <c r="B2" s="102" t="s">
        <v>126</v>
      </c>
      <c r="C2" s="14"/>
      <c r="F2" s="40"/>
    </row>
    <row r="3" spans="1:15" s="15" customFormat="1" ht="15.6" thickTop="1" thickBot="1" x14ac:dyDescent="0.35">
      <c r="A3" s="53" t="s">
        <v>44</v>
      </c>
      <c r="B3" s="55">
        <v>2018</v>
      </c>
      <c r="C3" s="14"/>
      <c r="F3" s="40"/>
    </row>
    <row r="4" spans="1:15" s="15" customFormat="1" ht="15.6" thickTop="1" thickBot="1" x14ac:dyDescent="0.35">
      <c r="A4" s="51" t="s">
        <v>1</v>
      </c>
      <c r="B4" s="101">
        <v>81</v>
      </c>
      <c r="C4" s="14"/>
      <c r="D4" s="45" t="s">
        <v>45</v>
      </c>
      <c r="F4" s="40"/>
    </row>
    <row r="5" spans="1:15" s="38" customFormat="1" ht="15" thickTop="1" x14ac:dyDescent="0.3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4.4" x14ac:dyDescent="0.3">
      <c r="A7" s="121"/>
      <c r="B7" s="122" t="s">
        <v>130</v>
      </c>
      <c r="C7" s="123" t="str">
        <f>SU_A0100</f>
        <v>SU A0100</v>
      </c>
      <c r="D7" s="123" t="s">
        <v>11</v>
      </c>
      <c r="E7" s="123"/>
      <c r="F7" s="170" t="str">
        <f>'SU A0100'!B4</f>
        <v>Upper Front A-arm</v>
      </c>
      <c r="G7" s="123"/>
      <c r="H7" s="124">
        <f t="shared" ref="H7:H38" si="0">SUM(J7:M7)</f>
        <v>30.137392541559642</v>
      </c>
      <c r="I7" s="182">
        <f>SU_A0100_q</f>
        <v>2</v>
      </c>
      <c r="J7" s="125">
        <f>SU_A0100_m</f>
        <v>20.759999999999998</v>
      </c>
      <c r="K7" s="125">
        <f>SU_A0100_p</f>
        <v>8.595516447372308</v>
      </c>
      <c r="L7" s="125">
        <f>SU_A0100_f</f>
        <v>0.78187609418733417</v>
      </c>
      <c r="M7" s="125">
        <v>0</v>
      </c>
      <c r="N7" s="126">
        <f t="shared" ref="N7:N38" si="1">H7*I7</f>
        <v>60.274785083119284</v>
      </c>
      <c r="O7" s="127"/>
    </row>
    <row r="8" spans="1:15" ht="14.4" x14ac:dyDescent="0.3">
      <c r="A8" s="128"/>
      <c r="B8" s="128" t="s">
        <v>130</v>
      </c>
      <c r="C8" s="129" t="str">
        <f>SU_01001</f>
        <v>SU_01001</v>
      </c>
      <c r="D8" s="129" t="s">
        <v>11</v>
      </c>
      <c r="E8" s="129" t="str">
        <f>$F$7</f>
        <v>Upper Front A-arm</v>
      </c>
      <c r="F8" s="130" t="str">
        <f>'SU 01001'!B5</f>
        <v>Upper Front Bearing Support</v>
      </c>
      <c r="G8" s="129"/>
      <c r="H8" s="131">
        <f t="shared" si="0"/>
        <v>17.5365519056</v>
      </c>
      <c r="I8" s="135">
        <f>SU_A0100_q*SU_01001_q</f>
        <v>2</v>
      </c>
      <c r="J8" s="132">
        <f>SU_01001_m</f>
        <v>2.6965519055999998</v>
      </c>
      <c r="K8" s="132">
        <f>SU_01001_p</f>
        <v>14.84</v>
      </c>
      <c r="L8" s="132">
        <v>0</v>
      </c>
      <c r="M8" s="132">
        <v>0</v>
      </c>
      <c r="N8" s="133">
        <f t="shared" si="1"/>
        <v>35.073103811199999</v>
      </c>
      <c r="O8" s="134"/>
    </row>
    <row r="9" spans="1:15" ht="14.4" x14ac:dyDescent="0.3">
      <c r="A9" s="128"/>
      <c r="B9" s="128" t="s">
        <v>130</v>
      </c>
      <c r="C9" s="129" t="str">
        <f>SU_01002</f>
        <v>SU_01002</v>
      </c>
      <c r="D9" s="129" t="s">
        <v>11</v>
      </c>
      <c r="E9" s="129" t="str">
        <f t="shared" ref="E9:E14" si="2">$F$7</f>
        <v>Upper Front A-arm</v>
      </c>
      <c r="F9" s="130" t="str">
        <f>'SU 01002'!B5</f>
        <v>Inner Bearing Support</v>
      </c>
      <c r="G9" s="129"/>
      <c r="H9" s="131">
        <f t="shared" si="0"/>
        <v>4.6183805439999999</v>
      </c>
      <c r="I9" s="135">
        <f>SU_A0100_q*SU_01002_q</f>
        <v>4</v>
      </c>
      <c r="J9" s="132">
        <f>SU_01002_m</f>
        <v>0.85838054400000008</v>
      </c>
      <c r="K9" s="132">
        <f>SU_01002_p</f>
        <v>3.76</v>
      </c>
      <c r="L9" s="132">
        <v>0</v>
      </c>
      <c r="M9" s="132">
        <v>0</v>
      </c>
      <c r="N9" s="133">
        <f t="shared" si="1"/>
        <v>18.473522175999999</v>
      </c>
      <c r="O9" s="134"/>
    </row>
    <row r="10" spans="1:15" ht="14.4" x14ac:dyDescent="0.3">
      <c r="A10" s="128"/>
      <c r="B10" s="128" t="s">
        <v>130</v>
      </c>
      <c r="C10" s="129" t="str">
        <f>SU_01003</f>
        <v>SU_01003</v>
      </c>
      <c r="D10" s="129" t="s">
        <v>11</v>
      </c>
      <c r="E10" s="129" t="str">
        <f t="shared" si="2"/>
        <v>Upper Front A-arm</v>
      </c>
      <c r="F10" s="130" t="str">
        <f>'SU 01003'!B5</f>
        <v>Upper Front A-arm tube (Front)  Carbon Fiber Tube</v>
      </c>
      <c r="G10" s="129"/>
      <c r="H10" s="131">
        <f t="shared" si="0"/>
        <v>8.8765790399999975</v>
      </c>
      <c r="I10" s="135">
        <f>SU_A0100_q*SU_01003_q</f>
        <v>2</v>
      </c>
      <c r="J10" s="132">
        <f>SU_01003_m</f>
        <v>7.8902924799999985</v>
      </c>
      <c r="K10" s="132">
        <f>SU_01003_p</f>
        <v>0.98628655999999981</v>
      </c>
      <c r="L10" s="132">
        <v>0</v>
      </c>
      <c r="M10" s="132">
        <v>0</v>
      </c>
      <c r="N10" s="133">
        <f t="shared" si="1"/>
        <v>17.753158079999995</v>
      </c>
      <c r="O10" s="134"/>
    </row>
    <row r="11" spans="1:15" ht="14.4" x14ac:dyDescent="0.3">
      <c r="A11" s="128"/>
      <c r="B11" s="128" t="s">
        <v>130</v>
      </c>
      <c r="C11" s="129" t="str">
        <f>SU_01004</f>
        <v>SU_01004</v>
      </c>
      <c r="D11" s="129" t="s">
        <v>11</v>
      </c>
      <c r="E11" s="129" t="str">
        <f t="shared" si="2"/>
        <v>Upper Front A-arm</v>
      </c>
      <c r="F11" s="130" t="str">
        <f>'SU 01004'!B5</f>
        <v>Upper Front A-arm tube (Back)  Carbon Fiber Tube</v>
      </c>
      <c r="G11" s="129"/>
      <c r="H11" s="131">
        <f t="shared" si="0"/>
        <v>7.1887787999999979</v>
      </c>
      <c r="I11" s="135">
        <f>SU_A0100_q*SU_01004_q</f>
        <v>2</v>
      </c>
      <c r="J11" s="132">
        <f>SU_01004_m</f>
        <v>6.3900255999999978</v>
      </c>
      <c r="K11" s="132">
        <f>SU_01004_p</f>
        <v>0.79875319999999983</v>
      </c>
      <c r="L11" s="132">
        <v>0</v>
      </c>
      <c r="M11" s="132">
        <v>0</v>
      </c>
      <c r="N11" s="133">
        <f t="shared" si="1"/>
        <v>14.377557599999996</v>
      </c>
      <c r="O11" s="134"/>
    </row>
    <row r="12" spans="1:15" ht="14.4" x14ac:dyDescent="0.3">
      <c r="A12" s="128"/>
      <c r="B12" s="128" t="s">
        <v>130</v>
      </c>
      <c r="C12" s="129" t="str">
        <f>SU_01005</f>
        <v>SU_01005</v>
      </c>
      <c r="D12" s="129" t="s">
        <v>11</v>
      </c>
      <c r="E12" s="129" t="str">
        <f t="shared" si="2"/>
        <v>Upper Front A-arm</v>
      </c>
      <c r="F12" s="130" t="str">
        <f>'SU 01005'!B5</f>
        <v>Spacer 1</v>
      </c>
      <c r="G12" s="129"/>
      <c r="H12" s="131">
        <f t="shared" si="0"/>
        <v>2.6790440160000002</v>
      </c>
      <c r="I12" s="135">
        <f>SU_A0100_q*SU_01005_q</f>
        <v>4</v>
      </c>
      <c r="J12" s="132">
        <f>SU_01005_m</f>
        <v>3.9044016000000001E-2</v>
      </c>
      <c r="K12" s="132">
        <f>SU_01005_p</f>
        <v>2.64</v>
      </c>
      <c r="L12" s="132">
        <v>0</v>
      </c>
      <c r="M12" s="132">
        <v>0</v>
      </c>
      <c r="N12" s="133">
        <f t="shared" si="1"/>
        <v>10.716176064000001</v>
      </c>
      <c r="O12" s="134"/>
    </row>
    <row r="13" spans="1:15" ht="14.4" x14ac:dyDescent="0.3">
      <c r="A13" s="128"/>
      <c r="B13" s="128" t="s">
        <v>130</v>
      </c>
      <c r="C13" s="129" t="str">
        <f>SU_01006</f>
        <v>SU_01006</v>
      </c>
      <c r="D13" s="129" t="s">
        <v>11</v>
      </c>
      <c r="E13" s="129" t="str">
        <f t="shared" si="2"/>
        <v>Upper Front A-arm</v>
      </c>
      <c r="F13" s="130" t="str">
        <f>'SU 01006'!B5</f>
        <v>Spacer 2</v>
      </c>
      <c r="G13" s="129"/>
      <c r="H13" s="131">
        <f t="shared" ref="H13" si="3">SUM(J13:M13)</f>
        <v>2.6541978240000001</v>
      </c>
      <c r="I13" s="135">
        <f>SU_A0100_q*SU_01006_q</f>
        <v>8</v>
      </c>
      <c r="J13" s="132">
        <f>SU_01006_m</f>
        <v>1.4197824000000001E-2</v>
      </c>
      <c r="K13" s="132">
        <f>SU_01006_p</f>
        <v>2.64</v>
      </c>
      <c r="L13" s="132">
        <v>0</v>
      </c>
      <c r="M13" s="132">
        <v>0</v>
      </c>
      <c r="N13" s="133">
        <f t="shared" ref="N13" si="4">H13*I13</f>
        <v>21.233582592000001</v>
      </c>
      <c r="O13" s="134"/>
    </row>
    <row r="14" spans="1:15" ht="14.4" x14ac:dyDescent="0.3">
      <c r="A14" s="128"/>
      <c r="B14" s="128" t="s">
        <v>130</v>
      </c>
      <c r="C14" s="129" t="str">
        <f>SU_01007</f>
        <v>SU_01007</v>
      </c>
      <c r="D14" s="129" t="s">
        <v>11</v>
      </c>
      <c r="E14" s="129" t="str">
        <f t="shared" si="2"/>
        <v>Upper Front A-arm</v>
      </c>
      <c r="F14" s="130" t="str">
        <f>'SU 01007'!$B$5</f>
        <v>Outboard A-arm Insert</v>
      </c>
      <c r="G14" s="129"/>
      <c r="H14" s="131">
        <f t="shared" si="0"/>
        <v>2.015803399168</v>
      </c>
      <c r="I14" s="135">
        <f>SU_A0100_q*SU_01007_q</f>
        <v>4</v>
      </c>
      <c r="J14" s="132">
        <f>SU_01007_m</f>
        <v>6.1803399168000005E-2</v>
      </c>
      <c r="K14" s="132">
        <f>SU_01007_p</f>
        <v>1.954</v>
      </c>
      <c r="L14" s="132">
        <v>0</v>
      </c>
      <c r="M14" s="132">
        <v>0</v>
      </c>
      <c r="N14" s="133">
        <f t="shared" si="1"/>
        <v>8.063213596672</v>
      </c>
      <c r="O14" s="134"/>
    </row>
    <row r="15" spans="1:15" ht="14.4" x14ac:dyDescent="0.3">
      <c r="A15" s="121"/>
      <c r="B15" s="122" t="s">
        <v>130</v>
      </c>
      <c r="C15" s="123" t="str">
        <f>SU_A0200</f>
        <v>SU A0200</v>
      </c>
      <c r="D15" s="123" t="s">
        <v>11</v>
      </c>
      <c r="E15" s="123"/>
      <c r="F15" s="170" t="str">
        <f>SU_A0200!B4</f>
        <v>Lower Front A-arm</v>
      </c>
      <c r="G15" s="123"/>
      <c r="H15" s="124">
        <f t="shared" ref="H15:H22" si="5">SUM(J15:M15)</f>
        <v>30.137392541559642</v>
      </c>
      <c r="I15" s="182">
        <f>SU_A0200_q</f>
        <v>2</v>
      </c>
      <c r="J15" s="125">
        <f>SU_A0200_m</f>
        <v>20.759999999999998</v>
      </c>
      <c r="K15" s="125">
        <f>SU_A0200_p</f>
        <v>8.595516447372308</v>
      </c>
      <c r="L15" s="125">
        <f>SU_A0200_f</f>
        <v>0.78187609418733417</v>
      </c>
      <c r="M15" s="125">
        <v>0</v>
      </c>
      <c r="N15" s="126">
        <f t="shared" ref="N15:N22" si="6">H15*I15</f>
        <v>60.274785083119284</v>
      </c>
      <c r="O15" s="127"/>
    </row>
    <row r="16" spans="1:15" ht="14.4" x14ac:dyDescent="0.3">
      <c r="A16" s="128"/>
      <c r="B16" s="128" t="s">
        <v>130</v>
      </c>
      <c r="C16" s="129" t="str">
        <f>SU_02001</f>
        <v>SU 02001</v>
      </c>
      <c r="D16" s="129" t="s">
        <v>11</v>
      </c>
      <c r="E16" s="129" t="str">
        <f>$F$15</f>
        <v>Lower Front A-arm</v>
      </c>
      <c r="F16" s="130" t="str">
        <f>SU_02001!B5</f>
        <v>Lower Front Bearing Support</v>
      </c>
      <c r="G16" s="129"/>
      <c r="H16" s="131">
        <f t="shared" si="5"/>
        <v>12.253171097600001</v>
      </c>
      <c r="I16" s="135">
        <f>SU_A0200_q*SU_02001_q</f>
        <v>2</v>
      </c>
      <c r="J16" s="132">
        <f>SU_02001_m</f>
        <v>0.65317109760000003</v>
      </c>
      <c r="K16" s="132">
        <f>SU_02001_p</f>
        <v>11.600000000000001</v>
      </c>
      <c r="L16" s="132">
        <v>0</v>
      </c>
      <c r="M16" s="132">
        <v>0</v>
      </c>
      <c r="N16" s="133">
        <f t="shared" si="6"/>
        <v>24.506342195200002</v>
      </c>
      <c r="O16" s="134"/>
    </row>
    <row r="17" spans="1:15" ht="14.4" x14ac:dyDescent="0.3">
      <c r="A17" s="128"/>
      <c r="B17" s="128" t="s">
        <v>130</v>
      </c>
      <c r="C17" s="129" t="str">
        <f>SU_02002</f>
        <v>SU 02002</v>
      </c>
      <c r="D17" s="129" t="s">
        <v>11</v>
      </c>
      <c r="E17" s="129" t="str">
        <f t="shared" ref="E17:E22" si="7">$F$15</f>
        <v>Lower Front A-arm</v>
      </c>
      <c r="F17" s="130" t="str">
        <f>SU_02002!B5</f>
        <v>Inner Bearing Support</v>
      </c>
      <c r="G17" s="129"/>
      <c r="H17" s="131">
        <f t="shared" si="5"/>
        <v>4.6183805439999999</v>
      </c>
      <c r="I17" s="135">
        <f>SU_A0200_q*SU_02002_q</f>
        <v>4</v>
      </c>
      <c r="J17" s="132">
        <f>SU_02002_m</f>
        <v>0.85838054400000008</v>
      </c>
      <c r="K17" s="132">
        <f>SU_02002_p</f>
        <v>3.76</v>
      </c>
      <c r="L17" s="132">
        <v>0</v>
      </c>
      <c r="M17" s="132">
        <v>0</v>
      </c>
      <c r="N17" s="133">
        <f t="shared" si="6"/>
        <v>18.473522175999999</v>
      </c>
      <c r="O17" s="134"/>
    </row>
    <row r="18" spans="1:15" ht="14.4" x14ac:dyDescent="0.3">
      <c r="A18" s="128"/>
      <c r="B18" s="128" t="s">
        <v>130</v>
      </c>
      <c r="C18" s="129" t="str">
        <f>SU_02003</f>
        <v>SU_02003</v>
      </c>
      <c r="D18" s="129" t="s">
        <v>11</v>
      </c>
      <c r="E18" s="129" t="str">
        <f t="shared" si="7"/>
        <v>Lower Front A-arm</v>
      </c>
      <c r="F18" s="130" t="str">
        <f>SU_02003!B5</f>
        <v>Lower Front A-arm tube (Front)  Carbon Fiber Tube</v>
      </c>
      <c r="G18" s="129"/>
      <c r="H18" s="131">
        <f t="shared" si="5"/>
        <v>11.220746039999998</v>
      </c>
      <c r="I18" s="135">
        <f>SU_A0200_q*SU_02003_q</f>
        <v>2</v>
      </c>
      <c r="J18" s="132">
        <f>SU_02003_m</f>
        <v>9.9739964799999985</v>
      </c>
      <c r="K18" s="132">
        <f>SU_02003_p</f>
        <v>1.2467495599999998</v>
      </c>
      <c r="L18" s="132">
        <v>0</v>
      </c>
      <c r="M18" s="132">
        <v>0</v>
      </c>
      <c r="N18" s="133">
        <f t="shared" si="6"/>
        <v>22.441492079999996</v>
      </c>
      <c r="O18" s="134"/>
    </row>
    <row r="19" spans="1:15" ht="14.4" x14ac:dyDescent="0.3">
      <c r="A19" s="128"/>
      <c r="B19" s="128" t="s">
        <v>130</v>
      </c>
      <c r="C19" s="129" t="str">
        <f>SU_02004</f>
        <v>SU_02004</v>
      </c>
      <c r="D19" s="129" t="s">
        <v>11</v>
      </c>
      <c r="E19" s="129" t="str">
        <f t="shared" si="7"/>
        <v>Lower Front A-arm</v>
      </c>
      <c r="F19" s="130" t="str">
        <f>SU_02004!B5</f>
        <v>Lower Front A-arm tube (Back)  Carbon Fiber Tube</v>
      </c>
      <c r="G19" s="129"/>
      <c r="H19" s="131">
        <f t="shared" si="5"/>
        <v>10.001779199999998</v>
      </c>
      <c r="I19" s="135">
        <f>SU_A0200_q*SU_02004_q</f>
        <v>2</v>
      </c>
      <c r="J19" s="132">
        <f>SU_02004_m</f>
        <v>8.8904703999999981</v>
      </c>
      <c r="K19" s="132">
        <f>SU_02004_p</f>
        <v>1.1113087999999998</v>
      </c>
      <c r="L19" s="132">
        <v>0</v>
      </c>
      <c r="M19" s="132">
        <v>0</v>
      </c>
      <c r="N19" s="133">
        <f t="shared" si="6"/>
        <v>20.003558399999996</v>
      </c>
      <c r="O19" s="134"/>
    </row>
    <row r="20" spans="1:15" ht="14.4" x14ac:dyDescent="0.3">
      <c r="A20" s="128"/>
      <c r="B20" s="128" t="s">
        <v>130</v>
      </c>
      <c r="C20" s="129" t="str">
        <f>SU_02005</f>
        <v>SU_02005</v>
      </c>
      <c r="D20" s="129" t="s">
        <v>11</v>
      </c>
      <c r="E20" s="129" t="str">
        <f t="shared" si="7"/>
        <v>Lower Front A-arm</v>
      </c>
      <c r="F20" s="130" t="str">
        <f>SU_02005!B5</f>
        <v>Spacer 1</v>
      </c>
      <c r="G20" s="129"/>
      <c r="H20" s="131">
        <f t="shared" si="5"/>
        <v>2.6701703760000002</v>
      </c>
      <c r="I20" s="135">
        <f>SU_A0200_q*SU_02005_q</f>
        <v>4</v>
      </c>
      <c r="J20" s="132">
        <f>SU_02005_m</f>
        <v>3.0170376000000002E-2</v>
      </c>
      <c r="K20" s="132">
        <f>SU_02005_p</f>
        <v>2.64</v>
      </c>
      <c r="L20" s="132">
        <v>0</v>
      </c>
      <c r="M20" s="132">
        <v>0</v>
      </c>
      <c r="N20" s="133">
        <f t="shared" si="6"/>
        <v>10.680681504000001</v>
      </c>
      <c r="O20" s="134"/>
    </row>
    <row r="21" spans="1:15" ht="14.4" x14ac:dyDescent="0.3">
      <c r="A21" s="128"/>
      <c r="B21" s="128" t="s">
        <v>130</v>
      </c>
      <c r="C21" s="129" t="str">
        <f>SU_02006</f>
        <v>SU_02006</v>
      </c>
      <c r="D21" s="129"/>
      <c r="E21" s="129" t="str">
        <f t="shared" si="7"/>
        <v>Lower Front A-arm</v>
      </c>
      <c r="F21" s="130" t="str">
        <f>SU_02006!B5</f>
        <v>Spacer 2</v>
      </c>
      <c r="G21" s="129"/>
      <c r="H21" s="131">
        <f t="shared" ref="H21" si="8">SUM(J21:M21)</f>
        <v>2.6541978240000001</v>
      </c>
      <c r="I21" s="135">
        <f>SU_A0200_q*SU_02006_q</f>
        <v>8</v>
      </c>
      <c r="J21" s="132">
        <f>SU_02006_m</f>
        <v>1.4197824000000001E-2</v>
      </c>
      <c r="K21" s="132">
        <f>SU_02006_p</f>
        <v>2.64</v>
      </c>
      <c r="L21" s="132">
        <v>0</v>
      </c>
      <c r="M21" s="132">
        <v>0</v>
      </c>
      <c r="N21" s="133">
        <f t="shared" ref="N21" si="9">H21*I21</f>
        <v>21.233582592000001</v>
      </c>
      <c r="O21" s="134"/>
    </row>
    <row r="22" spans="1:15" ht="14.4" x14ac:dyDescent="0.3">
      <c r="A22" s="128"/>
      <c r="B22" s="128" t="s">
        <v>130</v>
      </c>
      <c r="C22" s="129" t="str">
        <f>SU_02007</f>
        <v>SU_02007</v>
      </c>
      <c r="D22" s="129" t="s">
        <v>11</v>
      </c>
      <c r="E22" s="129" t="str">
        <f t="shared" si="7"/>
        <v>Lower Front A-arm</v>
      </c>
      <c r="F22" s="130" t="str">
        <f>SU_02007!B5</f>
        <v>Outboard A-arm Insert</v>
      </c>
      <c r="G22" s="129"/>
      <c r="H22" s="131">
        <f t="shared" si="5"/>
        <v>2.015803399168</v>
      </c>
      <c r="I22" s="135">
        <f>SU_A0200_q*SU_02007_q</f>
        <v>4</v>
      </c>
      <c r="J22" s="132">
        <f>SU_02007_m</f>
        <v>6.1803399168000005E-2</v>
      </c>
      <c r="K22" s="132">
        <f>SU_02007_p</f>
        <v>1.954</v>
      </c>
      <c r="L22" s="132">
        <v>0</v>
      </c>
      <c r="M22" s="132">
        <v>0</v>
      </c>
      <c r="N22" s="133">
        <f t="shared" si="6"/>
        <v>8.063213596672</v>
      </c>
      <c r="O22" s="134"/>
    </row>
    <row r="23" spans="1:15" ht="14.4" x14ac:dyDescent="0.3">
      <c r="A23" s="121"/>
      <c r="B23" s="122" t="s">
        <v>130</v>
      </c>
      <c r="C23" s="123" t="str">
        <f>SU_A0300</f>
        <v>SU A0300</v>
      </c>
      <c r="D23" s="123" t="s">
        <v>11</v>
      </c>
      <c r="E23" s="123"/>
      <c r="F23" s="170" t="str">
        <f>SU_A0300!B4</f>
        <v>Upper Back A-arm</v>
      </c>
      <c r="G23" s="123"/>
      <c r="H23" s="124">
        <f t="shared" ref="H23:H30" si="10">SUM(J23:M23)</f>
        <v>30.137392541559642</v>
      </c>
      <c r="I23" s="182">
        <f>SU_A0300_q</f>
        <v>2</v>
      </c>
      <c r="J23" s="125">
        <f>SU_A0300_m</f>
        <v>20.759999999999998</v>
      </c>
      <c r="K23" s="125">
        <f>SU_A0300_p</f>
        <v>8.595516447372308</v>
      </c>
      <c r="L23" s="125">
        <f>SU_A0300_f</f>
        <v>0.78187609418733417</v>
      </c>
      <c r="M23" s="125">
        <v>0</v>
      </c>
      <c r="N23" s="126">
        <f t="shared" ref="N23:N36" si="11">H23*I23</f>
        <v>60.274785083119284</v>
      </c>
      <c r="O23" s="127"/>
    </row>
    <row r="24" spans="1:15" ht="14.4" x14ac:dyDescent="0.3">
      <c r="A24" s="128"/>
      <c r="B24" s="128" t="s">
        <v>130</v>
      </c>
      <c r="C24" s="129" t="str">
        <f>SU_03001</f>
        <v>SU 03001</v>
      </c>
      <c r="D24" s="129" t="s">
        <v>11</v>
      </c>
      <c r="E24" s="129" t="str">
        <f>$F$15</f>
        <v>Lower Front A-arm</v>
      </c>
      <c r="F24" s="130" t="str">
        <f>SU_03001!$B$5</f>
        <v>Upper Back Bearing Support</v>
      </c>
      <c r="G24" s="129"/>
      <c r="H24" s="131">
        <f t="shared" si="10"/>
        <v>14.091490534400002</v>
      </c>
      <c r="I24" s="135">
        <f>SU_A0300_q*SU_02001_q</f>
        <v>2</v>
      </c>
      <c r="J24" s="132">
        <f>SU_03001_m</f>
        <v>2.4914905344</v>
      </c>
      <c r="K24" s="132">
        <f>SU_03001_p</f>
        <v>11.600000000000001</v>
      </c>
      <c r="L24" s="132">
        <v>0</v>
      </c>
      <c r="M24" s="132">
        <v>0</v>
      </c>
      <c r="N24" s="133">
        <f t="shared" si="11"/>
        <v>28.182981068800004</v>
      </c>
      <c r="O24" s="134"/>
    </row>
    <row r="25" spans="1:15" ht="14.4" x14ac:dyDescent="0.3">
      <c r="A25" s="128"/>
      <c r="B25" s="128" t="s">
        <v>130</v>
      </c>
      <c r="C25" s="129" t="str">
        <f>SU_03002</f>
        <v>SU 03002</v>
      </c>
      <c r="D25" s="129" t="s">
        <v>11</v>
      </c>
      <c r="E25" s="129" t="str">
        <f t="shared" ref="E25:E30" si="12">$F$15</f>
        <v>Lower Front A-arm</v>
      </c>
      <c r="F25" s="130" t="str">
        <f>SU_03002!$B$5</f>
        <v>Inner Bearing Support</v>
      </c>
      <c r="G25" s="129"/>
      <c r="H25" s="131">
        <f t="shared" si="10"/>
        <v>4.6183805439999999</v>
      </c>
      <c r="I25" s="135">
        <f>SU_A0300_q*SU_02002_q</f>
        <v>4</v>
      </c>
      <c r="J25" s="132">
        <f>SU_03002_m</f>
        <v>0.85838054400000008</v>
      </c>
      <c r="K25" s="132">
        <f>SU_03002_p</f>
        <v>3.76</v>
      </c>
      <c r="L25" s="132">
        <v>0</v>
      </c>
      <c r="M25" s="132">
        <v>0</v>
      </c>
      <c r="N25" s="133">
        <f t="shared" si="11"/>
        <v>18.473522175999999</v>
      </c>
      <c r="O25" s="134"/>
    </row>
    <row r="26" spans="1:15" ht="14.4" x14ac:dyDescent="0.3">
      <c r="A26" s="128"/>
      <c r="B26" s="128" t="s">
        <v>130</v>
      </c>
      <c r="C26" s="129" t="str">
        <f>SU_03003</f>
        <v>SU 03003</v>
      </c>
      <c r="D26" s="129" t="s">
        <v>11</v>
      </c>
      <c r="E26" s="129" t="str">
        <f t="shared" si="12"/>
        <v>Lower Front A-arm</v>
      </c>
      <c r="F26" s="130" t="str">
        <f>SU_03003!$B$5</f>
        <v>Upper Back A-arm tube (Front)  Carbon Fiber Tube</v>
      </c>
      <c r="G26" s="129"/>
      <c r="H26" s="131">
        <f t="shared" si="10"/>
        <v>10.876934879999999</v>
      </c>
      <c r="I26" s="135">
        <f>SU_A0300_q*SU_02003_q</f>
        <v>2</v>
      </c>
      <c r="J26" s="132">
        <f>SU_03003_m</f>
        <v>9.6683865599999983</v>
      </c>
      <c r="K26" s="132">
        <f>SU_03003_p</f>
        <v>1.2085483199999998</v>
      </c>
      <c r="L26" s="132">
        <v>0</v>
      </c>
      <c r="M26" s="132">
        <v>0</v>
      </c>
      <c r="N26" s="133">
        <f t="shared" si="11"/>
        <v>21.753869759999997</v>
      </c>
      <c r="O26" s="134"/>
    </row>
    <row r="27" spans="1:15" ht="14.4" x14ac:dyDescent="0.3">
      <c r="A27" s="128"/>
      <c r="B27" s="128" t="s">
        <v>130</v>
      </c>
      <c r="C27" s="129" t="str">
        <f>SU_03004</f>
        <v>SU 03004</v>
      </c>
      <c r="D27" s="129" t="s">
        <v>11</v>
      </c>
      <c r="E27" s="129" t="str">
        <f t="shared" si="12"/>
        <v>Lower Front A-arm</v>
      </c>
      <c r="F27" s="130" t="str">
        <f>SU_03004!$B$5</f>
        <v>Upper Back A-arm tube (Back)  Carbon Fiber Tube</v>
      </c>
      <c r="G27" s="129"/>
      <c r="H27" s="131">
        <f t="shared" si="10"/>
        <v>4.3445228399999989</v>
      </c>
      <c r="I27" s="135">
        <f>SU_A0300_q*SU_02004_q</f>
        <v>2</v>
      </c>
      <c r="J27" s="132">
        <f>SU_03004_m</f>
        <v>3.8617980799999994</v>
      </c>
      <c r="K27" s="132">
        <f>SU_03004_p</f>
        <v>0.48272475999999992</v>
      </c>
      <c r="L27" s="132">
        <v>0</v>
      </c>
      <c r="M27" s="132">
        <v>0</v>
      </c>
      <c r="N27" s="133">
        <f t="shared" si="11"/>
        <v>8.6890456799999978</v>
      </c>
      <c r="O27" s="134"/>
    </row>
    <row r="28" spans="1:15" ht="14.4" x14ac:dyDescent="0.3">
      <c r="A28" s="128"/>
      <c r="B28" s="128" t="s">
        <v>130</v>
      </c>
      <c r="C28" s="129" t="str">
        <f>SU_03005</f>
        <v>SU 03005</v>
      </c>
      <c r="D28" s="129" t="s">
        <v>11</v>
      </c>
      <c r="E28" s="129" t="str">
        <f t="shared" si="12"/>
        <v>Lower Front A-arm</v>
      </c>
      <c r="F28" s="130" t="str">
        <f>SU_03005!$B$5</f>
        <v>Spacer 1</v>
      </c>
      <c r="G28" s="129"/>
      <c r="H28" s="131">
        <f t="shared" si="10"/>
        <v>2.6577472800000002</v>
      </c>
      <c r="I28" s="135">
        <f>SU_A0300_q*SU_02005_q</f>
        <v>4</v>
      </c>
      <c r="J28" s="132">
        <f>SU_03005_m</f>
        <v>1.7747280000000004E-2</v>
      </c>
      <c r="K28" s="132">
        <f>SU_03005_p</f>
        <v>2.64</v>
      </c>
      <c r="L28" s="132">
        <v>0</v>
      </c>
      <c r="M28" s="132">
        <v>0</v>
      </c>
      <c r="N28" s="133">
        <f t="shared" si="11"/>
        <v>10.630989120000001</v>
      </c>
      <c r="O28" s="134"/>
    </row>
    <row r="29" spans="1:15" ht="14.4" x14ac:dyDescent="0.3">
      <c r="A29" s="128"/>
      <c r="B29" s="128" t="s">
        <v>130</v>
      </c>
      <c r="C29" s="129" t="str">
        <f>SU_03006</f>
        <v>SU 03006</v>
      </c>
      <c r="D29" s="129"/>
      <c r="E29" s="129" t="str">
        <f t="shared" si="12"/>
        <v>Lower Front A-arm</v>
      </c>
      <c r="F29" s="130" t="str">
        <f>SU_03006!$B$5</f>
        <v>Spacer 2</v>
      </c>
      <c r="G29" s="129"/>
      <c r="H29" s="131">
        <f t="shared" si="10"/>
        <v>2.6541978240000001</v>
      </c>
      <c r="I29" s="135">
        <f>SU_A0300_q*SU_02006_q</f>
        <v>8</v>
      </c>
      <c r="J29" s="132">
        <f>SU_03006_m</f>
        <v>1.4197824000000001E-2</v>
      </c>
      <c r="K29" s="132">
        <f>SU_03006_p</f>
        <v>2.64</v>
      </c>
      <c r="L29" s="132">
        <v>0</v>
      </c>
      <c r="M29" s="132">
        <v>0</v>
      </c>
      <c r="N29" s="133">
        <f t="shared" si="11"/>
        <v>21.233582592000001</v>
      </c>
      <c r="O29" s="134"/>
    </row>
    <row r="30" spans="1:15" ht="14.4" x14ac:dyDescent="0.3">
      <c r="A30" s="128"/>
      <c r="B30" s="128" t="s">
        <v>130</v>
      </c>
      <c r="C30" s="129" t="str">
        <f>SU_03007</f>
        <v>SU 03007</v>
      </c>
      <c r="D30" s="129" t="s">
        <v>11</v>
      </c>
      <c r="E30" s="129" t="str">
        <f t="shared" si="12"/>
        <v>Lower Front A-arm</v>
      </c>
      <c r="F30" s="130" t="str">
        <f>SU_03007!$B$5</f>
        <v>Outboard A-arm Insert</v>
      </c>
      <c r="G30" s="129"/>
      <c r="H30" s="131">
        <f t="shared" si="10"/>
        <v>2.015803399168</v>
      </c>
      <c r="I30" s="135">
        <f>SU_A0300_q*SU_02007_q</f>
        <v>4</v>
      </c>
      <c r="J30" s="132">
        <f>SU_03007_m</f>
        <v>6.1803399168000005E-2</v>
      </c>
      <c r="K30" s="132">
        <f>SU_03007_p</f>
        <v>1.954</v>
      </c>
      <c r="L30" s="132">
        <v>0</v>
      </c>
      <c r="M30" s="132">
        <v>0</v>
      </c>
      <c r="N30" s="133">
        <f t="shared" si="11"/>
        <v>8.063213596672</v>
      </c>
      <c r="O30" s="134"/>
    </row>
    <row r="31" spans="1:15" ht="14.4" x14ac:dyDescent="0.3">
      <c r="A31" s="121"/>
      <c r="B31" s="122" t="s">
        <v>130</v>
      </c>
      <c r="C31" s="123" t="str">
        <f>SU_A0300</f>
        <v>SU A0300</v>
      </c>
      <c r="D31" s="123" t="s">
        <v>11</v>
      </c>
      <c r="E31" s="123"/>
      <c r="F31" s="170" t="str">
        <f>SU_A0300!B12</f>
        <v>Upper Back A-arm tube (Front)  Carbon Fiber Tube</v>
      </c>
      <c r="G31" s="123"/>
      <c r="H31" s="124">
        <f t="shared" ref="H31:H38" si="13">SUM(J31:M31)</f>
        <v>30.137392541559642</v>
      </c>
      <c r="I31" s="182">
        <f>SU_A0300_q</f>
        <v>2</v>
      </c>
      <c r="J31" s="125">
        <f>SU_A0300_m</f>
        <v>20.759999999999998</v>
      </c>
      <c r="K31" s="125">
        <f>SU_A0300_p</f>
        <v>8.595516447372308</v>
      </c>
      <c r="L31" s="125">
        <f>SU_A0300_f</f>
        <v>0.78187609418733417</v>
      </c>
      <c r="M31" s="125">
        <v>0</v>
      </c>
      <c r="N31" s="126">
        <f t="shared" ref="N31:N38" si="14">H31*I31</f>
        <v>60.274785083119284</v>
      </c>
      <c r="O31" s="127"/>
    </row>
    <row r="32" spans="1:15" ht="14.4" x14ac:dyDescent="0.3">
      <c r="A32" s="128"/>
      <c r="B32" s="128" t="s">
        <v>130</v>
      </c>
      <c r="C32" s="129" t="str">
        <f>SU_03001</f>
        <v>SU 03001</v>
      </c>
      <c r="D32" s="129" t="s">
        <v>11</v>
      </c>
      <c r="E32" s="129" t="str">
        <f>$F$15</f>
        <v>Lower Front A-arm</v>
      </c>
      <c r="F32" s="130" t="str">
        <f>SU_03001!$B$5</f>
        <v>Upper Back Bearing Support</v>
      </c>
      <c r="G32" s="129"/>
      <c r="H32" s="131">
        <f t="shared" si="13"/>
        <v>14.091490534400002</v>
      </c>
      <c r="I32" s="135">
        <f>SU_A0300_q*SU_02001_q</f>
        <v>2</v>
      </c>
      <c r="J32" s="132">
        <f>SU_03001_m</f>
        <v>2.4914905344</v>
      </c>
      <c r="K32" s="132">
        <f>SU_03001_p</f>
        <v>11.600000000000001</v>
      </c>
      <c r="L32" s="132">
        <v>0</v>
      </c>
      <c r="M32" s="132">
        <v>0</v>
      </c>
      <c r="N32" s="133">
        <f t="shared" si="14"/>
        <v>28.182981068800004</v>
      </c>
      <c r="O32" s="134"/>
    </row>
    <row r="33" spans="1:15" ht="14.4" x14ac:dyDescent="0.3">
      <c r="A33" s="128"/>
      <c r="B33" s="128" t="s">
        <v>130</v>
      </c>
      <c r="C33" s="129" t="str">
        <f>SU_03002</f>
        <v>SU 03002</v>
      </c>
      <c r="D33" s="129" t="s">
        <v>11</v>
      </c>
      <c r="E33" s="129" t="str">
        <f t="shared" ref="E33:E38" si="15">$F$15</f>
        <v>Lower Front A-arm</v>
      </c>
      <c r="F33" s="130" t="str">
        <f>SU_03002!$B$5</f>
        <v>Inner Bearing Support</v>
      </c>
      <c r="G33" s="129"/>
      <c r="H33" s="131">
        <f t="shared" si="13"/>
        <v>4.6183805439999999</v>
      </c>
      <c r="I33" s="135">
        <f>SU_A0300_q*SU_02002_q</f>
        <v>4</v>
      </c>
      <c r="J33" s="132">
        <f>SU_03002_m</f>
        <v>0.85838054400000008</v>
      </c>
      <c r="K33" s="132">
        <f>SU_03002_p</f>
        <v>3.76</v>
      </c>
      <c r="L33" s="132">
        <v>0</v>
      </c>
      <c r="M33" s="132">
        <v>0</v>
      </c>
      <c r="N33" s="133">
        <f t="shared" si="14"/>
        <v>18.473522175999999</v>
      </c>
      <c r="O33" s="134"/>
    </row>
    <row r="34" spans="1:15" ht="14.4" x14ac:dyDescent="0.3">
      <c r="A34" s="128"/>
      <c r="B34" s="128" t="s">
        <v>130</v>
      </c>
      <c r="C34" s="129" t="str">
        <f>SU_03003</f>
        <v>SU 03003</v>
      </c>
      <c r="D34" s="129" t="s">
        <v>11</v>
      </c>
      <c r="E34" s="129" t="str">
        <f t="shared" si="15"/>
        <v>Lower Front A-arm</v>
      </c>
      <c r="F34" s="130" t="str">
        <f>SU_03003!$B$5</f>
        <v>Upper Back A-arm tube (Front)  Carbon Fiber Tube</v>
      </c>
      <c r="G34" s="129"/>
      <c r="H34" s="131">
        <f t="shared" si="13"/>
        <v>10.876934879999999</v>
      </c>
      <c r="I34" s="135">
        <f>SU_A0300_q*SU_02003_q</f>
        <v>2</v>
      </c>
      <c r="J34" s="132">
        <f>SU_03003_m</f>
        <v>9.6683865599999983</v>
      </c>
      <c r="K34" s="132">
        <f>SU_03003_p</f>
        <v>1.2085483199999998</v>
      </c>
      <c r="L34" s="132">
        <v>0</v>
      </c>
      <c r="M34" s="132">
        <v>0</v>
      </c>
      <c r="N34" s="133">
        <f t="shared" si="14"/>
        <v>21.753869759999997</v>
      </c>
      <c r="O34" s="134"/>
    </row>
    <row r="35" spans="1:15" ht="14.4" x14ac:dyDescent="0.3">
      <c r="A35" s="128"/>
      <c r="B35" s="128" t="s">
        <v>130</v>
      </c>
      <c r="C35" s="129" t="str">
        <f>SU_03004</f>
        <v>SU 03004</v>
      </c>
      <c r="D35" s="129" t="s">
        <v>11</v>
      </c>
      <c r="E35" s="129" t="str">
        <f t="shared" si="15"/>
        <v>Lower Front A-arm</v>
      </c>
      <c r="F35" s="130" t="str">
        <f>SU_03004!$B$5</f>
        <v>Upper Back A-arm tube (Back)  Carbon Fiber Tube</v>
      </c>
      <c r="G35" s="129"/>
      <c r="H35" s="131">
        <f t="shared" si="13"/>
        <v>4.3445228399999989</v>
      </c>
      <c r="I35" s="135">
        <f>SU_A0300_q*SU_02004_q</f>
        <v>2</v>
      </c>
      <c r="J35" s="132">
        <f>SU_03004_m</f>
        <v>3.8617980799999994</v>
      </c>
      <c r="K35" s="132">
        <f>SU_03004_p</f>
        <v>0.48272475999999992</v>
      </c>
      <c r="L35" s="132">
        <v>0</v>
      </c>
      <c r="M35" s="132">
        <v>0</v>
      </c>
      <c r="N35" s="133">
        <f t="shared" si="14"/>
        <v>8.6890456799999978</v>
      </c>
      <c r="O35" s="134"/>
    </row>
    <row r="36" spans="1:15" ht="14.4" x14ac:dyDescent="0.3">
      <c r="A36" s="128"/>
      <c r="B36" s="128" t="s">
        <v>130</v>
      </c>
      <c r="C36" s="129" t="str">
        <f>SU_03005</f>
        <v>SU 03005</v>
      </c>
      <c r="D36" s="129" t="s">
        <v>11</v>
      </c>
      <c r="E36" s="129" t="str">
        <f t="shared" si="15"/>
        <v>Lower Front A-arm</v>
      </c>
      <c r="F36" s="130" t="str">
        <f>SU_03005!$B$5</f>
        <v>Spacer 1</v>
      </c>
      <c r="G36" s="129"/>
      <c r="H36" s="131">
        <f t="shared" si="13"/>
        <v>2.6577472800000002</v>
      </c>
      <c r="I36" s="135">
        <f>SU_A0300_q*SU_02005_q</f>
        <v>4</v>
      </c>
      <c r="J36" s="132">
        <f>SU_03005_m</f>
        <v>1.7747280000000004E-2</v>
      </c>
      <c r="K36" s="132">
        <f>SU_03005_p</f>
        <v>2.64</v>
      </c>
      <c r="L36" s="132">
        <v>0</v>
      </c>
      <c r="M36" s="132">
        <v>0</v>
      </c>
      <c r="N36" s="133">
        <f t="shared" si="14"/>
        <v>10.630989120000001</v>
      </c>
      <c r="O36" s="134"/>
    </row>
    <row r="37" spans="1:15" ht="14.4" x14ac:dyDescent="0.3">
      <c r="A37" s="128"/>
      <c r="B37" s="128" t="s">
        <v>130</v>
      </c>
      <c r="C37" s="129" t="str">
        <f>SU_03006</f>
        <v>SU 03006</v>
      </c>
      <c r="D37" s="129"/>
      <c r="E37" s="129" t="str">
        <f t="shared" si="15"/>
        <v>Lower Front A-arm</v>
      </c>
      <c r="F37" s="130" t="str">
        <f>SU_03006!$B$5</f>
        <v>Spacer 2</v>
      </c>
      <c r="G37" s="129"/>
      <c r="H37" s="131">
        <f t="shared" si="13"/>
        <v>2.6541978240000001</v>
      </c>
      <c r="I37" s="135">
        <f>SU_A0300_q*SU_02006_q</f>
        <v>8</v>
      </c>
      <c r="J37" s="132">
        <f>SU_03006_m</f>
        <v>1.4197824000000001E-2</v>
      </c>
      <c r="K37" s="132">
        <f>SU_03006_p</f>
        <v>2.64</v>
      </c>
      <c r="L37" s="132">
        <v>0</v>
      </c>
      <c r="M37" s="132">
        <v>0</v>
      </c>
      <c r="N37" s="133">
        <f t="shared" si="14"/>
        <v>21.233582592000001</v>
      </c>
      <c r="O37" s="134"/>
    </row>
    <row r="38" spans="1:15" ht="15" thickBot="1" x14ac:dyDescent="0.35">
      <c r="A38" s="128"/>
      <c r="B38" s="128" t="s">
        <v>130</v>
      </c>
      <c r="C38" s="129" t="str">
        <f>SU_03007</f>
        <v>SU 03007</v>
      </c>
      <c r="D38" s="129" t="s">
        <v>11</v>
      </c>
      <c r="E38" s="129" t="str">
        <f t="shared" si="15"/>
        <v>Lower Front A-arm</v>
      </c>
      <c r="F38" s="130" t="str">
        <f>SU_03007!$B$5</f>
        <v>Outboard A-arm Insert</v>
      </c>
      <c r="G38" s="129"/>
      <c r="H38" s="131">
        <f t="shared" si="13"/>
        <v>2.015803399168</v>
      </c>
      <c r="I38" s="135">
        <f>SU_A0300_q*SU_02007_q</f>
        <v>4</v>
      </c>
      <c r="J38" s="132">
        <f>SU_03007_m</f>
        <v>6.1803399168000005E-2</v>
      </c>
      <c r="K38" s="132">
        <f>SU_03007_p</f>
        <v>1.954</v>
      </c>
      <c r="L38" s="132">
        <v>0</v>
      </c>
      <c r="M38" s="132">
        <v>0</v>
      </c>
      <c r="N38" s="133">
        <f t="shared" si="14"/>
        <v>8.063213596672</v>
      </c>
      <c r="O38" s="134"/>
    </row>
    <row r="39" spans="1:15" s="12" customFormat="1" ht="15" thickTop="1" thickBot="1" x14ac:dyDescent="0.3">
      <c r="A39" s="5"/>
      <c r="B39" s="43" t="str">
        <f>[1]SU_A0200!B3</f>
        <v>Suspension &amp; Shocks</v>
      </c>
      <c r="C39" s="1"/>
      <c r="D39" s="1"/>
      <c r="E39" s="1"/>
      <c r="F39" s="43" t="s">
        <v>60</v>
      </c>
      <c r="G39" s="1"/>
      <c r="H39" s="3"/>
      <c r="I39" s="4"/>
      <c r="J39" s="105">
        <f>SUMPRODUCT($I7:$I38,J7:J38)</f>
        <v>318.75182589068788</v>
      </c>
      <c r="K39" s="105">
        <f>SUMPRODUCT($I7:$I38,K7:K38)</f>
        <v>401.23942013897852</v>
      </c>
      <c r="L39" s="105">
        <f>SUMPRODUCT($I7:$I38,L7:L38)</f>
        <v>6.2550087534986734</v>
      </c>
      <c r="M39" s="105">
        <f>SUMPRODUCT($I7:$I38,M7:M38)</f>
        <v>0</v>
      </c>
      <c r="N39" s="105">
        <f>SUM(N7:N38)</f>
        <v>726.246254783165</v>
      </c>
      <c r="O39" s="2"/>
    </row>
    <row r="40" spans="1:15" ht="13.8" thickTop="1" x14ac:dyDescent="0.25">
      <c r="A40" s="11"/>
      <c r="B40" s="44"/>
      <c r="C40" s="13"/>
      <c r="D40" s="13"/>
      <c r="E40" s="13"/>
      <c r="F40" s="13"/>
      <c r="G40" s="13"/>
      <c r="H40" s="8"/>
      <c r="I40" s="13"/>
      <c r="J40" s="13"/>
      <c r="K40" s="13"/>
      <c r="L40" s="13"/>
      <c r="M40" s="13"/>
      <c r="N40" s="13"/>
    </row>
    <row r="41" spans="1:15" x14ac:dyDescent="0.25">
      <c r="A41" s="11"/>
      <c r="B41" s="44"/>
      <c r="C41" s="13"/>
      <c r="D41" s="13"/>
      <c r="E41" s="13"/>
      <c r="F41" s="13"/>
      <c r="G41" s="13"/>
      <c r="H41" s="8"/>
      <c r="I41" s="13"/>
      <c r="J41" s="13"/>
      <c r="K41" s="13"/>
      <c r="L41" s="13"/>
      <c r="M41" s="13"/>
      <c r="N41" s="13"/>
    </row>
    <row r="42" spans="1:15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5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47"/>
    </row>
    <row r="44" spans="1:15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5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47"/>
    </row>
    <row r="46" spans="1:15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5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5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x14ac:dyDescent="0.25">
      <c r="A49" s="11"/>
      <c r="B49" s="11"/>
      <c r="D49" s="13"/>
      <c r="E49" s="13"/>
      <c r="G49" s="13"/>
      <c r="H49" s="13"/>
      <c r="I49" s="8"/>
      <c r="J49" s="8"/>
      <c r="K49" s="8"/>
      <c r="L49" s="8"/>
      <c r="M49" s="8"/>
      <c r="N49" s="13"/>
    </row>
    <row r="50" spans="1:14" x14ac:dyDescent="0.25">
      <c r="A50" s="11"/>
      <c r="B50" s="11"/>
      <c r="D50" s="13"/>
      <c r="E50" s="13"/>
      <c r="G50" s="13"/>
      <c r="H50" s="13"/>
      <c r="I50" s="8"/>
      <c r="J50" s="8"/>
      <c r="K50" s="8"/>
      <c r="L50" s="8"/>
      <c r="M50" s="8"/>
      <c r="N50" s="13"/>
    </row>
    <row r="51" spans="1:14" x14ac:dyDescent="0.25">
      <c r="A51" s="11"/>
      <c r="B51" s="11"/>
      <c r="D51" s="13"/>
      <c r="E51" s="13"/>
      <c r="G51" s="13"/>
      <c r="H51" s="13"/>
      <c r="I51" s="8"/>
      <c r="J51" s="8"/>
      <c r="K51" s="8"/>
      <c r="L51" s="8"/>
      <c r="M51" s="8"/>
      <c r="N51" s="13"/>
    </row>
    <row r="52" spans="1:14" x14ac:dyDescent="0.25">
      <c r="A52" s="11"/>
      <c r="B52" s="11"/>
      <c r="D52" s="13"/>
      <c r="E52" s="13"/>
      <c r="G52" s="13"/>
      <c r="H52" s="13"/>
      <c r="I52" s="8"/>
      <c r="J52" s="8"/>
      <c r="K52" s="8"/>
      <c r="L52" s="8"/>
      <c r="M52" s="8"/>
      <c r="N52" s="13"/>
    </row>
    <row r="53" spans="1:14" x14ac:dyDescent="0.25">
      <c r="A53" s="11"/>
      <c r="B53" s="11"/>
      <c r="D53" s="13"/>
      <c r="E53" s="13"/>
      <c r="G53" s="13"/>
      <c r="H53" s="13"/>
      <c r="I53" s="8"/>
      <c r="J53" s="8"/>
      <c r="K53" s="8"/>
      <c r="L53" s="8"/>
      <c r="M53" s="8"/>
      <c r="N53" s="13"/>
    </row>
    <row r="54" spans="1:14" x14ac:dyDescent="0.25">
      <c r="A54" s="11"/>
      <c r="B54" s="11"/>
      <c r="D54" s="13"/>
      <c r="E54" s="13"/>
      <c r="G54" s="13"/>
      <c r="H54" s="13"/>
      <c r="I54" s="8"/>
      <c r="J54" s="8"/>
      <c r="K54" s="8"/>
      <c r="L54" s="8"/>
      <c r="M54" s="8"/>
      <c r="N54" s="13"/>
    </row>
    <row r="55" spans="1:14" x14ac:dyDescent="0.25">
      <c r="A55" s="11"/>
      <c r="B55" s="11"/>
      <c r="D55" s="13"/>
      <c r="E55" s="13"/>
      <c r="G55" s="13"/>
      <c r="H55" s="13"/>
      <c r="I55" s="8"/>
      <c r="J55" s="8"/>
      <c r="K55" s="8"/>
      <c r="L55" s="8"/>
      <c r="M55" s="8"/>
      <c r="N55" s="13"/>
    </row>
    <row r="56" spans="1:14" x14ac:dyDescent="0.25">
      <c r="A56" s="11"/>
      <c r="B56" s="11"/>
      <c r="D56" s="13"/>
      <c r="E56" s="13"/>
      <c r="G56" s="13"/>
      <c r="H56" s="13"/>
      <c r="I56" s="8"/>
      <c r="J56" s="8"/>
      <c r="K56" s="8"/>
      <c r="L56" s="8"/>
      <c r="M56" s="8"/>
      <c r="N56" s="13"/>
    </row>
    <row r="57" spans="1:14" x14ac:dyDescent="0.25">
      <c r="A57" s="11"/>
      <c r="B57" s="11"/>
      <c r="D57" s="13"/>
      <c r="E57" s="13"/>
      <c r="G57" s="13"/>
      <c r="H57" s="13"/>
      <c r="I57" s="8"/>
      <c r="J57" s="8"/>
      <c r="K57" s="8"/>
      <c r="L57" s="8"/>
      <c r="M57" s="8"/>
      <c r="N57" s="13"/>
    </row>
    <row r="58" spans="1:14" x14ac:dyDescent="0.25">
      <c r="A58" s="11"/>
      <c r="B58" s="11"/>
      <c r="D58" s="13"/>
      <c r="E58" s="13"/>
      <c r="G58" s="13"/>
      <c r="H58" s="13"/>
      <c r="I58" s="8"/>
      <c r="J58" s="8"/>
      <c r="K58" s="8"/>
      <c r="L58" s="8"/>
      <c r="M58" s="8"/>
      <c r="N58" s="13"/>
    </row>
    <row r="59" spans="1:14" x14ac:dyDescent="0.25">
      <c r="A59" s="11"/>
      <c r="B59" s="11"/>
      <c r="D59" s="13"/>
      <c r="E59" s="13"/>
      <c r="G59" s="13"/>
      <c r="H59" s="13"/>
      <c r="I59" s="8"/>
      <c r="J59" s="8"/>
      <c r="K59" s="8"/>
      <c r="L59" s="8"/>
      <c r="M59" s="8"/>
      <c r="N59" s="13"/>
    </row>
    <row r="60" spans="1:14" x14ac:dyDescent="0.25">
      <c r="A60" s="11"/>
      <c r="B60" s="11"/>
      <c r="D60" s="13"/>
      <c r="E60" s="13"/>
      <c r="G60" s="13"/>
      <c r="H60" s="13"/>
      <c r="I60" s="8"/>
      <c r="J60" s="8"/>
      <c r="K60" s="8"/>
      <c r="L60" s="8"/>
      <c r="M60" s="8"/>
      <c r="N60" s="13"/>
    </row>
    <row r="61" spans="1:14" x14ac:dyDescent="0.25">
      <c r="A61" s="11"/>
      <c r="B61" s="11"/>
      <c r="D61" s="13"/>
      <c r="E61" s="13"/>
      <c r="G61" s="13"/>
      <c r="H61" s="13"/>
      <c r="I61" s="8"/>
      <c r="J61" s="8"/>
      <c r="K61" s="8"/>
      <c r="L61" s="8"/>
      <c r="M61" s="8"/>
      <c r="N61" s="13"/>
    </row>
    <row r="62" spans="1:14" x14ac:dyDescent="0.25">
      <c r="A62" s="11"/>
      <c r="B62" s="11"/>
      <c r="D62" s="13"/>
      <c r="E62" s="13"/>
      <c r="G62" s="13"/>
      <c r="H62" s="13"/>
      <c r="I62" s="8"/>
      <c r="J62" s="8"/>
      <c r="K62" s="8"/>
      <c r="L62" s="8"/>
      <c r="M62" s="8"/>
      <c r="N62" s="13"/>
    </row>
    <row r="63" spans="1:14" x14ac:dyDescent="0.25">
      <c r="A63" s="11"/>
      <c r="B63" s="11"/>
      <c r="D63" s="13"/>
      <c r="E63" s="13"/>
      <c r="G63" s="13"/>
      <c r="H63" s="13"/>
      <c r="I63" s="8"/>
      <c r="J63" s="8"/>
      <c r="K63" s="8"/>
      <c r="L63" s="8"/>
      <c r="M63" s="8"/>
      <c r="N63" s="13"/>
    </row>
    <row r="64" spans="1:14" x14ac:dyDescent="0.25">
      <c r="A64" s="11"/>
      <c r="B64" s="11"/>
      <c r="D64" s="13"/>
      <c r="E64" s="13"/>
      <c r="G64" s="13"/>
      <c r="H64" s="13"/>
      <c r="I64" s="8"/>
      <c r="J64" s="8"/>
      <c r="K64" s="8"/>
      <c r="L64" s="8"/>
      <c r="M64" s="8"/>
      <c r="N64" s="13"/>
    </row>
    <row r="65" spans="1:14" x14ac:dyDescent="0.25">
      <c r="A65" s="11"/>
      <c r="B65" s="11"/>
      <c r="D65" s="13"/>
      <c r="E65" s="13"/>
      <c r="G65" s="13"/>
      <c r="H65" s="13"/>
      <c r="I65" s="8"/>
      <c r="J65" s="8"/>
      <c r="K65" s="8"/>
      <c r="L65" s="8"/>
      <c r="M65" s="8"/>
      <c r="N65" s="13"/>
    </row>
    <row r="66" spans="1:14" x14ac:dyDescent="0.25">
      <c r="A66" s="11"/>
      <c r="B66" s="11"/>
      <c r="D66" s="13"/>
      <c r="E66" s="13"/>
      <c r="G66" s="13"/>
      <c r="H66" s="13"/>
      <c r="I66" s="8"/>
      <c r="J66" s="8"/>
      <c r="K66" s="8"/>
      <c r="L66" s="8"/>
      <c r="M66" s="8"/>
      <c r="N66" s="13"/>
    </row>
    <row r="67" spans="1:14" x14ac:dyDescent="0.25">
      <c r="A67" s="11"/>
      <c r="B67" s="11"/>
      <c r="D67" s="13"/>
      <c r="E67" s="13"/>
      <c r="G67" s="13"/>
      <c r="H67" s="13"/>
      <c r="I67" s="8"/>
      <c r="J67" s="8"/>
      <c r="K67" s="8"/>
      <c r="L67" s="8"/>
      <c r="M67" s="8"/>
      <c r="N67" s="13"/>
    </row>
    <row r="68" spans="1:14" x14ac:dyDescent="0.25">
      <c r="A68" s="11"/>
      <c r="B68" s="11"/>
      <c r="D68" s="13"/>
      <c r="E68" s="13"/>
      <c r="G68" s="13"/>
      <c r="H68" s="13"/>
      <c r="I68" s="8"/>
      <c r="J68" s="8"/>
      <c r="K68" s="8"/>
      <c r="L68" s="8"/>
      <c r="M68" s="8"/>
      <c r="N68" s="13"/>
    </row>
    <row r="69" spans="1:14" x14ac:dyDescent="0.25">
      <c r="A69" s="11"/>
      <c r="B69" s="11"/>
      <c r="D69" s="13"/>
      <c r="E69" s="13"/>
      <c r="G69" s="13"/>
      <c r="H69" s="13"/>
      <c r="I69" s="8"/>
      <c r="J69" s="8"/>
      <c r="K69" s="8"/>
      <c r="L69" s="8"/>
      <c r="M69" s="8"/>
      <c r="N69" s="13"/>
    </row>
    <row r="70" spans="1:14" s="9" customFormat="1" x14ac:dyDescent="0.25">
      <c r="A70" s="7"/>
      <c r="B70" s="11"/>
      <c r="F70" s="44"/>
      <c r="I70" s="6"/>
      <c r="J70" s="6"/>
      <c r="K70" s="6"/>
      <c r="L70" s="6"/>
      <c r="M70" s="6"/>
    </row>
    <row r="71" spans="1:14" s="9" customFormat="1" x14ac:dyDescent="0.25">
      <c r="A71" s="7"/>
      <c r="B71" s="11"/>
      <c r="F71" s="44"/>
      <c r="I71" s="6"/>
      <c r="J71" s="6"/>
      <c r="K71" s="6"/>
      <c r="L71" s="6"/>
      <c r="M71" s="6"/>
    </row>
    <row r="72" spans="1:14" s="9" customFormat="1" x14ac:dyDescent="0.25">
      <c r="A72" s="7"/>
      <c r="B72" s="11"/>
      <c r="F72" s="44"/>
      <c r="I72" s="6"/>
      <c r="J72" s="6"/>
      <c r="K72" s="6"/>
      <c r="L72" s="6"/>
      <c r="M72" s="6"/>
    </row>
    <row r="73" spans="1:14" s="9" customFormat="1" x14ac:dyDescent="0.25">
      <c r="A73" s="7"/>
      <c r="B73" s="11"/>
      <c r="F73" s="44"/>
      <c r="I73" s="6"/>
      <c r="J73" s="6"/>
      <c r="K73" s="6"/>
      <c r="L73" s="6"/>
      <c r="M73" s="6"/>
    </row>
    <row r="74" spans="1:14" s="9" customFormat="1" x14ac:dyDescent="0.25">
      <c r="A74" s="7"/>
      <c r="B74" s="11"/>
      <c r="F74" s="44"/>
      <c r="I74" s="6"/>
      <c r="J74" s="6"/>
      <c r="K74" s="6"/>
      <c r="L74" s="6"/>
      <c r="M74" s="6"/>
    </row>
    <row r="75" spans="1:14" s="9" customFormat="1" x14ac:dyDescent="0.25">
      <c r="A75" s="7"/>
      <c r="B75" s="11"/>
      <c r="F75" s="44"/>
      <c r="I75" s="6"/>
      <c r="J75" s="6"/>
      <c r="K75" s="6"/>
      <c r="L75" s="6"/>
      <c r="M75" s="6"/>
    </row>
    <row r="76" spans="1:14" s="9" customFormat="1" x14ac:dyDescent="0.25">
      <c r="A76" s="7"/>
      <c r="B76" s="11"/>
      <c r="F76" s="44"/>
      <c r="I76" s="6"/>
      <c r="J76" s="6"/>
      <c r="K76" s="6"/>
      <c r="L76" s="6"/>
      <c r="M76" s="6"/>
    </row>
    <row r="77" spans="1:14" s="9" customFormat="1" x14ac:dyDescent="0.25">
      <c r="A77" s="7"/>
      <c r="B77" s="11"/>
      <c r="F77" s="44"/>
      <c r="I77" s="6"/>
      <c r="J77" s="6"/>
      <c r="K77" s="6"/>
      <c r="L77" s="6"/>
      <c r="M77" s="6"/>
    </row>
    <row r="78" spans="1:14" s="9" customFormat="1" x14ac:dyDescent="0.25">
      <c r="A78" s="7"/>
      <c r="B78" s="11"/>
      <c r="F78" s="44"/>
      <c r="I78" s="6"/>
      <c r="J78" s="6"/>
      <c r="K78" s="6"/>
      <c r="L78" s="6"/>
      <c r="M78" s="6"/>
    </row>
    <row r="79" spans="1:14" s="9" customFormat="1" x14ac:dyDescent="0.25">
      <c r="A79" s="7"/>
      <c r="B79" s="11"/>
      <c r="F79" s="44"/>
      <c r="I79" s="6"/>
      <c r="J79" s="6"/>
      <c r="K79" s="6"/>
      <c r="L79" s="6"/>
      <c r="M79" s="6"/>
    </row>
    <row r="80" spans="1:14" s="10" customFormat="1" x14ac:dyDescent="0.25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  <row r="165" spans="1:14" s="10" customFormat="1" x14ac:dyDescent="0.25">
      <c r="A165" s="7"/>
      <c r="B165" s="11"/>
      <c r="C165" s="9"/>
      <c r="D165" s="9"/>
      <c r="E165" s="9"/>
      <c r="F165" s="44"/>
      <c r="G165" s="9"/>
      <c r="H165" s="9"/>
      <c r="I165" s="6"/>
      <c r="J165" s="6"/>
      <c r="K165" s="6"/>
      <c r="L165" s="6"/>
      <c r="M165" s="6"/>
      <c r="N165" s="9"/>
    </row>
    <row r="166" spans="1:14" s="10" customFormat="1" x14ac:dyDescent="0.25">
      <c r="A166" s="7"/>
      <c r="B166" s="11"/>
      <c r="C166" s="9"/>
      <c r="D166" s="9"/>
      <c r="E166" s="9"/>
      <c r="F166" s="44"/>
      <c r="G166" s="9"/>
      <c r="H166" s="9"/>
      <c r="I166" s="6"/>
      <c r="J166" s="6"/>
      <c r="K166" s="6"/>
      <c r="L166" s="6"/>
      <c r="M166" s="6"/>
      <c r="N166" s="9"/>
    </row>
    <row r="167" spans="1:14" s="10" customFormat="1" x14ac:dyDescent="0.25">
      <c r="A167" s="7"/>
      <c r="B167" s="11"/>
      <c r="C167" s="9"/>
      <c r="D167" s="9"/>
      <c r="E167" s="9"/>
      <c r="F167" s="44"/>
      <c r="G167" s="9"/>
      <c r="H167" s="9"/>
      <c r="I167" s="6"/>
      <c r="J167" s="6"/>
      <c r="K167" s="6"/>
      <c r="L167" s="6"/>
      <c r="M167" s="6"/>
      <c r="N167" s="9"/>
    </row>
    <row r="168" spans="1:14" s="10" customFormat="1" x14ac:dyDescent="0.25">
      <c r="A168" s="7"/>
      <c r="B168" s="11"/>
      <c r="C168" s="9"/>
      <c r="D168" s="9"/>
      <c r="E168" s="9"/>
      <c r="F168" s="44"/>
      <c r="G168" s="9"/>
      <c r="H168" s="9"/>
      <c r="I168" s="6"/>
      <c r="J168" s="6"/>
      <c r="K168" s="6"/>
      <c r="L168" s="6"/>
      <c r="M168" s="6"/>
      <c r="N168" s="9"/>
    </row>
    <row r="169" spans="1:14" s="10" customFormat="1" x14ac:dyDescent="0.25">
      <c r="A169" s="7"/>
      <c r="B169" s="11"/>
      <c r="C169" s="9"/>
      <c r="D169" s="9"/>
      <c r="E169" s="9"/>
      <c r="F169" s="44"/>
      <c r="G169" s="9"/>
      <c r="H169" s="9"/>
      <c r="I169" s="6"/>
      <c r="J169" s="6"/>
      <c r="K169" s="6"/>
      <c r="L169" s="6"/>
      <c r="M169" s="6"/>
      <c r="N169" s="9"/>
    </row>
    <row r="170" spans="1:14" s="10" customFormat="1" x14ac:dyDescent="0.25">
      <c r="A170" s="7"/>
      <c r="B170" s="11"/>
      <c r="C170" s="9"/>
      <c r="D170" s="9"/>
      <c r="E170" s="9"/>
      <c r="F170" s="44"/>
      <c r="G170" s="9"/>
      <c r="H170" s="9"/>
      <c r="I170" s="6"/>
      <c r="J170" s="6"/>
      <c r="K170" s="6"/>
      <c r="L170" s="6"/>
      <c r="M170" s="6"/>
      <c r="N170" s="9"/>
    </row>
    <row r="171" spans="1:14" s="10" customFormat="1" x14ac:dyDescent="0.25">
      <c r="A171" s="7"/>
      <c r="B171" s="11"/>
      <c r="C171" s="9"/>
      <c r="D171" s="9"/>
      <c r="E171" s="9"/>
      <c r="F171" s="44"/>
      <c r="G171" s="9"/>
      <c r="H171" s="9"/>
      <c r="I171" s="6"/>
      <c r="J171" s="6"/>
      <c r="K171" s="6"/>
      <c r="L171" s="6"/>
      <c r="M171" s="6"/>
      <c r="N171" s="9"/>
    </row>
    <row r="172" spans="1:14" s="10" customFormat="1" x14ac:dyDescent="0.25">
      <c r="A172" s="7"/>
      <c r="B172" s="11"/>
      <c r="C172" s="9"/>
      <c r="D172" s="9"/>
      <c r="E172" s="9"/>
      <c r="F172" s="44"/>
      <c r="G172" s="9"/>
      <c r="H172" s="9"/>
      <c r="I172" s="6"/>
      <c r="J172" s="6"/>
      <c r="K172" s="6"/>
      <c r="L172" s="6"/>
      <c r="M172" s="6"/>
      <c r="N172" s="9"/>
    </row>
    <row r="173" spans="1:14" s="10" customFormat="1" x14ac:dyDescent="0.25">
      <c r="A173" s="7"/>
      <c r="B173" s="11"/>
      <c r="C173" s="9"/>
      <c r="D173" s="9"/>
      <c r="E173" s="9"/>
      <c r="F173" s="44"/>
      <c r="G173" s="9"/>
      <c r="H173" s="9"/>
      <c r="I173" s="6"/>
      <c r="J173" s="6"/>
      <c r="K173" s="6"/>
      <c r="L173" s="6"/>
      <c r="M173" s="6"/>
      <c r="N173" s="9"/>
    </row>
    <row r="174" spans="1:14" s="10" customFormat="1" x14ac:dyDescent="0.25">
      <c r="A174" s="7"/>
      <c r="B174" s="11"/>
      <c r="C174" s="9"/>
      <c r="D174" s="9"/>
      <c r="E174" s="9"/>
      <c r="F174" s="44"/>
      <c r="G174" s="9"/>
      <c r="H174" s="9"/>
      <c r="I174" s="6"/>
      <c r="J174" s="6"/>
      <c r="K174" s="6"/>
      <c r="L174" s="6"/>
      <c r="M174" s="6"/>
      <c r="N174" s="9"/>
    </row>
    <row r="175" spans="1:14" s="10" customFormat="1" x14ac:dyDescent="0.25">
      <c r="A175" s="7"/>
      <c r="B175" s="11"/>
      <c r="C175" s="9"/>
      <c r="D175" s="9"/>
      <c r="E175" s="9"/>
      <c r="F175" s="44"/>
      <c r="G175" s="9"/>
      <c r="H175" s="9"/>
      <c r="I175" s="6"/>
      <c r="J175" s="6"/>
      <c r="K175" s="6"/>
      <c r="L175" s="6"/>
      <c r="M175" s="6"/>
      <c r="N175" s="9"/>
    </row>
    <row r="176" spans="1:14" s="10" customFormat="1" x14ac:dyDescent="0.25">
      <c r="A176" s="7"/>
      <c r="B176" s="11"/>
      <c r="C176" s="9"/>
      <c r="D176" s="9"/>
      <c r="E176" s="9"/>
      <c r="F176" s="44"/>
      <c r="G176" s="9"/>
      <c r="H176" s="9"/>
      <c r="I176" s="6"/>
      <c r="J176" s="6"/>
      <c r="K176" s="6"/>
      <c r="L176" s="6"/>
      <c r="M176" s="6"/>
      <c r="N176" s="9"/>
    </row>
    <row r="177" spans="1:14" s="10" customFormat="1" x14ac:dyDescent="0.25">
      <c r="A177" s="7"/>
      <c r="B177" s="11"/>
      <c r="C177" s="9"/>
      <c r="D177" s="9"/>
      <c r="E177" s="9"/>
      <c r="F177" s="44"/>
      <c r="G177" s="9"/>
      <c r="H177" s="9"/>
      <c r="I177" s="6"/>
      <c r="J177" s="6"/>
      <c r="K177" s="6"/>
      <c r="L177" s="6"/>
      <c r="M177" s="6"/>
      <c r="N177" s="9"/>
    </row>
    <row r="178" spans="1:14" s="10" customFormat="1" x14ac:dyDescent="0.25">
      <c r="A178" s="7"/>
      <c r="B178" s="11"/>
      <c r="C178" s="9"/>
      <c r="D178" s="9"/>
      <c r="E178" s="9"/>
      <c r="F178" s="44"/>
      <c r="G178" s="9"/>
      <c r="H178" s="9"/>
      <c r="I178" s="6"/>
      <c r="J178" s="6"/>
      <c r="K178" s="6"/>
      <c r="L178" s="6"/>
      <c r="M178" s="6"/>
      <c r="N178" s="9"/>
    </row>
    <row r="179" spans="1:14" s="10" customFormat="1" x14ac:dyDescent="0.25">
      <c r="A179" s="7"/>
      <c r="B179" s="11"/>
      <c r="C179" s="9"/>
      <c r="D179" s="9"/>
      <c r="E179" s="9"/>
      <c r="F179" s="44"/>
      <c r="G179" s="9"/>
      <c r="H179" s="9"/>
      <c r="I179" s="6"/>
      <c r="J179" s="6"/>
      <c r="K179" s="6"/>
      <c r="L179" s="6"/>
      <c r="M179" s="6"/>
      <c r="N179" s="9"/>
    </row>
    <row r="180" spans="1:14" s="10" customFormat="1" x14ac:dyDescent="0.25">
      <c r="A180" s="7"/>
      <c r="B180" s="11"/>
      <c r="C180" s="9"/>
      <c r="D180" s="9"/>
      <c r="E180" s="9"/>
      <c r="F180" s="44"/>
      <c r="G180" s="9"/>
      <c r="H180" s="9"/>
      <c r="I180" s="6"/>
      <c r="J180" s="6"/>
      <c r="K180" s="6"/>
      <c r="L180" s="6"/>
      <c r="M180" s="6"/>
      <c r="N180" s="9"/>
    </row>
    <row r="181" spans="1:14" s="10" customFormat="1" x14ac:dyDescent="0.25">
      <c r="A181" s="7"/>
      <c r="B181" s="11"/>
      <c r="C181" s="9"/>
      <c r="D181" s="9"/>
      <c r="E181" s="9"/>
      <c r="F181" s="44"/>
      <c r="G181" s="9"/>
      <c r="H181" s="9"/>
      <c r="I181" s="6"/>
      <c r="J181" s="6"/>
      <c r="K181" s="6"/>
      <c r="L181" s="6"/>
      <c r="M181" s="6"/>
      <c r="N181" s="9"/>
    </row>
    <row r="182" spans="1:14" s="10" customFormat="1" x14ac:dyDescent="0.25">
      <c r="A182" s="7"/>
      <c r="B182" s="11"/>
      <c r="C182" s="9"/>
      <c r="D182" s="9"/>
      <c r="E182" s="9"/>
      <c r="F182" s="44"/>
      <c r="G182" s="9"/>
      <c r="H182" s="9"/>
      <c r="I182" s="6"/>
      <c r="J182" s="6"/>
      <c r="K182" s="6"/>
      <c r="L182" s="6"/>
      <c r="M182" s="6"/>
      <c r="N182" s="9"/>
    </row>
    <row r="183" spans="1:14" s="10" customFormat="1" x14ac:dyDescent="0.25">
      <c r="A183" s="7"/>
      <c r="B183" s="11"/>
      <c r="C183" s="9"/>
      <c r="D183" s="9"/>
      <c r="E183" s="9"/>
      <c r="F183" s="44"/>
      <c r="G183" s="9"/>
      <c r="H183" s="9"/>
      <c r="I183" s="6"/>
      <c r="J183" s="6"/>
      <c r="K183" s="6"/>
      <c r="L183" s="6"/>
      <c r="M183" s="6"/>
      <c r="N183" s="9"/>
    </row>
    <row r="184" spans="1:14" s="10" customFormat="1" x14ac:dyDescent="0.25">
      <c r="A184" s="7"/>
      <c r="B184" s="11"/>
      <c r="C184" s="9"/>
      <c r="D184" s="9"/>
      <c r="E184" s="9"/>
      <c r="F184" s="44"/>
      <c r="G184" s="9"/>
      <c r="H184" s="9"/>
      <c r="I184" s="6"/>
      <c r="J184" s="6"/>
      <c r="K184" s="6"/>
      <c r="L184" s="6"/>
      <c r="M184" s="6"/>
      <c r="N184" s="9"/>
    </row>
    <row r="185" spans="1:14" s="10" customFormat="1" x14ac:dyDescent="0.25">
      <c r="A185" s="7"/>
      <c r="B185" s="11"/>
      <c r="C185" s="9"/>
      <c r="D185" s="9"/>
      <c r="E185" s="9"/>
      <c r="F185" s="44"/>
      <c r="G185" s="9"/>
      <c r="H185" s="9"/>
      <c r="I185" s="6"/>
      <c r="J185" s="6"/>
      <c r="K185" s="6"/>
      <c r="L185" s="6"/>
      <c r="M185" s="6"/>
      <c r="N185" s="9"/>
    </row>
  </sheetData>
  <hyperlinks>
    <hyperlink ref="F7" location="'SU A0100'!A1" display="'SU A0100'!A1"/>
    <hyperlink ref="F8" location="SU_01001" display="SU_01001"/>
    <hyperlink ref="F9" location="SU_01002" display="SU_01002"/>
    <hyperlink ref="F10" location="SU_01003" display="SU_01003"/>
    <hyperlink ref="F11" location="SU_01004" display="SU_01004"/>
    <hyperlink ref="F12" location="SU_01005" display="SU_01005"/>
    <hyperlink ref="F14" location="SU_01006" display="SU_01006"/>
    <hyperlink ref="F15" location="SU_A0200" display="SU_A0200"/>
    <hyperlink ref="F16" location="SU_02001" display="SU_02001"/>
    <hyperlink ref="F17:F22" location="SU_01001" display="SU_01001"/>
    <hyperlink ref="F17" location="SU_02002" display="SU_02002"/>
    <hyperlink ref="F18" location="SU_02003" display="SU_02003"/>
    <hyperlink ref="F19" location="SU_02004" display="SU_02004"/>
    <hyperlink ref="F20" location="SU_02005" display="SU_02005"/>
    <hyperlink ref="F22" location="SU_02007" display="SU_02007"/>
    <hyperlink ref="F13" location="SU_01006" display="SU_01006"/>
    <hyperlink ref="F21" location="SU_02006" display="SU_02006"/>
    <hyperlink ref="F23" location="SU_A0300" display="SU_A0300"/>
    <hyperlink ref="F24" location="SU_03001" display="SU_03001"/>
    <hyperlink ref="F25:F30" location="SU_03001" display="SU_03001"/>
    <hyperlink ref="F25" location="SU_03002" display="SU_03002"/>
    <hyperlink ref="F26" location="SU_03003" display="SU_03003"/>
    <hyperlink ref="F27" location="SU_03004" display="SU_03004"/>
    <hyperlink ref="F28" location="SU_03005" display="SU_03005"/>
    <hyperlink ref="F29" location="SU_03006" display="SU_03006"/>
    <hyperlink ref="F30" location="SU_03007" display="SU_03007"/>
    <hyperlink ref="F31" location="SU_A0300" display="SU_A0300"/>
    <hyperlink ref="F32" location="SU_03001" display="SU_03001"/>
    <hyperlink ref="F33:F38" location="SU_03001" display="SU_03001"/>
    <hyperlink ref="F33" location="SU_03002" display="SU_03002"/>
    <hyperlink ref="F34" location="SU_03003" display="SU_03003"/>
    <hyperlink ref="F35" location="SU_03004" display="SU_03004"/>
    <hyperlink ref="F36" location="SU_03005" display="SU_03005"/>
    <hyperlink ref="F37" location="SU_03006" display="SU_03006"/>
    <hyperlink ref="F38" location="SU_03007" display="SU_03007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198</v>
      </c>
      <c r="B1" s="98" t="s">
        <v>207</v>
      </c>
    </row>
    <row r="6" spans="1:2" x14ac:dyDescent="0.3">
      <c r="B6" s="155"/>
    </row>
  </sheetData>
  <hyperlinks>
    <hyperlink ref="B1" location="SU_02002!B5" display="SU_01002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7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11.220746039999998</v>
      </c>
      <c r="O2" s="64"/>
    </row>
    <row r="3" spans="1:15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5" x14ac:dyDescent="0.3">
      <c r="A4" s="111" t="s">
        <v>5</v>
      </c>
      <c r="B4" s="97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208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11.220746039999998</v>
      </c>
      <c r="O5" s="64"/>
    </row>
    <row r="6" spans="1:15" x14ac:dyDescent="0.3">
      <c r="A6" s="111" t="s">
        <v>7</v>
      </c>
      <c r="B6" s="29" t="s">
        <v>209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4" t="s">
        <v>216</v>
      </c>
      <c r="C11" s="175" t="s">
        <v>217</v>
      </c>
      <c r="D11" s="179">
        <f>200*E11*L11</f>
        <v>9.9739964799999985</v>
      </c>
      <c r="E11" s="178">
        <f>J11*K11</f>
        <v>3.1563279999999995E-5</v>
      </c>
      <c r="F11" s="21" t="s">
        <v>218</v>
      </c>
      <c r="G11" s="21"/>
      <c r="H11" s="20"/>
      <c r="I11" s="22" t="s">
        <v>191</v>
      </c>
      <c r="J11" s="176">
        <f>3.14*(0.008*0.008-0.006*0.006)</f>
        <v>8.7919999999999985E-5</v>
      </c>
      <c r="K11" s="83">
        <v>0.35899999999999999</v>
      </c>
      <c r="L11" s="84">
        <v>1580</v>
      </c>
      <c r="M11" s="177">
        <v>1</v>
      </c>
      <c r="N11" s="31">
        <f>D11*M11</f>
        <v>9.9739964799999985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9.9739964799999985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28.8" x14ac:dyDescent="0.3">
      <c r="A15" s="174">
        <v>10</v>
      </c>
      <c r="B15" s="174" t="s">
        <v>240</v>
      </c>
      <c r="C15" s="174" t="s">
        <v>241</v>
      </c>
      <c r="D15" s="268">
        <v>25</v>
      </c>
      <c r="E15" s="267" t="s">
        <v>242</v>
      </c>
      <c r="F15" s="270">
        <f>J11*K11*L11</f>
        <v>4.9869982399999992E-2</v>
      </c>
      <c r="G15" s="266"/>
      <c r="H15" s="266"/>
      <c r="I15" s="269">
        <f>IF(H15="",D15*F15,D15*F15*H15)</f>
        <v>1.2467495599999998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1.2467495599999998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8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10.001779199999998</v>
      </c>
      <c r="O2" s="64"/>
    </row>
    <row r="3" spans="1:15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5" x14ac:dyDescent="0.3">
      <c r="A4" s="111" t="s">
        <v>5</v>
      </c>
      <c r="B4" s="97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210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10.001779199999998</v>
      </c>
      <c r="O5" s="64"/>
    </row>
    <row r="6" spans="1:15" x14ac:dyDescent="0.3">
      <c r="A6" s="111" t="s">
        <v>7</v>
      </c>
      <c r="B6" s="29" t="s">
        <v>211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4" t="s">
        <v>216</v>
      </c>
      <c r="C11" s="175" t="s">
        <v>217</v>
      </c>
      <c r="D11" s="179">
        <f>200*E11*L11</f>
        <v>8.8904703999999981</v>
      </c>
      <c r="E11" s="178">
        <f>J11*K11</f>
        <v>2.8134399999999996E-5</v>
      </c>
      <c r="F11" s="21" t="s">
        <v>218</v>
      </c>
      <c r="G11" s="21"/>
      <c r="H11" s="20"/>
      <c r="I11" s="22" t="s">
        <v>191</v>
      </c>
      <c r="J11" s="176">
        <f>3.14*(0.008*0.008-0.006*0.006)</f>
        <v>8.7919999999999985E-5</v>
      </c>
      <c r="K11" s="83">
        <f>320/1000</f>
        <v>0.32</v>
      </c>
      <c r="L11" s="84">
        <v>1580</v>
      </c>
      <c r="M11" s="177">
        <v>1</v>
      </c>
      <c r="N11" s="31">
        <f>D11*M11</f>
        <v>8.8904703999999981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8.8904703999999981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x14ac:dyDescent="0.3">
      <c r="A15" s="174">
        <v>10</v>
      </c>
      <c r="B15" s="174" t="s">
        <v>240</v>
      </c>
      <c r="C15" s="174" t="s">
        <v>241</v>
      </c>
      <c r="D15" s="268">
        <v>25</v>
      </c>
      <c r="E15" s="267" t="s">
        <v>242</v>
      </c>
      <c r="F15" s="270">
        <f>J11*K11*L11</f>
        <v>4.4452351999999994E-2</v>
      </c>
      <c r="G15" s="266"/>
      <c r="H15" s="266"/>
      <c r="I15" s="269">
        <f>IF(H15="",D15*F15,D15*F15*H15)</f>
        <v>1.1113087999999998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1.1113087999999998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2.6701703760000002</v>
      </c>
      <c r="O2" s="64"/>
    </row>
    <row r="3" spans="1:17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7" x14ac:dyDescent="0.3">
      <c r="A4" s="111" t="s">
        <v>5</v>
      </c>
      <c r="B4" s="97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18" t="s">
        <v>221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5.3403407520000004</v>
      </c>
      <c r="O5" s="64"/>
    </row>
    <row r="6" spans="1:17" x14ac:dyDescent="0.3">
      <c r="A6" s="111" t="s">
        <v>7</v>
      </c>
      <c r="B6" s="29" t="s">
        <v>212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194</v>
      </c>
      <c r="C11" s="21" t="s">
        <v>38</v>
      </c>
      <c r="D11" s="31">
        <v>2.25</v>
      </c>
      <c r="E11" s="150">
        <f>J11*K11*L11/1000000000</f>
        <v>1.3409056000000001E-2</v>
      </c>
      <c r="F11" s="21" t="s">
        <v>187</v>
      </c>
      <c r="G11" s="21"/>
      <c r="H11" s="20"/>
      <c r="I11" s="22" t="s">
        <v>193</v>
      </c>
      <c r="J11" s="85">
        <f>3.14*8*8</f>
        <v>200.96</v>
      </c>
      <c r="K11" s="181">
        <v>8.5</v>
      </c>
      <c r="L11" s="84">
        <v>7850</v>
      </c>
      <c r="M11" s="177">
        <v>1</v>
      </c>
      <c r="N11" s="31">
        <f>D11*E11</f>
        <v>3.0170376000000002E-2</v>
      </c>
      <c r="O11" s="69"/>
      <c r="Q11" s="148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3.0170376000000002E-2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7" t="s">
        <v>184</v>
      </c>
      <c r="C16" s="19" t="s">
        <v>195</v>
      </c>
      <c r="D16" s="31">
        <v>0.04</v>
      </c>
      <c r="E16" s="28" t="s">
        <v>186</v>
      </c>
      <c r="F16" s="152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7" t="s">
        <v>184</v>
      </c>
      <c r="C18" s="19" t="s">
        <v>197</v>
      </c>
      <c r="D18" s="31">
        <v>0.04</v>
      </c>
      <c r="E18" s="28" t="s">
        <v>186</v>
      </c>
      <c r="F18" s="152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7" t="s">
        <v>184</v>
      </c>
      <c r="C20" s="19" t="s">
        <v>196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198</v>
      </c>
      <c r="B1" s="98" t="s">
        <v>212</v>
      </c>
    </row>
  </sheetData>
  <hyperlinks>
    <hyperlink ref="B1" location="SU_02005" display="SU_02005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zoomScale="90" zoomScaleNormal="90" workbookViewId="0">
      <selection activeCell="N4" sqref="N4"/>
    </sheetView>
  </sheetViews>
  <sheetFormatPr baseColWidth="10" defaultRowHeight="14.4" x14ac:dyDescent="0.3"/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2.6541978240000001</v>
      </c>
      <c r="O2" s="64"/>
    </row>
    <row r="3" spans="1:15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5" x14ac:dyDescent="0.3">
      <c r="A4" s="111" t="s">
        <v>5</v>
      </c>
      <c r="B4" s="97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18" t="s">
        <v>220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10.616791296000001</v>
      </c>
      <c r="O5" s="64"/>
    </row>
    <row r="6" spans="1:15" x14ac:dyDescent="0.3">
      <c r="A6" s="111" t="s">
        <v>7</v>
      </c>
      <c r="B6" s="29" t="s">
        <v>213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27" t="s">
        <v>194</v>
      </c>
      <c r="C11" s="21" t="s">
        <v>38</v>
      </c>
      <c r="D11" s="31">
        <v>2.25</v>
      </c>
      <c r="E11" s="150">
        <f>J11*K11*L11/1000000000</f>
        <v>6.3101440000000002E-3</v>
      </c>
      <c r="F11" s="21" t="s">
        <v>187</v>
      </c>
      <c r="G11" s="21"/>
      <c r="H11" s="20"/>
      <c r="I11" s="22" t="s">
        <v>193</v>
      </c>
      <c r="J11" s="85">
        <f>3.14*8*8</f>
        <v>200.96</v>
      </c>
      <c r="K11" s="181">
        <v>4</v>
      </c>
      <c r="L11" s="84">
        <v>7850</v>
      </c>
      <c r="M11" s="177">
        <v>1</v>
      </c>
      <c r="N11" s="31">
        <f>D11*E11</f>
        <v>1.4197824000000001E-2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1.4197824000000001E-2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43.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5" x14ac:dyDescent="0.3">
      <c r="A16" s="66">
        <v>20</v>
      </c>
      <c r="B16" s="147" t="s">
        <v>184</v>
      </c>
      <c r="C16" s="19" t="s">
        <v>195</v>
      </c>
      <c r="D16" s="31">
        <v>0.04</v>
      </c>
      <c r="E16" s="28" t="s">
        <v>186</v>
      </c>
      <c r="F16" s="152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ht="43.2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7" t="s">
        <v>184</v>
      </c>
      <c r="C18" s="19" t="s">
        <v>197</v>
      </c>
      <c r="D18" s="31">
        <v>0.04</v>
      </c>
      <c r="E18" s="28" t="s">
        <v>186</v>
      </c>
      <c r="F18" s="152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ht="43.2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7" t="s">
        <v>184</v>
      </c>
      <c r="C20" s="19" t="s">
        <v>196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</cols>
  <sheetData>
    <row r="1" spans="1:2" x14ac:dyDescent="0.3">
      <c r="A1" t="s">
        <v>223</v>
      </c>
      <c r="B1" s="98" t="str">
        <f>SU_02006</f>
        <v>SU_02006</v>
      </c>
    </row>
  </sheetData>
  <hyperlinks>
    <hyperlink ref="B1" location="SU_02006" display="SU_02006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90" zoomScaleNormal="90" workbookViewId="0">
      <selection activeCell="B4" sqref="B4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7" x14ac:dyDescent="0.3">
      <c r="A4" s="111" t="s">
        <v>5</v>
      </c>
      <c r="B4" s="98" t="s">
        <v>204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4.031606798336</v>
      </c>
      <c r="O5" s="64"/>
    </row>
    <row r="6" spans="1:17" x14ac:dyDescent="0.3">
      <c r="A6" s="111" t="s">
        <v>7</v>
      </c>
      <c r="B6" s="29" t="s">
        <v>224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133</v>
      </c>
      <c r="C11" s="21" t="s">
        <v>38</v>
      </c>
      <c r="D11" s="153">
        <f>4.2</f>
        <v>4.2</v>
      </c>
      <c r="E11" s="150">
        <f>J11*K11*L11/1000000000</f>
        <v>1.4715095040000001E-2</v>
      </c>
      <c r="F11" s="21" t="s">
        <v>187</v>
      </c>
      <c r="G11" s="21"/>
      <c r="H11" s="20"/>
      <c r="I11" s="22" t="s">
        <v>193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54">
        <f>D11*E11</f>
        <v>6.1803399168000005E-2</v>
      </c>
      <c r="O11" s="69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48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7" t="s">
        <v>184</v>
      </c>
      <c r="C16" s="19" t="s">
        <v>195</v>
      </c>
      <c r="D16" s="31">
        <v>0.04</v>
      </c>
      <c r="E16" s="28" t="s">
        <v>186</v>
      </c>
      <c r="F16" s="152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7" t="s">
        <v>184</v>
      </c>
      <c r="C18" s="19" t="s">
        <v>196</v>
      </c>
      <c r="D18" s="31">
        <v>0.04</v>
      </c>
      <c r="E18" s="28" t="s">
        <v>186</v>
      </c>
      <c r="F18" s="152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3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" thickBot="1" x14ac:dyDescent="0.3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E3" location="'SU Drawing Part 6'!A1" display="Drawing"/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198</v>
      </c>
      <c r="B1" s="98" t="str">
        <f>SU_02007</f>
        <v>SU_02007</v>
      </c>
    </row>
  </sheetData>
  <hyperlinks>
    <hyperlink ref="B1" location="SU_02007" display="SU_02007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4"/>
  <sheetViews>
    <sheetView zoomScale="70" zoomScaleNormal="70" zoomScaleSheetLayoutView="80" workbookViewId="0">
      <selection activeCell="B16" sqref="B16"/>
    </sheetView>
  </sheetViews>
  <sheetFormatPr baseColWidth="10" defaultColWidth="9.109375" defaultRowHeight="14.4" x14ac:dyDescent="0.3"/>
  <cols>
    <col min="1" max="1" width="9.109375" style="186"/>
    <col min="2" max="2" width="57.109375" style="186" customWidth="1"/>
    <col min="3" max="3" width="55.6640625" style="186" customWidth="1"/>
    <col min="4" max="4" width="9.109375" style="186"/>
    <col min="5" max="5" width="9.5546875" style="186" customWidth="1"/>
    <col min="6" max="13" width="9.109375" style="186"/>
    <col min="14" max="14" width="11.5546875" style="186" customWidth="1"/>
    <col min="15" max="15" width="5.33203125" style="186" customWidth="1"/>
    <col min="16" max="16384" width="9.109375" style="186"/>
  </cols>
  <sheetData>
    <row r="1" spans="1:15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5" x14ac:dyDescent="0.3">
      <c r="A2" s="187" t="s">
        <v>0</v>
      </c>
      <c r="B2" s="188" t="s">
        <v>37</v>
      </c>
      <c r="C2" s="189"/>
      <c r="D2" s="189"/>
      <c r="E2" s="97" t="s">
        <v>127</v>
      </c>
      <c r="F2" s="189"/>
      <c r="G2" s="189"/>
      <c r="H2" s="189"/>
      <c r="I2" s="189"/>
      <c r="J2" s="187" t="s">
        <v>1</v>
      </c>
      <c r="K2" s="190">
        <v>81</v>
      </c>
      <c r="L2" s="189"/>
      <c r="M2" s="187" t="s">
        <v>2</v>
      </c>
      <c r="N2" s="104">
        <f>SU_A0300_pa+SU_A0300_m+SU_A0300_p+SU_A0300_f</f>
        <v>78.034203242295646</v>
      </c>
      <c r="O2" s="191"/>
    </row>
    <row r="3" spans="1:15" x14ac:dyDescent="0.3">
      <c r="A3" s="187" t="s">
        <v>3</v>
      </c>
      <c r="B3" s="188" t="s">
        <v>130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7" t="s">
        <v>4</v>
      </c>
      <c r="N3" s="89">
        <v>2</v>
      </c>
      <c r="O3" s="191"/>
    </row>
    <row r="4" spans="1:15" x14ac:dyDescent="0.3">
      <c r="A4" s="187" t="s">
        <v>5</v>
      </c>
      <c r="B4" s="192" t="s">
        <v>226</v>
      </c>
      <c r="C4" s="189"/>
      <c r="D4" s="189"/>
      <c r="E4" s="189"/>
      <c r="F4" s="189"/>
      <c r="G4" s="189"/>
      <c r="H4" s="189"/>
      <c r="I4" s="189"/>
      <c r="J4" s="193" t="s">
        <v>6</v>
      </c>
      <c r="K4" s="189"/>
      <c r="L4" s="189"/>
      <c r="M4" s="189"/>
      <c r="N4" s="189"/>
      <c r="O4" s="191"/>
    </row>
    <row r="5" spans="1:15" x14ac:dyDescent="0.3">
      <c r="A5" s="187" t="s">
        <v>7</v>
      </c>
      <c r="B5" s="194" t="s">
        <v>227</v>
      </c>
      <c r="C5" s="189"/>
      <c r="D5" s="189"/>
      <c r="E5" s="189"/>
      <c r="F5" s="189"/>
      <c r="G5" s="189"/>
      <c r="H5" s="189"/>
      <c r="I5" s="189"/>
      <c r="J5" s="193" t="s">
        <v>8</v>
      </c>
      <c r="K5" s="189"/>
      <c r="L5" s="189"/>
      <c r="M5" s="187" t="s">
        <v>9</v>
      </c>
      <c r="N5" s="77">
        <f>N2*N3</f>
        <v>156.06840648459129</v>
      </c>
      <c r="O5" s="191"/>
    </row>
    <row r="6" spans="1:15" x14ac:dyDescent="0.3">
      <c r="A6" s="187" t="s">
        <v>10</v>
      </c>
      <c r="B6" s="188"/>
      <c r="C6" s="189"/>
      <c r="D6" s="189"/>
      <c r="E6" s="189"/>
      <c r="F6" s="189"/>
      <c r="G6" s="189"/>
      <c r="H6" s="189"/>
      <c r="I6" s="189"/>
      <c r="J6" s="193" t="s">
        <v>12</v>
      </c>
      <c r="K6" s="189"/>
      <c r="L6" s="189"/>
      <c r="M6" s="189"/>
      <c r="N6" s="189"/>
      <c r="O6" s="191"/>
    </row>
    <row r="7" spans="1:15" x14ac:dyDescent="0.3">
      <c r="A7" s="187" t="s">
        <v>13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5" x14ac:dyDescent="0.3">
      <c r="A8" s="195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5" x14ac:dyDescent="0.3">
      <c r="A9" s="187" t="s">
        <v>14</v>
      </c>
      <c r="B9" s="187" t="s">
        <v>15</v>
      </c>
      <c r="C9" s="187" t="s">
        <v>16</v>
      </c>
      <c r="D9" s="187" t="s">
        <v>17</v>
      </c>
      <c r="E9" s="187" t="s">
        <v>18</v>
      </c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5" x14ac:dyDescent="0.3">
      <c r="A10" s="196">
        <v>10</v>
      </c>
      <c r="B10" s="95" t="str">
        <f>SU_03001!B5</f>
        <v>Upper Back Bearing Support</v>
      </c>
      <c r="C10" s="77">
        <f>SU_03001!N2</f>
        <v>14.091490534400002</v>
      </c>
      <c r="D10" s="197">
        <f>SU_03001_q</f>
        <v>1</v>
      </c>
      <c r="E10" s="77">
        <f t="shared" ref="E10:E16" si="0">C10*D10</f>
        <v>14.091490534400002</v>
      </c>
      <c r="F10" s="189"/>
      <c r="G10" s="189"/>
      <c r="H10" s="189"/>
      <c r="I10" s="189"/>
      <c r="J10" s="189"/>
      <c r="K10" s="189"/>
      <c r="L10" s="189"/>
      <c r="M10" s="189"/>
      <c r="N10" s="189"/>
      <c r="O10" s="191"/>
    </row>
    <row r="11" spans="1:15" x14ac:dyDescent="0.3">
      <c r="A11" s="196">
        <v>20</v>
      </c>
      <c r="B11" s="95" t="str">
        <f>SU_03002!B5</f>
        <v>Inner Bearing Support</v>
      </c>
      <c r="C11" s="77">
        <f>SU_03002!N2</f>
        <v>4.6183805439999999</v>
      </c>
      <c r="D11" s="197">
        <f>SU_03002_q</f>
        <v>2</v>
      </c>
      <c r="E11" s="77">
        <f t="shared" si="0"/>
        <v>9.2367610879999997</v>
      </c>
      <c r="F11" s="192"/>
      <c r="G11" s="192"/>
      <c r="H11" s="192"/>
      <c r="I11" s="192"/>
      <c r="J11" s="192"/>
      <c r="K11" s="192"/>
      <c r="L11" s="192"/>
      <c r="M11" s="192"/>
      <c r="N11" s="192"/>
      <c r="O11" s="191"/>
    </row>
    <row r="12" spans="1:15" x14ac:dyDescent="0.3">
      <c r="A12" s="196">
        <v>30</v>
      </c>
      <c r="B12" s="95" t="str">
        <f>SU_03003!B5</f>
        <v>Upper Back A-arm tube (Front)  Carbon Fiber Tube</v>
      </c>
      <c r="C12" s="77">
        <f>SU_03003!N2</f>
        <v>10.876934879999999</v>
      </c>
      <c r="D12" s="197">
        <f>SU_03003_q</f>
        <v>1</v>
      </c>
      <c r="E12" s="77">
        <f t="shared" si="0"/>
        <v>10.876934879999999</v>
      </c>
      <c r="F12" s="192"/>
      <c r="G12" s="192"/>
      <c r="H12" s="192"/>
      <c r="I12" s="192"/>
      <c r="J12" s="192"/>
      <c r="K12" s="192"/>
      <c r="L12" s="192"/>
      <c r="M12" s="192"/>
      <c r="N12" s="192"/>
      <c r="O12" s="67"/>
    </row>
    <row r="13" spans="1:15" s="198" customFormat="1" x14ac:dyDescent="0.3">
      <c r="A13" s="196">
        <v>40</v>
      </c>
      <c r="B13" s="95" t="str">
        <f>SU_03004!B5</f>
        <v>Upper Back A-arm tube (Back)  Carbon Fiber Tube</v>
      </c>
      <c r="C13" s="77">
        <f>SU_03004!N2</f>
        <v>4.3445228399999989</v>
      </c>
      <c r="D13" s="197">
        <f>SU_03004_q</f>
        <v>1</v>
      </c>
      <c r="E13" s="77">
        <f t="shared" si="0"/>
        <v>4.3445228399999989</v>
      </c>
      <c r="F13" s="192"/>
      <c r="G13" s="192"/>
      <c r="H13" s="192"/>
      <c r="I13" s="192"/>
      <c r="J13" s="192"/>
      <c r="K13" s="192"/>
      <c r="L13" s="192"/>
      <c r="M13" s="192"/>
      <c r="N13" s="192"/>
      <c r="O13" s="67"/>
    </row>
    <row r="14" spans="1:15" s="198" customFormat="1" x14ac:dyDescent="0.3">
      <c r="A14" s="196">
        <v>50</v>
      </c>
      <c r="B14" s="95" t="str">
        <f>SU_03005!B5</f>
        <v>Spacer 1</v>
      </c>
      <c r="C14" s="77">
        <f>SU_03005!N2</f>
        <v>2.6577472800000002</v>
      </c>
      <c r="D14" s="197">
        <f>SU_03005_q</f>
        <v>2</v>
      </c>
      <c r="E14" s="77">
        <f t="shared" si="0"/>
        <v>5.3154945600000003</v>
      </c>
      <c r="F14" s="192"/>
      <c r="G14" s="192"/>
      <c r="H14" s="192"/>
      <c r="I14" s="192"/>
      <c r="J14" s="192"/>
      <c r="K14" s="192"/>
      <c r="L14" s="192"/>
      <c r="M14" s="192"/>
      <c r="N14" s="192"/>
      <c r="O14" s="199"/>
    </row>
    <row r="15" spans="1:15" s="198" customFormat="1" x14ac:dyDescent="0.3">
      <c r="A15" s="196">
        <v>60</v>
      </c>
      <c r="B15" s="95" t="str">
        <f>SU_03006!B5</f>
        <v>Spacer 2</v>
      </c>
      <c r="C15" s="77">
        <f>SU_03006!N2</f>
        <v>2.6541978240000001</v>
      </c>
      <c r="D15" s="197">
        <f>SU_03006_q</f>
        <v>4</v>
      </c>
      <c r="E15" s="77"/>
      <c r="F15" s="192"/>
      <c r="G15" s="192"/>
      <c r="H15" s="192"/>
      <c r="I15" s="192"/>
      <c r="J15" s="192"/>
      <c r="K15" s="192"/>
      <c r="L15" s="192"/>
      <c r="M15" s="192"/>
      <c r="N15" s="192"/>
      <c r="O15" s="199"/>
    </row>
    <row r="16" spans="1:15" s="198" customFormat="1" x14ac:dyDescent="0.3">
      <c r="A16" s="196">
        <v>70</v>
      </c>
      <c r="B16" s="95" t="str">
        <f>SU_03007!B5</f>
        <v>Outboard A-arm Insert</v>
      </c>
      <c r="C16" s="77">
        <f>SU_03007!N2</f>
        <v>2.015803399168</v>
      </c>
      <c r="D16" s="197">
        <f>SU_03007_q</f>
        <v>2</v>
      </c>
      <c r="E16" s="77">
        <f t="shared" si="0"/>
        <v>4.031606798336</v>
      </c>
      <c r="F16" s="192"/>
      <c r="G16" s="192"/>
      <c r="H16" s="192"/>
      <c r="I16" s="192"/>
      <c r="J16" s="192"/>
      <c r="K16" s="192"/>
      <c r="L16" s="192"/>
      <c r="M16" s="192"/>
      <c r="N16" s="192"/>
      <c r="O16" s="199"/>
    </row>
    <row r="17" spans="1:15" x14ac:dyDescent="0.3">
      <c r="A17" s="195"/>
      <c r="B17" s="189"/>
      <c r="C17" s="189"/>
      <c r="D17" s="201" t="s">
        <v>18</v>
      </c>
      <c r="E17" s="202">
        <f>SUM(E10:E16)</f>
        <v>47.896810700735998</v>
      </c>
      <c r="F17" s="192"/>
      <c r="G17" s="192"/>
      <c r="H17" s="192"/>
      <c r="I17" s="192"/>
      <c r="J17" s="192"/>
      <c r="K17" s="192"/>
      <c r="L17" s="192"/>
      <c r="M17" s="192"/>
      <c r="N17" s="192"/>
      <c r="O17" s="191"/>
    </row>
    <row r="18" spans="1:15" x14ac:dyDescent="0.3">
      <c r="A18" s="195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91"/>
    </row>
    <row r="19" spans="1:15" x14ac:dyDescent="0.3">
      <c r="A19" s="187" t="s">
        <v>14</v>
      </c>
      <c r="B19" s="187" t="s">
        <v>19</v>
      </c>
      <c r="C19" s="187" t="s">
        <v>20</v>
      </c>
      <c r="D19" s="187" t="s">
        <v>21</v>
      </c>
      <c r="E19" s="187" t="s">
        <v>22</v>
      </c>
      <c r="F19" s="187" t="s">
        <v>23</v>
      </c>
      <c r="G19" s="187" t="s">
        <v>24</v>
      </c>
      <c r="H19" s="187" t="s">
        <v>25</v>
      </c>
      <c r="I19" s="187" t="s">
        <v>26</v>
      </c>
      <c r="J19" s="187" t="s">
        <v>27</v>
      </c>
      <c r="K19" s="187" t="s">
        <v>28</v>
      </c>
      <c r="L19" s="187" t="s">
        <v>29</v>
      </c>
      <c r="M19" s="187" t="s">
        <v>17</v>
      </c>
      <c r="N19" s="187" t="s">
        <v>18</v>
      </c>
      <c r="O19" s="191"/>
    </row>
    <row r="20" spans="1:15" ht="14.4" customHeight="1" x14ac:dyDescent="0.3">
      <c r="A20" s="196">
        <v>10</v>
      </c>
      <c r="B20" s="196" t="s">
        <v>132</v>
      </c>
      <c r="C20" s="196"/>
      <c r="D20" s="136">
        <f>0.03*E20^2+5</f>
        <v>6.92</v>
      </c>
      <c r="E20" s="196">
        <v>8</v>
      </c>
      <c r="F20" s="196" t="s">
        <v>30</v>
      </c>
      <c r="G20" s="196"/>
      <c r="H20" s="78"/>
      <c r="I20" s="203"/>
      <c r="J20" s="80"/>
      <c r="K20" s="78"/>
      <c r="L20" s="78"/>
      <c r="M20" s="78">
        <v>3</v>
      </c>
      <c r="N20" s="77">
        <f>M20*D20</f>
        <v>20.759999999999998</v>
      </c>
      <c r="O20" s="191"/>
    </row>
    <row r="21" spans="1:15" s="210" customFormat="1" ht="14.4" customHeight="1" x14ac:dyDescent="0.3">
      <c r="A21" s="196">
        <v>20</v>
      </c>
      <c r="B21" s="204" t="s">
        <v>137</v>
      </c>
      <c r="C21" s="205" t="s">
        <v>138</v>
      </c>
      <c r="D21" s="77"/>
      <c r="E21" s="206"/>
      <c r="F21" s="206"/>
      <c r="G21" s="206"/>
      <c r="H21" s="78"/>
      <c r="I21" s="207"/>
      <c r="J21" s="106"/>
      <c r="K21" s="83"/>
      <c r="L21" s="208"/>
      <c r="M21" s="85"/>
      <c r="N21" s="77">
        <f>M21*D21</f>
        <v>0</v>
      </c>
      <c r="O21" s="209"/>
    </row>
    <row r="22" spans="1:15" ht="14.4" customHeight="1" x14ac:dyDescent="0.3">
      <c r="A22" s="196">
        <v>30</v>
      </c>
      <c r="B22" s="204" t="s">
        <v>137</v>
      </c>
      <c r="C22" s="205" t="s">
        <v>139</v>
      </c>
      <c r="D22" s="77"/>
      <c r="E22" s="196"/>
      <c r="F22" s="196"/>
      <c r="G22" s="196"/>
      <c r="H22" s="78"/>
      <c r="I22" s="85"/>
      <c r="J22" s="86"/>
      <c r="K22" s="78"/>
      <c r="L22" s="208"/>
      <c r="M22" s="78"/>
      <c r="N22" s="77">
        <f>M22*D22</f>
        <v>0</v>
      </c>
      <c r="O22" s="191"/>
    </row>
    <row r="23" spans="1:15" x14ac:dyDescent="0.3">
      <c r="A23" s="211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187" t="s">
        <v>18</v>
      </c>
      <c r="N23" s="202">
        <f>SUM(N20:N22)</f>
        <v>20.759999999999998</v>
      </c>
      <c r="O23" s="191"/>
    </row>
    <row r="24" spans="1:15" x14ac:dyDescent="0.3">
      <c r="A24" s="195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91"/>
    </row>
    <row r="25" spans="1:15" s="214" customFormat="1" x14ac:dyDescent="0.3">
      <c r="A25" s="187" t="s">
        <v>14</v>
      </c>
      <c r="B25" s="187" t="s">
        <v>31</v>
      </c>
      <c r="C25" s="187" t="s">
        <v>20</v>
      </c>
      <c r="D25" s="187" t="s">
        <v>21</v>
      </c>
      <c r="E25" s="187" t="s">
        <v>32</v>
      </c>
      <c r="F25" s="187" t="s">
        <v>17</v>
      </c>
      <c r="G25" s="187" t="s">
        <v>33</v>
      </c>
      <c r="H25" s="187" t="s">
        <v>34</v>
      </c>
      <c r="I25" s="187" t="s">
        <v>18</v>
      </c>
      <c r="J25" s="212"/>
      <c r="K25" s="212"/>
      <c r="L25" s="212"/>
      <c r="M25" s="212"/>
      <c r="N25" s="212"/>
      <c r="O25" s="213"/>
    </row>
    <row r="26" spans="1:15" x14ac:dyDescent="0.3">
      <c r="A26" s="204">
        <v>10</v>
      </c>
      <c r="B26" s="215" t="s">
        <v>140</v>
      </c>
      <c r="C26" s="215" t="s">
        <v>141</v>
      </c>
      <c r="D26" s="139">
        <v>0.02</v>
      </c>
      <c r="E26" s="204" t="s">
        <v>142</v>
      </c>
      <c r="F26" s="216">
        <f>3*2*PI()*0.8*0.5</f>
        <v>7.5398223686155035</v>
      </c>
      <c r="G26" s="204"/>
      <c r="H26" s="204"/>
      <c r="I26" s="139">
        <f>D26*F26</f>
        <v>0.15079644737231007</v>
      </c>
      <c r="J26" s="189"/>
      <c r="K26" s="189"/>
      <c r="L26" s="189"/>
      <c r="M26" s="189"/>
      <c r="N26" s="189"/>
      <c r="O26" s="191"/>
    </row>
    <row r="27" spans="1:15" x14ac:dyDescent="0.3">
      <c r="A27" s="196">
        <v>20</v>
      </c>
      <c r="B27" s="88" t="s">
        <v>143</v>
      </c>
      <c r="C27" s="215" t="s">
        <v>144</v>
      </c>
      <c r="D27" s="77">
        <v>0.13</v>
      </c>
      <c r="E27" s="88" t="s">
        <v>35</v>
      </c>
      <c r="F27" s="217">
        <v>3</v>
      </c>
      <c r="G27" s="196"/>
      <c r="H27" s="196"/>
      <c r="I27" s="77">
        <f t="shared" ref="I27:I43" si="1">IF(H27="",D27*F27,D27*F27*H27)</f>
        <v>0.39</v>
      </c>
      <c r="J27" s="189"/>
      <c r="K27" s="189"/>
      <c r="L27" s="189"/>
      <c r="M27" s="189"/>
      <c r="N27" s="189"/>
      <c r="O27" s="191"/>
    </row>
    <row r="28" spans="1:15" ht="15" customHeight="1" x14ac:dyDescent="0.3">
      <c r="A28" s="196">
        <v>30</v>
      </c>
      <c r="B28" s="140" t="s">
        <v>145</v>
      </c>
      <c r="C28" s="196" t="s">
        <v>146</v>
      </c>
      <c r="D28" s="77">
        <v>0.02</v>
      </c>
      <c r="E28" s="196" t="s">
        <v>35</v>
      </c>
      <c r="F28" s="217">
        <v>4</v>
      </c>
      <c r="G28" s="196"/>
      <c r="H28" s="196"/>
      <c r="I28" s="77">
        <f t="shared" si="1"/>
        <v>0.08</v>
      </c>
      <c r="J28" s="189"/>
      <c r="K28" s="189"/>
      <c r="L28" s="189"/>
      <c r="M28" s="189"/>
      <c r="N28" s="189"/>
      <c r="O28" s="191"/>
    </row>
    <row r="29" spans="1:15" s="198" customFormat="1" x14ac:dyDescent="0.3">
      <c r="A29" s="196">
        <v>40</v>
      </c>
      <c r="B29" s="140" t="s">
        <v>145</v>
      </c>
      <c r="C29" s="196" t="s">
        <v>147</v>
      </c>
      <c r="D29" s="77">
        <v>0.02</v>
      </c>
      <c r="E29" s="196" t="s">
        <v>35</v>
      </c>
      <c r="F29" s="217">
        <v>6</v>
      </c>
      <c r="G29" s="196"/>
      <c r="H29" s="196"/>
      <c r="I29" s="77">
        <f t="shared" si="1"/>
        <v>0.12</v>
      </c>
      <c r="J29" s="192"/>
      <c r="K29" s="192"/>
      <c r="L29" s="192"/>
      <c r="M29" s="192"/>
      <c r="N29" s="192"/>
      <c r="O29" s="199"/>
    </row>
    <row r="30" spans="1:15" s="198" customFormat="1" x14ac:dyDescent="0.3">
      <c r="A30" s="196">
        <v>50</v>
      </c>
      <c r="B30" s="140" t="s">
        <v>148</v>
      </c>
      <c r="C30" s="196" t="s">
        <v>149</v>
      </c>
      <c r="D30" s="77">
        <v>0.02</v>
      </c>
      <c r="E30" s="196" t="s">
        <v>41</v>
      </c>
      <c r="F30" s="217">
        <v>18</v>
      </c>
      <c r="G30" s="196"/>
      <c r="H30" s="196"/>
      <c r="I30" s="77">
        <f t="shared" si="1"/>
        <v>0.36</v>
      </c>
      <c r="J30" s="192"/>
      <c r="K30" s="192"/>
      <c r="L30" s="192"/>
      <c r="M30" s="192"/>
      <c r="N30" s="192"/>
      <c r="O30" s="199"/>
    </row>
    <row r="31" spans="1:15" s="198" customFormat="1" x14ac:dyDescent="0.3">
      <c r="A31" s="196">
        <v>60</v>
      </c>
      <c r="B31" s="88" t="s">
        <v>177</v>
      </c>
      <c r="C31" s="196" t="s">
        <v>151</v>
      </c>
      <c r="D31" s="77">
        <v>0.13</v>
      </c>
      <c r="E31" s="88" t="s">
        <v>35</v>
      </c>
      <c r="F31" s="217">
        <v>2</v>
      </c>
      <c r="G31" s="196"/>
      <c r="H31" s="196"/>
      <c r="I31" s="77">
        <f t="shared" si="1"/>
        <v>0.26</v>
      </c>
      <c r="J31" s="192"/>
      <c r="K31" s="192"/>
      <c r="L31" s="192"/>
      <c r="M31" s="192"/>
      <c r="N31" s="192"/>
      <c r="O31" s="199"/>
    </row>
    <row r="32" spans="1:15" s="198" customFormat="1" x14ac:dyDescent="0.3">
      <c r="A32" s="204">
        <v>70</v>
      </c>
      <c r="B32" s="88" t="s">
        <v>177</v>
      </c>
      <c r="C32" s="196" t="s">
        <v>150</v>
      </c>
      <c r="D32" s="77">
        <v>0.13</v>
      </c>
      <c r="E32" s="88" t="s">
        <v>35</v>
      </c>
      <c r="F32" s="217">
        <v>2</v>
      </c>
      <c r="G32" s="196"/>
      <c r="H32" s="196"/>
      <c r="I32" s="77">
        <f t="shared" si="1"/>
        <v>0.26</v>
      </c>
      <c r="J32" s="192"/>
      <c r="K32" s="192"/>
      <c r="L32" s="192"/>
      <c r="M32" s="192"/>
      <c r="N32" s="192"/>
      <c r="O32" s="199"/>
    </row>
    <row r="33" spans="1:15" s="198" customFormat="1" x14ac:dyDescent="0.3">
      <c r="A33" s="196">
        <v>80</v>
      </c>
      <c r="B33" s="88" t="s">
        <v>177</v>
      </c>
      <c r="C33" s="196" t="s">
        <v>152</v>
      </c>
      <c r="D33" s="77">
        <v>0.13</v>
      </c>
      <c r="E33" s="88" t="s">
        <v>35</v>
      </c>
      <c r="F33" s="217">
        <v>2</v>
      </c>
      <c r="G33" s="196"/>
      <c r="H33" s="196"/>
      <c r="I33" s="77">
        <f t="shared" si="1"/>
        <v>0.26</v>
      </c>
      <c r="J33" s="192"/>
      <c r="K33" s="192"/>
      <c r="L33" s="192"/>
      <c r="M33" s="192"/>
      <c r="N33" s="192"/>
      <c r="O33" s="199"/>
    </row>
    <row r="34" spans="1:15" s="198" customFormat="1" x14ac:dyDescent="0.3">
      <c r="A34" s="196">
        <v>90</v>
      </c>
      <c r="B34" s="218" t="s">
        <v>153</v>
      </c>
      <c r="C34" s="196" t="s">
        <v>155</v>
      </c>
      <c r="D34" s="77">
        <v>10</v>
      </c>
      <c r="E34" s="196" t="s">
        <v>154</v>
      </c>
      <c r="F34" s="217">
        <f>6*0.03*2*3.14*0.06</f>
        <v>6.7823999999999995E-2</v>
      </c>
      <c r="G34" s="196"/>
      <c r="H34" s="196"/>
      <c r="I34" s="77">
        <f t="shared" si="1"/>
        <v>0.67823999999999995</v>
      </c>
      <c r="J34" s="192"/>
      <c r="K34" s="192"/>
      <c r="L34" s="192"/>
      <c r="M34" s="192"/>
      <c r="N34" s="192"/>
      <c r="O34" s="199"/>
    </row>
    <row r="35" spans="1:15" s="198" customFormat="1" x14ac:dyDescent="0.3">
      <c r="A35" s="196">
        <v>100</v>
      </c>
      <c r="B35" s="218" t="s">
        <v>157</v>
      </c>
      <c r="C35" s="196" t="s">
        <v>156</v>
      </c>
      <c r="D35" s="77">
        <v>20</v>
      </c>
      <c r="E35" s="196" t="s">
        <v>154</v>
      </c>
      <c r="F35" s="217">
        <f>6*0.03*2*3.14*0.06</f>
        <v>6.7823999999999995E-2</v>
      </c>
      <c r="G35" s="196"/>
      <c r="H35" s="196"/>
      <c r="I35" s="77">
        <f t="shared" si="1"/>
        <v>1.3564799999999999</v>
      </c>
      <c r="J35" s="192"/>
      <c r="K35" s="192"/>
      <c r="L35" s="192"/>
      <c r="M35" s="192"/>
      <c r="N35" s="192"/>
      <c r="O35" s="199"/>
    </row>
    <row r="36" spans="1:15" s="198" customFormat="1" x14ac:dyDescent="0.3">
      <c r="A36" s="196">
        <v>110</v>
      </c>
      <c r="B36" s="215" t="s">
        <v>158</v>
      </c>
      <c r="C36" s="215" t="s">
        <v>159</v>
      </c>
      <c r="D36" s="139">
        <v>0.06</v>
      </c>
      <c r="E36" s="204" t="s">
        <v>32</v>
      </c>
      <c r="F36" s="204">
        <v>1</v>
      </c>
      <c r="G36" s="196"/>
      <c r="H36" s="196"/>
      <c r="I36" s="77">
        <f t="shared" si="1"/>
        <v>0.06</v>
      </c>
      <c r="J36" s="192"/>
      <c r="K36" s="192"/>
      <c r="L36" s="192"/>
      <c r="M36" s="192"/>
      <c r="N36" s="192"/>
      <c r="O36" s="199"/>
    </row>
    <row r="37" spans="1:15" s="198" customFormat="1" x14ac:dyDescent="0.3">
      <c r="A37" s="196">
        <v>120</v>
      </c>
      <c r="B37" s="219" t="s">
        <v>160</v>
      </c>
      <c r="C37" s="219" t="s">
        <v>161</v>
      </c>
      <c r="D37" s="141">
        <v>0.13</v>
      </c>
      <c r="E37" s="220" t="s">
        <v>32</v>
      </c>
      <c r="F37" s="220">
        <v>4</v>
      </c>
      <c r="G37" s="196"/>
      <c r="H37" s="196"/>
      <c r="I37" s="77">
        <f t="shared" si="1"/>
        <v>0.52</v>
      </c>
      <c r="J37" s="192"/>
      <c r="K37" s="192"/>
      <c r="L37" s="192"/>
      <c r="M37" s="192"/>
      <c r="N37" s="192"/>
      <c r="O37" s="199"/>
    </row>
    <row r="38" spans="1:15" s="198" customFormat="1" x14ac:dyDescent="0.3">
      <c r="A38" s="196">
        <v>130</v>
      </c>
      <c r="B38" s="221" t="s">
        <v>160</v>
      </c>
      <c r="C38" s="221" t="s">
        <v>162</v>
      </c>
      <c r="D38" s="142">
        <v>0.13</v>
      </c>
      <c r="E38" s="222" t="s">
        <v>32</v>
      </c>
      <c r="F38" s="222">
        <v>4</v>
      </c>
      <c r="G38" s="196"/>
      <c r="H38" s="196"/>
      <c r="I38" s="77">
        <f t="shared" si="1"/>
        <v>0.52</v>
      </c>
      <c r="J38" s="192"/>
      <c r="K38" s="192"/>
      <c r="L38" s="192"/>
      <c r="M38" s="192"/>
      <c r="N38" s="192"/>
      <c r="O38" s="199"/>
    </row>
    <row r="39" spans="1:15" s="198" customFormat="1" x14ac:dyDescent="0.3">
      <c r="A39" s="196">
        <v>140</v>
      </c>
      <c r="B39" s="221" t="s">
        <v>158</v>
      </c>
      <c r="C39" s="221" t="s">
        <v>163</v>
      </c>
      <c r="D39" s="142">
        <v>0.06</v>
      </c>
      <c r="E39" s="222" t="s">
        <v>32</v>
      </c>
      <c r="F39" s="222">
        <v>1</v>
      </c>
      <c r="G39" s="196"/>
      <c r="H39" s="196"/>
      <c r="I39" s="77">
        <f t="shared" si="1"/>
        <v>0.06</v>
      </c>
      <c r="J39" s="192"/>
      <c r="K39" s="192"/>
      <c r="L39" s="192"/>
      <c r="M39" s="192"/>
      <c r="N39" s="192"/>
      <c r="O39" s="199"/>
    </row>
    <row r="40" spans="1:15" s="198" customFormat="1" x14ac:dyDescent="0.3">
      <c r="A40" s="196">
        <v>150</v>
      </c>
      <c r="B40" s="221" t="s">
        <v>160</v>
      </c>
      <c r="C40" s="221" t="s">
        <v>164</v>
      </c>
      <c r="D40" s="142">
        <v>0.13</v>
      </c>
      <c r="E40" s="222" t="s">
        <v>32</v>
      </c>
      <c r="F40" s="222">
        <v>2</v>
      </c>
      <c r="G40" s="196"/>
      <c r="H40" s="196"/>
      <c r="I40" s="77">
        <f t="shared" si="1"/>
        <v>0.26</v>
      </c>
      <c r="J40" s="192"/>
      <c r="K40" s="192"/>
      <c r="L40" s="192"/>
      <c r="M40" s="192"/>
      <c r="N40" s="192"/>
      <c r="O40" s="199"/>
    </row>
    <row r="41" spans="1:15" s="198" customFormat="1" x14ac:dyDescent="0.3">
      <c r="A41" s="196">
        <v>160</v>
      </c>
      <c r="B41" s="221" t="s">
        <v>160</v>
      </c>
      <c r="C41" s="221" t="s">
        <v>165</v>
      </c>
      <c r="D41" s="142">
        <v>0.13</v>
      </c>
      <c r="E41" s="222" t="s">
        <v>32</v>
      </c>
      <c r="F41" s="222">
        <v>2</v>
      </c>
      <c r="G41" s="196"/>
      <c r="H41" s="196"/>
      <c r="I41" s="77">
        <f t="shared" si="1"/>
        <v>0.26</v>
      </c>
      <c r="J41" s="192"/>
      <c r="K41" s="192"/>
      <c r="L41" s="192"/>
      <c r="M41" s="192"/>
      <c r="N41" s="192"/>
      <c r="O41" s="199"/>
    </row>
    <row r="42" spans="1:15" s="214" customFormat="1" x14ac:dyDescent="0.3">
      <c r="A42" s="196">
        <v>170</v>
      </c>
      <c r="B42" s="223" t="s">
        <v>166</v>
      </c>
      <c r="C42" s="224" t="s">
        <v>167</v>
      </c>
      <c r="D42" s="142">
        <v>0.75</v>
      </c>
      <c r="E42" s="222" t="s">
        <v>32</v>
      </c>
      <c r="F42" s="222">
        <v>3</v>
      </c>
      <c r="G42" s="217"/>
      <c r="H42" s="217"/>
      <c r="I42" s="77">
        <f t="shared" si="1"/>
        <v>2.25</v>
      </c>
      <c r="J42" s="192"/>
      <c r="K42" s="192"/>
      <c r="L42" s="192"/>
      <c r="M42" s="192"/>
      <c r="N42" s="192"/>
      <c r="O42" s="213"/>
    </row>
    <row r="43" spans="1:15" s="198" customFormat="1" x14ac:dyDescent="0.3">
      <c r="A43" s="196">
        <v>180</v>
      </c>
      <c r="B43" s="223" t="s">
        <v>168</v>
      </c>
      <c r="C43" s="224" t="s">
        <v>169</v>
      </c>
      <c r="D43" s="142">
        <v>0.25</v>
      </c>
      <c r="E43" s="224" t="s">
        <v>32</v>
      </c>
      <c r="F43" s="222">
        <v>3</v>
      </c>
      <c r="G43" s="196"/>
      <c r="H43" s="196"/>
      <c r="I43" s="77">
        <f t="shared" si="1"/>
        <v>0.75</v>
      </c>
      <c r="J43" s="192"/>
      <c r="K43" s="192"/>
      <c r="L43" s="192"/>
      <c r="M43" s="192"/>
      <c r="N43" s="192"/>
      <c r="O43" s="199"/>
    </row>
    <row r="44" spans="1:15" x14ac:dyDescent="0.3">
      <c r="A44" s="211"/>
      <c r="B44" s="212"/>
      <c r="C44" s="212"/>
      <c r="D44" s="212"/>
      <c r="E44" s="212"/>
      <c r="F44" s="212"/>
      <c r="G44" s="212"/>
      <c r="H44" s="201" t="s">
        <v>18</v>
      </c>
      <c r="I44" s="202">
        <f>SUM(I26:I43)</f>
        <v>8.595516447372308</v>
      </c>
      <c r="J44" s="189"/>
      <c r="K44" s="189"/>
      <c r="L44" s="189"/>
      <c r="M44" s="189"/>
      <c r="N44" s="189"/>
      <c r="O44" s="191"/>
    </row>
    <row r="45" spans="1:15" x14ac:dyDescent="0.3">
      <c r="A45" s="195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91"/>
    </row>
    <row r="46" spans="1:15" x14ac:dyDescent="0.3">
      <c r="A46" s="187" t="s">
        <v>14</v>
      </c>
      <c r="B46" s="187" t="s">
        <v>36</v>
      </c>
      <c r="C46" s="187" t="s">
        <v>20</v>
      </c>
      <c r="D46" s="187" t="s">
        <v>21</v>
      </c>
      <c r="E46" s="187" t="s">
        <v>22</v>
      </c>
      <c r="F46" s="187" t="s">
        <v>23</v>
      </c>
      <c r="G46" s="187" t="s">
        <v>24</v>
      </c>
      <c r="H46" s="187" t="s">
        <v>25</v>
      </c>
      <c r="I46" s="187" t="s">
        <v>17</v>
      </c>
      <c r="J46" s="187" t="s">
        <v>18</v>
      </c>
      <c r="K46" s="189"/>
      <c r="L46" s="189"/>
      <c r="M46" s="189"/>
      <c r="N46" s="189"/>
      <c r="O46" s="191"/>
    </row>
    <row r="47" spans="1:15" x14ac:dyDescent="0.3">
      <c r="A47" s="204">
        <v>10</v>
      </c>
      <c r="B47" s="204" t="s">
        <v>170</v>
      </c>
      <c r="C47" s="204" t="s">
        <v>171</v>
      </c>
      <c r="D47" s="225">
        <f>0.8/105154*E47^2*G47*SQRT(G47)+(0.003*EXP(0.319*E47))</f>
        <v>0.16167651505774214</v>
      </c>
      <c r="E47" s="204">
        <v>8</v>
      </c>
      <c r="F47" s="143" t="s">
        <v>30</v>
      </c>
      <c r="G47" s="226">
        <v>40</v>
      </c>
      <c r="H47" s="215" t="s">
        <v>30</v>
      </c>
      <c r="I47" s="144">
        <v>2</v>
      </c>
      <c r="J47" s="145">
        <f>D47*I47</f>
        <v>0.32335303011548427</v>
      </c>
      <c r="K47" s="189"/>
      <c r="L47" s="189"/>
      <c r="M47" s="189"/>
      <c r="N47" s="189"/>
      <c r="O47" s="191"/>
    </row>
    <row r="48" spans="1:15" x14ac:dyDescent="0.3">
      <c r="A48" s="204">
        <v>20</v>
      </c>
      <c r="B48" s="204" t="s">
        <v>170</v>
      </c>
      <c r="C48" s="204" t="s">
        <v>172</v>
      </c>
      <c r="D48" s="225">
        <f>0.8/105154*E48^2*G48*SQRT(G48)+(0.003*EXP(0.319*E48))</f>
        <v>0.26479118861318168</v>
      </c>
      <c r="E48" s="204">
        <v>8</v>
      </c>
      <c r="F48" s="143" t="s">
        <v>30</v>
      </c>
      <c r="G48" s="226">
        <v>60</v>
      </c>
      <c r="H48" s="215" t="s">
        <v>30</v>
      </c>
      <c r="I48" s="146">
        <v>1</v>
      </c>
      <c r="J48" s="139">
        <f>D48*I48</f>
        <v>0.26479118861318168</v>
      </c>
      <c r="K48" s="189"/>
      <c r="L48" s="189"/>
      <c r="M48" s="189"/>
      <c r="N48" s="189"/>
      <c r="O48" s="191"/>
    </row>
    <row r="49" spans="1:15" x14ac:dyDescent="0.3">
      <c r="A49" s="204">
        <v>30</v>
      </c>
      <c r="B49" s="204" t="s">
        <v>173</v>
      </c>
      <c r="C49" s="204" t="s">
        <v>174</v>
      </c>
      <c r="D49" s="227">
        <f>(0.009*EXP(0.2*E49))</f>
        <v>4.4577291819556032E-2</v>
      </c>
      <c r="E49" s="204">
        <v>8</v>
      </c>
      <c r="F49" s="143" t="s">
        <v>30</v>
      </c>
      <c r="G49" s="204"/>
      <c r="H49" s="215"/>
      <c r="I49" s="146">
        <v>3</v>
      </c>
      <c r="J49" s="139">
        <f>D49*I49</f>
        <v>0.1337318754586681</v>
      </c>
      <c r="K49" s="189"/>
      <c r="L49" s="189"/>
      <c r="M49" s="189"/>
      <c r="N49" s="189"/>
      <c r="O49" s="191"/>
    </row>
    <row r="50" spans="1:15" x14ac:dyDescent="0.3">
      <c r="A50" s="204">
        <v>40</v>
      </c>
      <c r="B50" s="204" t="s">
        <v>175</v>
      </c>
      <c r="C50" s="204" t="s">
        <v>176</v>
      </c>
      <c r="D50" s="204">
        <v>0.01</v>
      </c>
      <c r="E50" s="204">
        <v>8</v>
      </c>
      <c r="F50" s="143" t="s">
        <v>30</v>
      </c>
      <c r="G50" s="204"/>
      <c r="H50" s="215"/>
      <c r="I50" s="146">
        <v>6</v>
      </c>
      <c r="J50" s="139">
        <f>D50*I50</f>
        <v>0.06</v>
      </c>
      <c r="K50" s="228"/>
      <c r="L50" s="228"/>
      <c r="M50" s="228"/>
      <c r="N50" s="228"/>
      <c r="O50" s="191"/>
    </row>
    <row r="51" spans="1:15" x14ac:dyDescent="0.3">
      <c r="A51" s="211"/>
      <c r="B51" s="212"/>
      <c r="C51" s="212"/>
      <c r="D51" s="212"/>
      <c r="E51" s="212"/>
      <c r="F51" s="212"/>
      <c r="G51" s="212"/>
      <c r="H51" s="212"/>
      <c r="I51" s="201" t="s">
        <v>18</v>
      </c>
      <c r="J51" s="202">
        <f>SUM(J47:J50)</f>
        <v>0.78187609418733417</v>
      </c>
      <c r="K51" s="189"/>
      <c r="L51" s="189"/>
      <c r="M51" s="189"/>
      <c r="N51" s="189"/>
      <c r="O51" s="191"/>
    </row>
    <row r="52" spans="1:15" x14ac:dyDescent="0.3">
      <c r="A52" s="195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91"/>
    </row>
    <row r="53" spans="1:15" ht="15" thickBot="1" x14ac:dyDescent="0.35">
      <c r="A53" s="229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1"/>
    </row>
    <row r="54" spans="1:15" x14ac:dyDescent="0.3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</row>
  </sheetData>
  <hyperlinks>
    <hyperlink ref="B10" location="SU_03001" display="SU_03001"/>
    <hyperlink ref="B11:B13" location="BR_01001" display="BR_01001"/>
    <hyperlink ref="B14" location="SU_03005" display="SU_03005"/>
    <hyperlink ref="B16" location="SU_03007" display="SU_03007"/>
    <hyperlink ref="B11" location="SU_03002" display="SU_03002"/>
    <hyperlink ref="B12" location="SU_03003" display="SU_03003"/>
    <hyperlink ref="B13" location="SU_03004" display="SU_03004"/>
    <hyperlink ref="B15" location="SU_03006" display="SU_03006"/>
    <hyperlink ref="E2" location="SU_A03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4"/>
  <sheetViews>
    <sheetView zoomScale="68" zoomScaleNormal="68" zoomScaleSheetLayoutView="80" workbookViewId="0">
      <selection activeCell="B14" sqref="B14"/>
    </sheetView>
  </sheetViews>
  <sheetFormatPr baseColWidth="10" defaultColWidth="9.109375" defaultRowHeight="14.4" x14ac:dyDescent="0.3"/>
  <cols>
    <col min="2" max="2" width="57.109375" customWidth="1"/>
    <col min="3" max="3" width="48.21875" customWidth="1"/>
    <col min="5" max="5" width="14.109375" customWidth="1"/>
    <col min="14" max="14" width="13.77734375" customWidth="1"/>
    <col min="15" max="15" width="5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07" t="s">
        <v>0</v>
      </c>
      <c r="B2" s="16" t="s">
        <v>37</v>
      </c>
      <c r="C2" s="58"/>
      <c r="D2" s="58"/>
      <c r="E2" s="97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SU_A0100_pa+SU_A0100_m+SU_A0100_p+SU_A0100_f</f>
        <v>92.982549501495626</v>
      </c>
      <c r="O2" s="64"/>
    </row>
    <row r="3" spans="1:15" x14ac:dyDescent="0.3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3">
      <c r="A4" s="107" t="s">
        <v>5</v>
      </c>
      <c r="B4" s="59" t="s">
        <v>180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3">
      <c r="A5" s="107" t="s">
        <v>7</v>
      </c>
      <c r="B5" s="18" t="s">
        <v>131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185.96509900299125</v>
      </c>
      <c r="O5" s="64"/>
    </row>
    <row r="6" spans="1:15" x14ac:dyDescent="0.3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3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75">
        <v>10</v>
      </c>
      <c r="B10" s="95" t="str">
        <f>'SU 01001'!B5</f>
        <v>Upper Front Bearing Support</v>
      </c>
      <c r="C10" s="77">
        <f>'SU 01001'!N2</f>
        <v>17.5365519056</v>
      </c>
      <c r="D10" s="138">
        <f>SU_01001_q</f>
        <v>1</v>
      </c>
      <c r="E10" s="77">
        <f>C10*D10</f>
        <v>17.5365519056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3">
      <c r="A11" s="75">
        <v>20</v>
      </c>
      <c r="B11" s="95" t="str">
        <f>'SU 01002'!B5</f>
        <v>Inner Bearing Support</v>
      </c>
      <c r="C11" s="77">
        <f>'SU 01002'!N2</f>
        <v>4.6183805439999999</v>
      </c>
      <c r="D11" s="75">
        <f>SU_01002_q</f>
        <v>2</v>
      </c>
      <c r="E11" s="77">
        <f t="shared" ref="E11:E16" si="0">C11*D11</f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3">
      <c r="A12" s="75">
        <v>30</v>
      </c>
      <c r="B12" s="95" t="str">
        <f>'SU 01003'!B5</f>
        <v>Upper Front A-arm tube (Front)  Carbon Fiber Tube</v>
      </c>
      <c r="C12" s="77">
        <f>'SU 01003'!N2</f>
        <v>8.8765790399999975</v>
      </c>
      <c r="D12" s="75">
        <f>SU_01003_q</f>
        <v>1</v>
      </c>
      <c r="E12" s="77">
        <f t="shared" si="0"/>
        <v>8.8765790399999975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3">
      <c r="A13" s="75">
        <v>40</v>
      </c>
      <c r="B13" s="95" t="str">
        <f>'SU 01004'!B5</f>
        <v>Upper Front A-arm tube (Back)  Carbon Fiber Tube</v>
      </c>
      <c r="C13" s="77">
        <f>'SU 01004'!N2</f>
        <v>7.1887787999999979</v>
      </c>
      <c r="D13" s="75">
        <f>SU_01004_q</f>
        <v>1</v>
      </c>
      <c r="E13" s="77">
        <f t="shared" si="0"/>
        <v>7.1887787999999979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3">
      <c r="A14" s="75">
        <v>50</v>
      </c>
      <c r="B14" s="95" t="str">
        <f>'SU 01005'!B5</f>
        <v>Spacer 1</v>
      </c>
      <c r="C14" s="77">
        <f>'SU 01005'!N2</f>
        <v>2.6790440160000002</v>
      </c>
      <c r="D14">
        <f>SU_01005_q</f>
        <v>2</v>
      </c>
      <c r="E14" s="77">
        <f t="shared" si="0"/>
        <v>5.3580880320000004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3">
      <c r="A15" s="75">
        <v>60</v>
      </c>
      <c r="B15" s="95" t="s">
        <v>220</v>
      </c>
      <c r="C15" s="180">
        <f>'SU 01006'!N2</f>
        <v>2.6541978240000001</v>
      </c>
      <c r="D15" s="27">
        <f>SU_01006_q</f>
        <v>4</v>
      </c>
      <c r="E15" s="77">
        <f t="shared" si="0"/>
        <v>10.616791296000001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s="17" customFormat="1" x14ac:dyDescent="0.3">
      <c r="A16" s="75">
        <v>70</v>
      </c>
      <c r="B16" s="95" t="str">
        <f>'SU 01007'!B5</f>
        <v>Outboard A-arm Insert</v>
      </c>
      <c r="C16" s="77">
        <f>'SU 01007'!N2</f>
        <v>2.015803399168</v>
      </c>
      <c r="D16" s="137">
        <f>SU_01007_q</f>
        <v>2</v>
      </c>
      <c r="E16" s="77">
        <f t="shared" si="0"/>
        <v>4.031606798336</v>
      </c>
      <c r="F16" s="59"/>
      <c r="G16" s="59"/>
      <c r="H16" s="59"/>
      <c r="I16" s="59"/>
      <c r="J16" s="59"/>
      <c r="K16" s="59"/>
      <c r="L16" s="59"/>
      <c r="M16" s="59"/>
      <c r="N16" s="59"/>
      <c r="O16" s="68"/>
    </row>
    <row r="17" spans="1:15" x14ac:dyDescent="0.3">
      <c r="A17" s="65"/>
      <c r="B17" s="58"/>
      <c r="C17" s="58"/>
      <c r="D17" s="110" t="s">
        <v>18</v>
      </c>
      <c r="E17" s="109">
        <f>SUM(E10:E16)</f>
        <v>62.845156959935991</v>
      </c>
      <c r="F17" s="59"/>
      <c r="G17" s="59"/>
      <c r="H17" s="59"/>
      <c r="I17" s="59"/>
      <c r="J17" s="59"/>
      <c r="K17" s="59"/>
      <c r="L17" s="59"/>
      <c r="M17" s="59"/>
      <c r="N17" s="59"/>
      <c r="O17" s="64"/>
    </row>
    <row r="18" spans="1:15" x14ac:dyDescent="0.3">
      <c r="A18" s="65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64"/>
    </row>
    <row r="19" spans="1:15" x14ac:dyDescent="0.3">
      <c r="A19" s="107" t="s">
        <v>14</v>
      </c>
      <c r="B19" s="107" t="s">
        <v>19</v>
      </c>
      <c r="C19" s="107" t="s">
        <v>20</v>
      </c>
      <c r="D19" s="107" t="s">
        <v>21</v>
      </c>
      <c r="E19" s="107" t="s">
        <v>22</v>
      </c>
      <c r="F19" s="107" t="s">
        <v>23</v>
      </c>
      <c r="G19" s="107" t="s">
        <v>24</v>
      </c>
      <c r="H19" s="107" t="s">
        <v>25</v>
      </c>
      <c r="I19" s="107" t="s">
        <v>26</v>
      </c>
      <c r="J19" s="107" t="s">
        <v>27</v>
      </c>
      <c r="K19" s="107" t="s">
        <v>28</v>
      </c>
      <c r="L19" s="107" t="s">
        <v>29</v>
      </c>
      <c r="M19" s="107" t="s">
        <v>17</v>
      </c>
      <c r="N19" s="107" t="s">
        <v>18</v>
      </c>
      <c r="O19" s="64"/>
    </row>
    <row r="20" spans="1:15" ht="14.4" customHeight="1" x14ac:dyDescent="0.3">
      <c r="A20" s="75">
        <v>10</v>
      </c>
      <c r="B20" s="75" t="s">
        <v>132</v>
      </c>
      <c r="C20" s="75"/>
      <c r="D20" s="136">
        <f>0.03*E20^2+5</f>
        <v>6.92</v>
      </c>
      <c r="E20" s="75">
        <v>8</v>
      </c>
      <c r="F20" s="75" t="s">
        <v>30</v>
      </c>
      <c r="G20" s="75"/>
      <c r="H20" s="78"/>
      <c r="I20" s="79"/>
      <c r="J20" s="80"/>
      <c r="K20" s="78"/>
      <c r="L20" s="78"/>
      <c r="M20" s="78">
        <v>3</v>
      </c>
      <c r="N20" s="77">
        <f>M20*D20</f>
        <v>20.759999999999998</v>
      </c>
      <c r="O20" s="64"/>
    </row>
    <row r="21" spans="1:15" s="23" customFormat="1" ht="14.4" customHeight="1" x14ac:dyDescent="0.3">
      <c r="A21" s="75">
        <v>20</v>
      </c>
      <c r="B21" s="156" t="s">
        <v>137</v>
      </c>
      <c r="C21" s="157" t="s">
        <v>138</v>
      </c>
      <c r="D21" s="77"/>
      <c r="E21" s="81"/>
      <c r="F21" s="81">
        <v>95</v>
      </c>
      <c r="G21" s="81"/>
      <c r="H21" s="78"/>
      <c r="I21" s="82"/>
      <c r="J21" s="106"/>
      <c r="K21" s="83"/>
      <c r="L21" s="84"/>
      <c r="M21" s="85"/>
      <c r="N21" s="77">
        <f>M21*D21</f>
        <v>0</v>
      </c>
      <c r="O21" s="69"/>
    </row>
    <row r="22" spans="1:15" ht="29.4" customHeight="1" x14ac:dyDescent="0.3">
      <c r="A22" s="75">
        <v>30</v>
      </c>
      <c r="B22" s="156" t="s">
        <v>137</v>
      </c>
      <c r="C22" s="157" t="s">
        <v>139</v>
      </c>
      <c r="D22" s="77"/>
      <c r="E22" s="75"/>
      <c r="F22" s="75"/>
      <c r="G22" s="75"/>
      <c r="H22" s="78"/>
      <c r="I22" s="85"/>
      <c r="J22" s="86"/>
      <c r="K22" s="78"/>
      <c r="L22" s="84"/>
      <c r="M22" s="78"/>
      <c r="N22" s="77">
        <f>M22*D22</f>
        <v>0</v>
      </c>
      <c r="O22" s="64"/>
    </row>
    <row r="23" spans="1:15" x14ac:dyDescent="0.3">
      <c r="A23" s="70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107" t="s">
        <v>18</v>
      </c>
      <c r="N23" s="109">
        <f>SUM(N20:N22)</f>
        <v>20.759999999999998</v>
      </c>
      <c r="O23" s="64"/>
    </row>
    <row r="24" spans="1:15" x14ac:dyDescent="0.3">
      <c r="A24" s="65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64"/>
    </row>
    <row r="25" spans="1:15" s="26" customFormat="1" x14ac:dyDescent="0.3">
      <c r="A25" s="107" t="s">
        <v>14</v>
      </c>
      <c r="B25" s="107" t="s">
        <v>31</v>
      </c>
      <c r="C25" s="107" t="s">
        <v>20</v>
      </c>
      <c r="D25" s="107" t="s">
        <v>21</v>
      </c>
      <c r="E25" s="107" t="s">
        <v>32</v>
      </c>
      <c r="F25" s="107" t="s">
        <v>17</v>
      </c>
      <c r="G25" s="107" t="s">
        <v>33</v>
      </c>
      <c r="H25" s="107" t="s">
        <v>34</v>
      </c>
      <c r="I25" s="107" t="s">
        <v>18</v>
      </c>
      <c r="J25" s="25"/>
      <c r="K25" s="25"/>
      <c r="L25" s="25"/>
      <c r="M25" s="25"/>
      <c r="N25" s="25"/>
      <c r="O25" s="71"/>
    </row>
    <row r="26" spans="1:15" x14ac:dyDescent="0.3">
      <c r="A26" s="156">
        <v>10</v>
      </c>
      <c r="B26" s="158" t="s">
        <v>140</v>
      </c>
      <c r="C26" s="158" t="s">
        <v>141</v>
      </c>
      <c r="D26" s="139">
        <v>0.02</v>
      </c>
      <c r="E26" s="156" t="s">
        <v>142</v>
      </c>
      <c r="F26" s="159">
        <f>3*2*PI()*0.8*0.5</f>
        <v>7.5398223686155035</v>
      </c>
      <c r="G26" s="156"/>
      <c r="H26" s="156"/>
      <c r="I26" s="139">
        <f>D26*F26</f>
        <v>0.15079644737231007</v>
      </c>
      <c r="J26" s="58"/>
      <c r="K26" s="58"/>
      <c r="L26" s="58"/>
      <c r="M26" s="58"/>
      <c r="N26" s="58"/>
      <c r="O26" s="64"/>
    </row>
    <row r="27" spans="1:15" x14ac:dyDescent="0.3">
      <c r="A27" s="75">
        <v>20</v>
      </c>
      <c r="B27" s="88" t="s">
        <v>143</v>
      </c>
      <c r="C27" s="158" t="s">
        <v>144</v>
      </c>
      <c r="D27" s="77">
        <v>0.13</v>
      </c>
      <c r="E27" s="88" t="s">
        <v>35</v>
      </c>
      <c r="F27" s="87">
        <v>3</v>
      </c>
      <c r="G27" s="75"/>
      <c r="H27" s="75"/>
      <c r="I27" s="77">
        <f t="shared" ref="I27:I43" si="1">IF(H27="",D27*F27,D27*F27*H27)</f>
        <v>0.39</v>
      </c>
      <c r="J27" s="58"/>
      <c r="K27" s="58"/>
      <c r="L27" s="58"/>
      <c r="M27" s="58"/>
      <c r="N27" s="58"/>
      <c r="O27" s="64"/>
    </row>
    <row r="28" spans="1:15" ht="15" customHeight="1" x14ac:dyDescent="0.3">
      <c r="A28" s="75">
        <v>30</v>
      </c>
      <c r="B28" s="140" t="s">
        <v>145</v>
      </c>
      <c r="C28" s="75" t="s">
        <v>146</v>
      </c>
      <c r="D28" s="77">
        <v>0.02</v>
      </c>
      <c r="E28" s="75" t="s">
        <v>35</v>
      </c>
      <c r="F28" s="87">
        <v>4</v>
      </c>
      <c r="G28" s="75"/>
      <c r="H28" s="75"/>
      <c r="I28" s="77">
        <f t="shared" si="1"/>
        <v>0.08</v>
      </c>
      <c r="J28" s="58"/>
      <c r="K28" s="58"/>
      <c r="L28" s="58"/>
      <c r="M28" s="58"/>
      <c r="N28" s="58"/>
      <c r="O28" s="64"/>
    </row>
    <row r="29" spans="1:15" s="17" customFormat="1" x14ac:dyDescent="0.3">
      <c r="A29" s="75">
        <v>40</v>
      </c>
      <c r="B29" s="140" t="s">
        <v>145</v>
      </c>
      <c r="C29" s="75" t="s">
        <v>147</v>
      </c>
      <c r="D29" s="77">
        <v>0.02</v>
      </c>
      <c r="E29" s="75" t="s">
        <v>35</v>
      </c>
      <c r="F29" s="87">
        <v>6</v>
      </c>
      <c r="G29" s="75"/>
      <c r="H29" s="75"/>
      <c r="I29" s="77">
        <f t="shared" si="1"/>
        <v>0.12</v>
      </c>
      <c r="J29" s="59"/>
      <c r="K29" s="59"/>
      <c r="L29" s="59"/>
      <c r="M29" s="59"/>
      <c r="N29" s="59"/>
      <c r="O29" s="68"/>
    </row>
    <row r="30" spans="1:15" s="17" customFormat="1" x14ac:dyDescent="0.3">
      <c r="A30" s="75">
        <v>50</v>
      </c>
      <c r="B30" s="140" t="s">
        <v>148</v>
      </c>
      <c r="C30" s="75" t="s">
        <v>149</v>
      </c>
      <c r="D30" s="77">
        <v>0.02</v>
      </c>
      <c r="E30" s="75" t="s">
        <v>41</v>
      </c>
      <c r="F30" s="87">
        <v>18</v>
      </c>
      <c r="G30" s="75"/>
      <c r="H30" s="75"/>
      <c r="I30" s="77">
        <f t="shared" si="1"/>
        <v>0.36</v>
      </c>
      <c r="J30" s="59"/>
      <c r="K30" s="59"/>
      <c r="L30" s="59"/>
      <c r="M30" s="59"/>
      <c r="N30" s="59"/>
      <c r="O30" s="68"/>
    </row>
    <row r="31" spans="1:15" s="17" customFormat="1" x14ac:dyDescent="0.3">
      <c r="A31" s="75">
        <v>60</v>
      </c>
      <c r="B31" s="88" t="s">
        <v>177</v>
      </c>
      <c r="C31" s="75" t="s">
        <v>151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3">
      <c r="A32" s="156">
        <v>70</v>
      </c>
      <c r="B32" s="88" t="s">
        <v>177</v>
      </c>
      <c r="C32" s="75" t="s">
        <v>150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3">
      <c r="A33" s="75">
        <v>80</v>
      </c>
      <c r="B33" s="88" t="s">
        <v>177</v>
      </c>
      <c r="C33" s="75" t="s">
        <v>152</v>
      </c>
      <c r="D33" s="77">
        <v>0.13</v>
      </c>
      <c r="E33" s="88" t="s">
        <v>35</v>
      </c>
      <c r="F33" s="87">
        <v>2</v>
      </c>
      <c r="G33" s="75"/>
      <c r="H33" s="75"/>
      <c r="I33" s="77">
        <f t="shared" si="1"/>
        <v>0.26</v>
      </c>
      <c r="J33" s="59"/>
      <c r="K33" s="59"/>
      <c r="L33" s="59"/>
      <c r="M33" s="59"/>
      <c r="N33" s="59"/>
      <c r="O33" s="68"/>
    </row>
    <row r="34" spans="1:15" s="17" customFormat="1" x14ac:dyDescent="0.3">
      <c r="A34" s="75">
        <v>90</v>
      </c>
      <c r="B34" s="88" t="s">
        <v>153</v>
      </c>
      <c r="C34" s="75" t="s">
        <v>155</v>
      </c>
      <c r="D34" s="77">
        <v>10</v>
      </c>
      <c r="E34" s="75" t="s">
        <v>154</v>
      </c>
      <c r="F34" s="87">
        <f>6*0.03*2*3.14*0.06</f>
        <v>6.7823999999999995E-2</v>
      </c>
      <c r="G34" s="75"/>
      <c r="H34" s="75"/>
      <c r="I34" s="77">
        <f t="shared" si="1"/>
        <v>0.67823999999999995</v>
      </c>
      <c r="J34" s="59"/>
      <c r="K34" s="59"/>
      <c r="L34" s="59"/>
      <c r="M34" s="59"/>
      <c r="N34" s="59"/>
      <c r="O34" s="68"/>
    </row>
    <row r="35" spans="1:15" s="17" customFormat="1" x14ac:dyDescent="0.3">
      <c r="A35" s="75">
        <v>100</v>
      </c>
      <c r="B35" s="88" t="s">
        <v>157</v>
      </c>
      <c r="C35" s="75" t="s">
        <v>156</v>
      </c>
      <c r="D35" s="77">
        <v>20</v>
      </c>
      <c r="E35" s="75" t="s">
        <v>154</v>
      </c>
      <c r="F35" s="87">
        <f>6*0.03*2*3.14*0.06</f>
        <v>6.7823999999999995E-2</v>
      </c>
      <c r="G35" s="75"/>
      <c r="H35" s="75"/>
      <c r="I35" s="77">
        <f t="shared" si="1"/>
        <v>1.3564799999999999</v>
      </c>
      <c r="J35" s="59"/>
      <c r="K35" s="59"/>
      <c r="L35" s="59"/>
      <c r="M35" s="59"/>
      <c r="N35" s="59"/>
      <c r="O35" s="68"/>
    </row>
    <row r="36" spans="1:15" s="17" customFormat="1" x14ac:dyDescent="0.3">
      <c r="A36" s="75">
        <v>110</v>
      </c>
      <c r="B36" s="158" t="s">
        <v>158</v>
      </c>
      <c r="C36" s="158" t="s">
        <v>159</v>
      </c>
      <c r="D36" s="139">
        <v>0.06</v>
      </c>
      <c r="E36" s="156" t="s">
        <v>32</v>
      </c>
      <c r="F36" s="156">
        <v>1</v>
      </c>
      <c r="G36" s="75"/>
      <c r="H36" s="75"/>
      <c r="I36" s="77">
        <f t="shared" si="1"/>
        <v>0.06</v>
      </c>
      <c r="J36" s="59"/>
      <c r="K36" s="59"/>
      <c r="L36" s="59"/>
      <c r="M36" s="59"/>
      <c r="N36" s="59"/>
      <c r="O36" s="68"/>
    </row>
    <row r="37" spans="1:15" s="17" customFormat="1" x14ac:dyDescent="0.3">
      <c r="A37" s="75">
        <v>120</v>
      </c>
      <c r="B37" s="160" t="s">
        <v>160</v>
      </c>
      <c r="C37" s="160" t="s">
        <v>161</v>
      </c>
      <c r="D37" s="141">
        <v>0.13</v>
      </c>
      <c r="E37" s="161" t="s">
        <v>32</v>
      </c>
      <c r="F37" s="161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3">
      <c r="A38" s="75">
        <v>130</v>
      </c>
      <c r="B38" s="162" t="s">
        <v>160</v>
      </c>
      <c r="C38" s="162" t="s">
        <v>162</v>
      </c>
      <c r="D38" s="142">
        <v>0.13</v>
      </c>
      <c r="E38" s="163" t="s">
        <v>32</v>
      </c>
      <c r="F38" s="163">
        <v>4</v>
      </c>
      <c r="G38" s="75"/>
      <c r="H38" s="75"/>
      <c r="I38" s="77">
        <f t="shared" si="1"/>
        <v>0.52</v>
      </c>
      <c r="J38" s="59"/>
      <c r="K38" s="59"/>
      <c r="L38" s="59"/>
      <c r="M38" s="59"/>
      <c r="N38" s="59"/>
      <c r="O38" s="68"/>
    </row>
    <row r="39" spans="1:15" s="17" customFormat="1" x14ac:dyDescent="0.3">
      <c r="A39" s="75">
        <v>140</v>
      </c>
      <c r="B39" s="162" t="s">
        <v>158</v>
      </c>
      <c r="C39" s="162" t="s">
        <v>163</v>
      </c>
      <c r="D39" s="142">
        <v>0.06</v>
      </c>
      <c r="E39" s="163" t="s">
        <v>32</v>
      </c>
      <c r="F39" s="163">
        <v>1</v>
      </c>
      <c r="G39" s="75"/>
      <c r="H39" s="75"/>
      <c r="I39" s="77">
        <f t="shared" si="1"/>
        <v>0.06</v>
      </c>
      <c r="J39" s="59"/>
      <c r="K39" s="59"/>
      <c r="L39" s="59"/>
      <c r="M39" s="59"/>
      <c r="N39" s="59"/>
      <c r="O39" s="68"/>
    </row>
    <row r="40" spans="1:15" s="17" customFormat="1" x14ac:dyDescent="0.3">
      <c r="A40" s="75">
        <v>150</v>
      </c>
      <c r="B40" s="162" t="s">
        <v>160</v>
      </c>
      <c r="C40" s="162" t="s">
        <v>164</v>
      </c>
      <c r="D40" s="142">
        <v>0.13</v>
      </c>
      <c r="E40" s="163" t="s">
        <v>32</v>
      </c>
      <c r="F40" s="163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17" customFormat="1" x14ac:dyDescent="0.3">
      <c r="A41" s="75">
        <v>160</v>
      </c>
      <c r="B41" s="162" t="s">
        <v>160</v>
      </c>
      <c r="C41" s="162" t="s">
        <v>165</v>
      </c>
      <c r="D41" s="142">
        <v>0.13</v>
      </c>
      <c r="E41" s="163" t="s">
        <v>32</v>
      </c>
      <c r="F41" s="163">
        <v>2</v>
      </c>
      <c r="G41" s="75"/>
      <c r="H41" s="75"/>
      <c r="I41" s="77">
        <f t="shared" si="1"/>
        <v>0.26</v>
      </c>
      <c r="J41" s="59"/>
      <c r="K41" s="59"/>
      <c r="L41" s="59"/>
      <c r="M41" s="59"/>
      <c r="N41" s="59"/>
      <c r="O41" s="68"/>
    </row>
    <row r="42" spans="1:15" s="26" customFormat="1" x14ac:dyDescent="0.3">
      <c r="A42" s="75">
        <v>170</v>
      </c>
      <c r="B42" s="164" t="s">
        <v>166</v>
      </c>
      <c r="C42" s="165" t="s">
        <v>167</v>
      </c>
      <c r="D42" s="142">
        <v>0.75</v>
      </c>
      <c r="E42" s="163" t="s">
        <v>32</v>
      </c>
      <c r="F42" s="163">
        <v>3</v>
      </c>
      <c r="G42" s="87"/>
      <c r="H42" s="87"/>
      <c r="I42" s="77">
        <f t="shared" si="1"/>
        <v>2.25</v>
      </c>
      <c r="J42" s="59"/>
      <c r="K42" s="59"/>
      <c r="L42" s="59"/>
      <c r="M42" s="59"/>
      <c r="N42" s="59"/>
      <c r="O42" s="71"/>
    </row>
    <row r="43" spans="1:15" s="17" customFormat="1" x14ac:dyDescent="0.3">
      <c r="A43" s="75">
        <v>180</v>
      </c>
      <c r="B43" s="164" t="s">
        <v>168</v>
      </c>
      <c r="C43" s="165" t="s">
        <v>169</v>
      </c>
      <c r="D43" s="142">
        <v>0.25</v>
      </c>
      <c r="E43" s="165" t="s">
        <v>32</v>
      </c>
      <c r="F43" s="163">
        <v>3</v>
      </c>
      <c r="G43" s="75"/>
      <c r="H43" s="75"/>
      <c r="I43" s="77">
        <f t="shared" si="1"/>
        <v>0.75</v>
      </c>
      <c r="J43" s="59"/>
      <c r="K43" s="59"/>
      <c r="L43" s="59"/>
      <c r="M43" s="59"/>
      <c r="N43" s="59"/>
      <c r="O43" s="68"/>
    </row>
    <row r="44" spans="1:15" x14ac:dyDescent="0.3">
      <c r="A44" s="70"/>
      <c r="B44" s="25"/>
      <c r="C44" s="25"/>
      <c r="D44" s="25"/>
      <c r="E44" s="25"/>
      <c r="F44" s="25"/>
      <c r="G44" s="25"/>
      <c r="H44" s="110" t="s">
        <v>18</v>
      </c>
      <c r="I44" s="109">
        <f>SUM(I26:I43)</f>
        <v>8.595516447372308</v>
      </c>
      <c r="J44" s="58"/>
      <c r="K44" s="58"/>
      <c r="L44" s="58"/>
      <c r="M44" s="58"/>
      <c r="N44" s="58"/>
      <c r="O44" s="64"/>
    </row>
    <row r="45" spans="1:15" x14ac:dyDescent="0.3">
      <c r="A45" s="65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64"/>
    </row>
    <row r="46" spans="1:15" x14ac:dyDescent="0.3">
      <c r="A46" s="107" t="s">
        <v>14</v>
      </c>
      <c r="B46" s="107" t="s">
        <v>36</v>
      </c>
      <c r="C46" s="107" t="s">
        <v>20</v>
      </c>
      <c r="D46" s="107" t="s">
        <v>21</v>
      </c>
      <c r="E46" s="107" t="s">
        <v>22</v>
      </c>
      <c r="F46" s="107" t="s">
        <v>23</v>
      </c>
      <c r="G46" s="107" t="s">
        <v>24</v>
      </c>
      <c r="H46" s="107" t="s">
        <v>25</v>
      </c>
      <c r="I46" s="107" t="s">
        <v>17</v>
      </c>
      <c r="J46" s="107" t="s">
        <v>18</v>
      </c>
      <c r="K46" s="58"/>
      <c r="L46" s="58"/>
      <c r="M46" s="58"/>
      <c r="N46" s="58"/>
      <c r="O46" s="64"/>
    </row>
    <row r="47" spans="1:15" x14ac:dyDescent="0.3">
      <c r="A47" s="156">
        <v>10</v>
      </c>
      <c r="B47" s="156" t="s">
        <v>170</v>
      </c>
      <c r="C47" s="156" t="s">
        <v>171</v>
      </c>
      <c r="D47" s="166">
        <f>0.8/105154*E47^2*G47*SQRT(G47)+(0.003*EXP(0.319*E47))</f>
        <v>0.16167651505774214</v>
      </c>
      <c r="E47" s="156">
        <v>8</v>
      </c>
      <c r="F47" s="143" t="s">
        <v>30</v>
      </c>
      <c r="G47" s="167">
        <v>40</v>
      </c>
      <c r="H47" s="158" t="s">
        <v>30</v>
      </c>
      <c r="I47" s="144">
        <v>2</v>
      </c>
      <c r="J47" s="145">
        <f>D47*I47</f>
        <v>0.32335303011548427</v>
      </c>
      <c r="K47" s="58"/>
      <c r="L47" s="58"/>
      <c r="M47" s="58"/>
      <c r="N47" s="58"/>
      <c r="O47" s="64"/>
    </row>
    <row r="48" spans="1:15" x14ac:dyDescent="0.3">
      <c r="A48" s="156">
        <v>20</v>
      </c>
      <c r="B48" s="156" t="s">
        <v>170</v>
      </c>
      <c r="C48" s="156" t="s">
        <v>172</v>
      </c>
      <c r="D48" s="166">
        <f>0.8/105154*E48^2*G48*SQRT(G48)+(0.003*EXP(0.319*E48))</f>
        <v>0.26479118861318168</v>
      </c>
      <c r="E48" s="156">
        <v>8</v>
      </c>
      <c r="F48" s="143" t="s">
        <v>30</v>
      </c>
      <c r="G48" s="167">
        <v>60</v>
      </c>
      <c r="H48" s="158" t="s">
        <v>30</v>
      </c>
      <c r="I48" s="146">
        <v>1</v>
      </c>
      <c r="J48" s="139">
        <f>D48*I48</f>
        <v>0.26479118861318168</v>
      </c>
      <c r="K48" s="58"/>
      <c r="L48" s="58"/>
      <c r="M48" s="58"/>
      <c r="N48" s="58"/>
      <c r="O48" s="64"/>
    </row>
    <row r="49" spans="1:15" x14ac:dyDescent="0.3">
      <c r="A49" s="156">
        <v>30</v>
      </c>
      <c r="B49" s="156" t="s">
        <v>173</v>
      </c>
      <c r="C49" s="156" t="s">
        <v>174</v>
      </c>
      <c r="D49" s="168">
        <f>(0.009*EXP(0.2*E49))</f>
        <v>4.4577291819556032E-2</v>
      </c>
      <c r="E49" s="156">
        <v>8</v>
      </c>
      <c r="F49" s="143" t="s">
        <v>30</v>
      </c>
      <c r="G49" s="156"/>
      <c r="H49" s="158"/>
      <c r="I49" s="146">
        <v>3</v>
      </c>
      <c r="J49" s="139">
        <f>D49*I49</f>
        <v>0.1337318754586681</v>
      </c>
      <c r="K49" s="58"/>
      <c r="L49" s="58"/>
      <c r="M49" s="58"/>
      <c r="N49" s="58"/>
      <c r="O49" s="64"/>
    </row>
    <row r="50" spans="1:15" x14ac:dyDescent="0.3">
      <c r="A50" s="156">
        <v>40</v>
      </c>
      <c r="B50" s="156" t="s">
        <v>175</v>
      </c>
      <c r="C50" s="156" t="s">
        <v>176</v>
      </c>
      <c r="D50" s="156">
        <v>0.01</v>
      </c>
      <c r="E50" s="156">
        <v>8</v>
      </c>
      <c r="F50" s="143" t="s">
        <v>30</v>
      </c>
      <c r="G50" s="156"/>
      <c r="H50" s="158"/>
      <c r="I50" s="146">
        <v>6</v>
      </c>
      <c r="J50" s="139">
        <f>D50*I50</f>
        <v>0.06</v>
      </c>
      <c r="K50" s="60"/>
      <c r="L50" s="60"/>
      <c r="M50" s="60"/>
      <c r="N50" s="60"/>
      <c r="O50" s="64"/>
    </row>
    <row r="51" spans="1:15" x14ac:dyDescent="0.3">
      <c r="A51" s="70"/>
      <c r="B51" s="25"/>
      <c r="C51" s="25"/>
      <c r="D51" s="25"/>
      <c r="E51" s="25"/>
      <c r="F51" s="25"/>
      <c r="G51" s="25"/>
      <c r="H51" s="25"/>
      <c r="I51" s="110" t="s">
        <v>18</v>
      </c>
      <c r="J51" s="109">
        <f>SUM(J47:J50)</f>
        <v>0.78187609418733417</v>
      </c>
      <c r="K51" s="58"/>
      <c r="L51" s="58"/>
      <c r="M51" s="58"/>
      <c r="N51" s="58"/>
      <c r="O51" s="64"/>
    </row>
    <row r="52" spans="1:15" x14ac:dyDescent="0.3">
      <c r="A52" s="65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64"/>
    </row>
    <row r="53" spans="1:15" ht="15" thickBot="1" x14ac:dyDescent="0.35">
      <c r="A53" s="7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4"/>
    </row>
    <row r="54" spans="1:15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</sheetData>
  <hyperlinks>
    <hyperlink ref="B10" location="SU_01001" display="SU_01001"/>
    <hyperlink ref="B11:B13" location="BR_01001" display="BR_01001"/>
    <hyperlink ref="B14" location="SU_01005" display="SU_01005"/>
    <hyperlink ref="B16" location="SU_01007" display="SU_01007"/>
    <hyperlink ref="B11" location="SU_01002" display="SU_01002"/>
    <hyperlink ref="B12" location="SU_01003" display="SU_01003"/>
    <hyperlink ref="B13" location="SU_01004" display="SU_01004"/>
    <hyperlink ref="E2" location="SU_A0100_BOM" display="Back to BOM"/>
    <hyperlink ref="B15" location="SU_01006" display="Spacer 2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3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G2" sqref="G2"/>
    </sheetView>
  </sheetViews>
  <sheetFormatPr baseColWidth="10" defaultColWidth="9.109375" defaultRowHeight="14.4" x14ac:dyDescent="0.3"/>
  <cols>
    <col min="1" max="2" width="9.109375" style="186"/>
    <col min="3" max="3" width="24.5546875" style="186" customWidth="1"/>
    <col min="4" max="9" width="9.109375" style="186"/>
    <col min="10" max="10" width="12.5546875" style="186" customWidth="1"/>
    <col min="11" max="14" width="9.109375" style="186"/>
    <col min="15" max="15" width="3.109375" style="186" customWidth="1"/>
    <col min="16" max="17" width="9.109375" style="186"/>
    <col min="18" max="19" width="16.33203125" style="186" bestFit="1" customWidth="1"/>
    <col min="20" max="16384" width="9.109375" style="186"/>
  </cols>
  <sheetData>
    <row r="1" spans="1:19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9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SU_03001_m+SU_03001_p</f>
        <v>14.091490534400002</v>
      </c>
      <c r="O2" s="191"/>
    </row>
    <row r="3" spans="1:19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1</v>
      </c>
      <c r="O3" s="191"/>
    </row>
    <row r="4" spans="1:19" x14ac:dyDescent="0.3">
      <c r="A4" s="232" t="s">
        <v>5</v>
      </c>
      <c r="B4" s="97" t="s">
        <v>226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9" x14ac:dyDescent="0.3">
      <c r="A5" s="232" t="s">
        <v>15</v>
      </c>
      <c r="B5" s="194" t="s">
        <v>228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14.091490534400002</v>
      </c>
      <c r="O5" s="191"/>
    </row>
    <row r="6" spans="1:19" x14ac:dyDescent="0.3">
      <c r="A6" s="232" t="s">
        <v>7</v>
      </c>
      <c r="B6" s="235" t="s">
        <v>233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9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9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9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9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9" s="210" customFormat="1" x14ac:dyDescent="0.3">
      <c r="A11" s="241">
        <v>10</v>
      </c>
      <c r="B11" s="242" t="s">
        <v>133</v>
      </c>
      <c r="C11" s="243" t="s">
        <v>38</v>
      </c>
      <c r="D11" s="31">
        <f>J11*K11*L11*4.2/1000000000</f>
        <v>2.4914905344</v>
      </c>
      <c r="E11" s="243"/>
      <c r="F11" s="243"/>
      <c r="G11" s="243"/>
      <c r="H11" s="20"/>
      <c r="I11" s="244" t="s">
        <v>134</v>
      </c>
      <c r="J11" s="86">
        <f>63*62</f>
        <v>3906</v>
      </c>
      <c r="K11" s="86">
        <v>56</v>
      </c>
      <c r="L11" s="208">
        <v>2712</v>
      </c>
      <c r="M11" s="24">
        <v>1</v>
      </c>
      <c r="N11" s="31">
        <f>D11*M11</f>
        <v>2.4914905344</v>
      </c>
      <c r="O11" s="209"/>
    </row>
    <row r="12" spans="1:19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2.4914905344</v>
      </c>
      <c r="O12" s="191"/>
    </row>
    <row r="13" spans="1:19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S13" s="247"/>
    </row>
    <row r="14" spans="1:19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  <c r="R14" s="247"/>
    </row>
    <row r="15" spans="1:19" s="214" customFormat="1" ht="72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</row>
    <row r="16" spans="1:19" ht="28.8" x14ac:dyDescent="0.3">
      <c r="A16" s="251">
        <v>20</v>
      </c>
      <c r="B16" s="147" t="s">
        <v>184</v>
      </c>
      <c r="C16" s="252" t="s">
        <v>40</v>
      </c>
      <c r="D16" s="31">
        <v>0.04</v>
      </c>
      <c r="E16" s="28" t="s">
        <v>186</v>
      </c>
      <c r="F16" s="253">
        <v>100</v>
      </c>
      <c r="G16" s="28"/>
      <c r="H16" s="242"/>
      <c r="I16" s="31">
        <f t="shared" si="0"/>
        <v>4</v>
      </c>
      <c r="J16" s="189"/>
      <c r="K16" s="189"/>
      <c r="L16" s="189"/>
      <c r="M16" s="189"/>
      <c r="N16" s="189"/>
      <c r="O16" s="191"/>
      <c r="R16" s="247">
        <f>R14/2</f>
        <v>0</v>
      </c>
    </row>
    <row r="17" spans="1:18" s="198" customFormat="1" ht="43.2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  <c r="R17" s="255">
        <f>R14/6</f>
        <v>0</v>
      </c>
    </row>
    <row r="18" spans="1:18" ht="28.8" x14ac:dyDescent="0.3">
      <c r="A18" s="251">
        <v>40</v>
      </c>
      <c r="B18" s="147" t="s">
        <v>184</v>
      </c>
      <c r="C18" s="252" t="s">
        <v>40</v>
      </c>
      <c r="D18" s="31">
        <v>0.04</v>
      </c>
      <c r="E18" s="28" t="s">
        <v>186</v>
      </c>
      <c r="F18" s="253">
        <v>30</v>
      </c>
      <c r="G18" s="28"/>
      <c r="H18" s="242"/>
      <c r="I18" s="31">
        <f t="shared" si="0"/>
        <v>1.2</v>
      </c>
      <c r="J18" s="189"/>
      <c r="K18" s="189"/>
      <c r="L18" s="189"/>
      <c r="M18" s="189"/>
      <c r="N18" s="189"/>
      <c r="O18" s="191"/>
      <c r="R18" s="247">
        <f>R14/6*2</f>
        <v>0</v>
      </c>
    </row>
    <row r="19" spans="1:18" ht="43.2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  <c r="R19" s="247"/>
    </row>
    <row r="20" spans="1:18" ht="28.8" x14ac:dyDescent="0.3">
      <c r="A20" s="254">
        <v>60</v>
      </c>
      <c r="B20" s="147" t="s">
        <v>184</v>
      </c>
      <c r="C20" s="252" t="s">
        <v>40</v>
      </c>
      <c r="D20" s="31">
        <v>0.04</v>
      </c>
      <c r="E20" s="28" t="s">
        <v>186</v>
      </c>
      <c r="F20" s="242">
        <v>95</v>
      </c>
      <c r="G20" s="242"/>
      <c r="H20" s="242"/>
      <c r="I20" s="31">
        <f t="shared" si="0"/>
        <v>3.8000000000000003</v>
      </c>
      <c r="J20" s="189"/>
      <c r="K20" s="189"/>
      <c r="L20" s="189"/>
      <c r="M20" s="189"/>
      <c r="N20" s="189"/>
      <c r="O20" s="191"/>
    </row>
    <row r="21" spans="1:18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11.600000000000001</v>
      </c>
      <c r="J21" s="212"/>
      <c r="K21" s="212"/>
      <c r="L21" s="212"/>
      <c r="M21" s="212"/>
      <c r="N21" s="212"/>
      <c r="O21" s="191"/>
    </row>
    <row r="22" spans="1:18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</row>
  </sheetData>
  <hyperlinks>
    <hyperlink ref="B4" location="SU_A0300" display="Upper Back A-arm"/>
    <hyperlink ref="E3" location="dSU_03001" display="Drawing"/>
    <hyperlink ref="G2" location="SU_A03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4" style="186" customWidth="1"/>
    <col min="2" max="16384" width="11.44140625" style="186"/>
  </cols>
  <sheetData>
    <row r="1" spans="1:2" x14ac:dyDescent="0.3">
      <c r="A1" s="186" t="s">
        <v>198</v>
      </c>
      <c r="B1" s="98" t="str">
        <f>SU_03001</f>
        <v>SU 03001</v>
      </c>
    </row>
  </sheetData>
  <hyperlinks>
    <hyperlink ref="B1" location="SU_03001" display="SU_03001"/>
  </hyperlinks>
  <pageMargins left="0.7" right="0.7" top="0.75" bottom="0.75" header="0.3" footer="0.3"/>
  <pageSetup paperSize="9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ColWidth="11.44140625" defaultRowHeight="14.4" x14ac:dyDescent="0.3"/>
  <cols>
    <col min="1" max="1" width="11.44140625" style="186"/>
    <col min="2" max="2" width="23.109375" style="186" customWidth="1"/>
    <col min="3" max="8" width="11.44140625" style="186"/>
    <col min="9" max="9" width="21.44140625" style="186" customWidth="1"/>
    <col min="10" max="17" width="11.44140625" style="186"/>
    <col min="18" max="18" width="13.88671875" style="186" bestFit="1" customWidth="1"/>
    <col min="19" max="16384" width="11.44140625" style="186"/>
  </cols>
  <sheetData>
    <row r="1" spans="1:19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9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N12+I21</f>
        <v>4.6183805439999999</v>
      </c>
      <c r="O2" s="191"/>
    </row>
    <row r="3" spans="1:19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2</v>
      </c>
      <c r="O3" s="191"/>
    </row>
    <row r="4" spans="1:19" x14ac:dyDescent="0.3">
      <c r="A4" s="232" t="s">
        <v>5</v>
      </c>
      <c r="B4" s="97" t="s">
        <v>226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9" x14ac:dyDescent="0.3">
      <c r="A5" s="257" t="s">
        <v>15</v>
      </c>
      <c r="B5" s="258" t="s">
        <v>182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9.2367610879999997</v>
      </c>
      <c r="O5" s="191"/>
    </row>
    <row r="6" spans="1:19" x14ac:dyDescent="0.3">
      <c r="A6" s="232" t="s">
        <v>7</v>
      </c>
      <c r="B6" s="235" t="s">
        <v>232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9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9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9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9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9" x14ac:dyDescent="0.3">
      <c r="A11" s="241">
        <v>10</v>
      </c>
      <c r="B11" s="242" t="s">
        <v>133</v>
      </c>
      <c r="C11" s="243" t="s">
        <v>38</v>
      </c>
      <c r="D11" s="31">
        <f>4.2</f>
        <v>4.2</v>
      </c>
      <c r="E11" s="259">
        <f>J11*K11*L11/1000000000</f>
        <v>0.20437632</v>
      </c>
      <c r="F11" s="243" t="s">
        <v>187</v>
      </c>
      <c r="G11" s="243"/>
      <c r="H11" s="20"/>
      <c r="I11" s="244" t="s">
        <v>188</v>
      </c>
      <c r="J11" s="106">
        <f>3.14*20*20</f>
        <v>1256</v>
      </c>
      <c r="K11" s="83">
        <v>60</v>
      </c>
      <c r="L11" s="208">
        <v>2712</v>
      </c>
      <c r="M11" s="24">
        <v>1</v>
      </c>
      <c r="N11" s="31">
        <f>D11*E11</f>
        <v>0.85838054400000008</v>
      </c>
      <c r="O11" s="209"/>
      <c r="P11" s="210"/>
      <c r="Q11" s="210"/>
      <c r="R11" s="210"/>
      <c r="S11" s="210"/>
    </row>
    <row r="12" spans="1:19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0.85838054400000008</v>
      </c>
      <c r="O12" s="191"/>
    </row>
    <row r="13" spans="1:19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R13" s="247">
        <f>J11*K11/4</f>
        <v>18840</v>
      </c>
      <c r="S13" s="247"/>
    </row>
    <row r="14" spans="1:19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  <c r="R14" s="247">
        <f>R13/2</f>
        <v>9420</v>
      </c>
    </row>
    <row r="15" spans="1:19" ht="28.8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  <c r="P15" s="214"/>
      <c r="Q15" s="214"/>
      <c r="R15" s="260">
        <f>R13*4/10</f>
        <v>7536</v>
      </c>
      <c r="S15" s="214"/>
    </row>
    <row r="16" spans="1:19" x14ac:dyDescent="0.3">
      <c r="A16" s="251">
        <v>20</v>
      </c>
      <c r="B16" s="147" t="s">
        <v>184</v>
      </c>
      <c r="C16" s="252" t="s">
        <v>40</v>
      </c>
      <c r="D16" s="31">
        <v>0.04</v>
      </c>
      <c r="E16" s="28" t="s">
        <v>186</v>
      </c>
      <c r="F16" s="253">
        <v>19</v>
      </c>
      <c r="G16" s="28"/>
      <c r="H16" s="242"/>
      <c r="I16" s="31">
        <f t="shared" si="0"/>
        <v>0.76</v>
      </c>
      <c r="J16" s="189"/>
      <c r="K16" s="189"/>
      <c r="L16" s="189"/>
      <c r="M16" s="189"/>
      <c r="N16" s="189"/>
      <c r="O16" s="191"/>
      <c r="R16" s="247">
        <f>R13-R14-R15</f>
        <v>1884</v>
      </c>
    </row>
    <row r="17" spans="1:19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  <c r="P17" s="198"/>
      <c r="Q17" s="198"/>
      <c r="R17" s="255"/>
      <c r="S17" s="198"/>
    </row>
    <row r="18" spans="1:19" x14ac:dyDescent="0.3">
      <c r="A18" s="251">
        <v>40</v>
      </c>
      <c r="B18" s="147" t="s">
        <v>184</v>
      </c>
      <c r="C18" s="252" t="s">
        <v>40</v>
      </c>
      <c r="D18" s="31">
        <v>0.04</v>
      </c>
      <c r="E18" s="28" t="s">
        <v>186</v>
      </c>
      <c r="F18" s="253">
        <v>8</v>
      </c>
      <c r="G18" s="28"/>
      <c r="H18" s="242"/>
      <c r="I18" s="31">
        <f t="shared" si="0"/>
        <v>0.32</v>
      </c>
      <c r="J18" s="189"/>
      <c r="K18" s="189"/>
      <c r="L18" s="189"/>
      <c r="M18" s="189"/>
      <c r="N18" s="189"/>
      <c r="O18" s="191"/>
      <c r="R18" s="247"/>
    </row>
    <row r="19" spans="1:19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  <c r="R19" s="247"/>
    </row>
    <row r="20" spans="1:19" x14ac:dyDescent="0.3">
      <c r="A20" s="254">
        <v>60</v>
      </c>
      <c r="B20" s="147" t="s">
        <v>184</v>
      </c>
      <c r="C20" s="252" t="s">
        <v>40</v>
      </c>
      <c r="D20" s="31">
        <v>0.04</v>
      </c>
      <c r="E20" s="28" t="s">
        <v>186</v>
      </c>
      <c r="F20" s="242">
        <v>2</v>
      </c>
      <c r="G20" s="242"/>
      <c r="H20" s="242"/>
      <c r="I20" s="31">
        <f t="shared" si="0"/>
        <v>0.08</v>
      </c>
      <c r="J20" s="189"/>
      <c r="K20" s="189"/>
      <c r="L20" s="189"/>
      <c r="M20" s="189"/>
      <c r="N20" s="189"/>
      <c r="O20" s="191"/>
    </row>
    <row r="21" spans="1:19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3.76</v>
      </c>
      <c r="J21" s="212"/>
      <c r="K21" s="212"/>
      <c r="L21" s="212"/>
      <c r="M21" s="212"/>
      <c r="N21" s="212"/>
      <c r="O21" s="191"/>
    </row>
    <row r="22" spans="1:19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</row>
  </sheetData>
  <hyperlinks>
    <hyperlink ref="B4" location="SU_A0300" display="Upper Back A-arm"/>
    <hyperlink ref="E3" location="dSU_03002" display="Drawing"/>
    <hyperlink ref="G2" location="SU_A0300_BOM" display="Back to BOM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2" sqref="B2"/>
    </sheetView>
  </sheetViews>
  <sheetFormatPr baseColWidth="10" defaultColWidth="11.44140625" defaultRowHeight="14.4" x14ac:dyDescent="0.3"/>
  <cols>
    <col min="1" max="1" width="18.88671875" style="186" customWidth="1"/>
    <col min="2" max="16384" width="11.44140625" style="186"/>
  </cols>
  <sheetData>
    <row r="1" spans="1:2" x14ac:dyDescent="0.3">
      <c r="A1" s="186" t="s">
        <v>198</v>
      </c>
      <c r="B1" s="98" t="str">
        <f>SU_03002</f>
        <v>SU 03002</v>
      </c>
    </row>
    <row r="4" spans="1:2" x14ac:dyDescent="0.3">
      <c r="B4" s="186" t="s">
        <v>204</v>
      </c>
    </row>
    <row r="5" spans="1:2" x14ac:dyDescent="0.3">
      <c r="B5" s="186" t="s">
        <v>205</v>
      </c>
    </row>
    <row r="6" spans="1:2" x14ac:dyDescent="0.3">
      <c r="B6" s="263"/>
    </row>
  </sheetData>
  <hyperlinks>
    <hyperlink ref="B1" location="SU_03002" display="SU_03002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86"/>
    <col min="2" max="2" width="20.44140625" style="186" customWidth="1"/>
    <col min="3" max="3" width="33" style="186" customWidth="1"/>
    <col min="4" max="4" width="11.44140625" style="186"/>
    <col min="5" max="5" width="17" style="186" customWidth="1"/>
    <col min="6" max="16384" width="11.44140625" style="186"/>
  </cols>
  <sheetData>
    <row r="1" spans="1:15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5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N12+I16</f>
        <v>10.876934879999999</v>
      </c>
      <c r="O2" s="191"/>
    </row>
    <row r="3" spans="1:15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186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1</v>
      </c>
      <c r="O3" s="191"/>
    </row>
    <row r="4" spans="1:15" x14ac:dyDescent="0.3">
      <c r="A4" s="232" t="s">
        <v>5</v>
      </c>
      <c r="B4" s="97" t="s">
        <v>226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5" x14ac:dyDescent="0.3">
      <c r="A5" s="232" t="s">
        <v>15</v>
      </c>
      <c r="B5" s="76" t="s">
        <v>229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10.876934879999999</v>
      </c>
      <c r="O5" s="191"/>
    </row>
    <row r="6" spans="1:15" x14ac:dyDescent="0.3">
      <c r="A6" s="232" t="s">
        <v>7</v>
      </c>
      <c r="B6" s="235" t="s">
        <v>234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5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5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5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5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5" x14ac:dyDescent="0.3">
      <c r="A11" s="92">
        <v>10</v>
      </c>
      <c r="B11" s="174" t="s">
        <v>216</v>
      </c>
      <c r="C11" s="175" t="s">
        <v>217</v>
      </c>
      <c r="D11" s="179">
        <f>200*E11*L11</f>
        <v>9.6683865599999983</v>
      </c>
      <c r="E11" s="178">
        <f>J11*K11</f>
        <v>3.0596159999999994E-5</v>
      </c>
      <c r="F11" s="21" t="s">
        <v>218</v>
      </c>
      <c r="G11" s="21"/>
      <c r="H11" s="20"/>
      <c r="I11" s="22" t="s">
        <v>191</v>
      </c>
      <c r="J11" s="176">
        <f>3.14*(0.008*0.008-0.006*0.006)</f>
        <v>8.7919999999999985E-5</v>
      </c>
      <c r="K11" s="83">
        <v>0.34799999999999998</v>
      </c>
      <c r="L11" s="84">
        <v>1580</v>
      </c>
      <c r="M11" s="177">
        <v>1</v>
      </c>
      <c r="N11" s="31">
        <f>D11*M11</f>
        <v>9.6683865599999983</v>
      </c>
      <c r="O11" s="209"/>
    </row>
    <row r="12" spans="1:15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9.6683865599999983</v>
      </c>
      <c r="O12" s="191"/>
    </row>
    <row r="13" spans="1:15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</row>
    <row r="14" spans="1:15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5" ht="29.4" customHeight="1" x14ac:dyDescent="0.3">
      <c r="A15" s="174">
        <v>10</v>
      </c>
      <c r="B15" s="174" t="s">
        <v>240</v>
      </c>
      <c r="C15" s="174" t="s">
        <v>241</v>
      </c>
      <c r="D15" s="268">
        <v>25</v>
      </c>
      <c r="E15" s="267" t="s">
        <v>242</v>
      </c>
      <c r="F15" s="270">
        <f>J11*K11*L11</f>
        <v>4.8341932799999994E-2</v>
      </c>
      <c r="G15" s="266"/>
      <c r="H15" s="266"/>
      <c r="I15" s="269">
        <f>IF(H15="",D15*F15,D15*F15*H15)</f>
        <v>1.2085483199999998</v>
      </c>
      <c r="J15" s="228"/>
      <c r="K15" s="228"/>
      <c r="L15" s="228"/>
      <c r="M15" s="228"/>
      <c r="N15" s="228"/>
      <c r="O15" s="213"/>
    </row>
    <row r="16" spans="1:15" x14ac:dyDescent="0.3">
      <c r="A16" s="211"/>
      <c r="B16" s="212"/>
      <c r="C16" s="212"/>
      <c r="D16" s="212"/>
      <c r="E16" s="212"/>
      <c r="F16" s="212"/>
      <c r="G16" s="212"/>
      <c r="H16" s="256" t="s">
        <v>18</v>
      </c>
      <c r="I16" s="246">
        <f>SUM(I15:I15)</f>
        <v>1.2085483199999998</v>
      </c>
      <c r="J16" s="212"/>
      <c r="K16" s="212"/>
      <c r="L16" s="212"/>
      <c r="M16" s="212"/>
      <c r="N16" s="212"/>
      <c r="O16" s="191"/>
    </row>
    <row r="17" spans="1:15" ht="15" thickBot="1" x14ac:dyDescent="0.35">
      <c r="A17" s="229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1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86"/>
    <col min="2" max="2" width="33.88671875" style="186" customWidth="1"/>
    <col min="3" max="3" width="46.6640625" style="186" customWidth="1"/>
    <col min="4" max="4" width="11.44140625" style="186"/>
    <col min="5" max="5" width="18.33203125" style="186" customWidth="1"/>
    <col min="6" max="16384" width="11.44140625" style="186"/>
  </cols>
  <sheetData>
    <row r="1" spans="1:15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5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N12+I16</f>
        <v>4.3445228399999989</v>
      </c>
      <c r="O2" s="191"/>
    </row>
    <row r="3" spans="1:15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186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1</v>
      </c>
      <c r="O3" s="191"/>
    </row>
    <row r="4" spans="1:15" x14ac:dyDescent="0.3">
      <c r="A4" s="232" t="s">
        <v>5</v>
      </c>
      <c r="B4" s="97" t="s">
        <v>226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5" x14ac:dyDescent="0.3">
      <c r="A5" s="232" t="s">
        <v>15</v>
      </c>
      <c r="B5" s="76" t="s">
        <v>231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4.3445228399999989</v>
      </c>
      <c r="O5" s="191"/>
    </row>
    <row r="6" spans="1:15" x14ac:dyDescent="0.3">
      <c r="A6" s="232" t="s">
        <v>7</v>
      </c>
      <c r="B6" s="235" t="s">
        <v>238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5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5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5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5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5" x14ac:dyDescent="0.3">
      <c r="A11" s="92">
        <v>10</v>
      </c>
      <c r="B11" s="174" t="s">
        <v>216</v>
      </c>
      <c r="C11" s="175" t="s">
        <v>217</v>
      </c>
      <c r="D11" s="179">
        <f>200*E11*L11</f>
        <v>3.8617980799999994</v>
      </c>
      <c r="E11" s="178">
        <f>J11*K11</f>
        <v>1.2220879999999999E-5</v>
      </c>
      <c r="F11" s="21" t="s">
        <v>218</v>
      </c>
      <c r="G11" s="21"/>
      <c r="H11" s="20"/>
      <c r="I11" s="22" t="s">
        <v>191</v>
      </c>
      <c r="J11" s="176">
        <f>3.14*(0.008*0.008-0.006*0.006)</f>
        <v>8.7919999999999985E-5</v>
      </c>
      <c r="K11" s="83">
        <v>0.13900000000000001</v>
      </c>
      <c r="L11" s="84">
        <v>1580</v>
      </c>
      <c r="M11" s="177">
        <v>1</v>
      </c>
      <c r="N11" s="31">
        <f>D11*M11</f>
        <v>3.8617980799999994</v>
      </c>
      <c r="O11" s="209"/>
    </row>
    <row r="12" spans="1:15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3.8617980799999994</v>
      </c>
      <c r="O12" s="191"/>
    </row>
    <row r="13" spans="1:15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</row>
    <row r="14" spans="1:15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5" x14ac:dyDescent="0.3">
      <c r="A15" s="174">
        <v>10</v>
      </c>
      <c r="B15" s="174" t="s">
        <v>240</v>
      </c>
      <c r="C15" s="174" t="s">
        <v>241</v>
      </c>
      <c r="D15" s="268">
        <v>25</v>
      </c>
      <c r="E15" s="267" t="s">
        <v>242</v>
      </c>
      <c r="F15" s="270">
        <f>J11*K11*L11</f>
        <v>1.9308990399999997E-2</v>
      </c>
      <c r="G15" s="266"/>
      <c r="H15" s="266"/>
      <c r="I15" s="269">
        <f>IF(H15="",D15*F15,D15*F15*H15)</f>
        <v>0.48272475999999992</v>
      </c>
      <c r="J15" s="228"/>
      <c r="K15" s="228"/>
      <c r="L15" s="228"/>
      <c r="M15" s="228"/>
      <c r="N15" s="228"/>
      <c r="O15" s="213"/>
    </row>
    <row r="16" spans="1:15" x14ac:dyDescent="0.3">
      <c r="A16" s="211"/>
      <c r="B16" s="212"/>
      <c r="C16" s="212"/>
      <c r="D16" s="212"/>
      <c r="E16" s="212"/>
      <c r="F16" s="212"/>
      <c r="G16" s="212"/>
      <c r="H16" s="256" t="s">
        <v>18</v>
      </c>
      <c r="I16" s="246">
        <f>SUM(I15:I15)</f>
        <v>0.48272475999999992</v>
      </c>
      <c r="J16" s="212"/>
      <c r="K16" s="212"/>
      <c r="L16" s="212"/>
      <c r="M16" s="212"/>
      <c r="N16" s="212"/>
      <c r="O16" s="191"/>
    </row>
    <row r="17" spans="1:15" ht="15" thickBot="1" x14ac:dyDescent="0.35">
      <c r="A17" s="229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1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86"/>
    <col min="2" max="2" width="25.109375" style="186" customWidth="1"/>
    <col min="3" max="3" width="30.5546875" style="186" customWidth="1"/>
    <col min="4" max="8" width="11.44140625" style="186"/>
    <col min="9" max="9" width="14" style="186" customWidth="1"/>
    <col min="10" max="16" width="11.44140625" style="186"/>
    <col min="17" max="17" width="12.88671875" style="186" bestFit="1" customWidth="1"/>
    <col min="18" max="16384" width="11.44140625" style="186"/>
  </cols>
  <sheetData>
    <row r="1" spans="1:17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7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N12+I21</f>
        <v>2.6577472800000002</v>
      </c>
      <c r="O2" s="191"/>
    </row>
    <row r="3" spans="1:17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2</v>
      </c>
      <c r="O3" s="191"/>
    </row>
    <row r="4" spans="1:17" x14ac:dyDescent="0.3">
      <c r="A4" s="232" t="s">
        <v>5</v>
      </c>
      <c r="B4" s="97" t="s">
        <v>226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7" x14ac:dyDescent="0.3">
      <c r="A5" s="232" t="s">
        <v>15</v>
      </c>
      <c r="B5" s="194" t="s">
        <v>221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5.3154945600000003</v>
      </c>
      <c r="O5" s="191"/>
    </row>
    <row r="6" spans="1:17" x14ac:dyDescent="0.3">
      <c r="A6" s="232" t="s">
        <v>7</v>
      </c>
      <c r="B6" s="235" t="s">
        <v>237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7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7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7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7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7" x14ac:dyDescent="0.3">
      <c r="A11" s="92">
        <v>10</v>
      </c>
      <c r="B11" s="27" t="s">
        <v>194</v>
      </c>
      <c r="C11" s="21" t="s">
        <v>38</v>
      </c>
      <c r="D11" s="31">
        <v>2.25</v>
      </c>
      <c r="E11" s="150">
        <f>J11*K11*L11/1000000000</f>
        <v>7.8876800000000011E-3</v>
      </c>
      <c r="F11" s="21" t="s">
        <v>187</v>
      </c>
      <c r="G11" s="21"/>
      <c r="H11" s="20"/>
      <c r="I11" s="22" t="s">
        <v>193</v>
      </c>
      <c r="J11" s="85">
        <f>3.14*8*8</f>
        <v>200.96</v>
      </c>
      <c r="K11" s="181">
        <v>5</v>
      </c>
      <c r="L11" s="84">
        <v>7850</v>
      </c>
      <c r="M11" s="177">
        <v>1</v>
      </c>
      <c r="N11" s="31">
        <f>D11*E11</f>
        <v>1.7747280000000004E-2</v>
      </c>
      <c r="O11" s="209"/>
      <c r="Q11" s="247"/>
    </row>
    <row r="12" spans="1:17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1.7747280000000004E-2</v>
      </c>
      <c r="O12" s="191"/>
    </row>
    <row r="13" spans="1:17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</row>
    <row r="14" spans="1:17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7" ht="28.8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</row>
    <row r="16" spans="1:17" x14ac:dyDescent="0.3">
      <c r="A16" s="251">
        <v>20</v>
      </c>
      <c r="B16" s="147" t="s">
        <v>184</v>
      </c>
      <c r="C16" s="252" t="s">
        <v>195</v>
      </c>
      <c r="D16" s="31">
        <v>0.04</v>
      </c>
      <c r="E16" s="28" t="s">
        <v>186</v>
      </c>
      <c r="F16" s="262">
        <v>0.4</v>
      </c>
      <c r="G16" s="28"/>
      <c r="H16" s="242"/>
      <c r="I16" s="31">
        <f t="shared" si="0"/>
        <v>1.6E-2</v>
      </c>
      <c r="J16" s="189"/>
      <c r="K16" s="189"/>
      <c r="L16" s="189"/>
      <c r="M16" s="189"/>
      <c r="N16" s="189"/>
      <c r="O16" s="191"/>
    </row>
    <row r="17" spans="1:15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</row>
    <row r="18" spans="1:15" x14ac:dyDescent="0.3">
      <c r="A18" s="251">
        <v>40</v>
      </c>
      <c r="B18" s="147" t="s">
        <v>184</v>
      </c>
      <c r="C18" s="252" t="s">
        <v>197</v>
      </c>
      <c r="D18" s="31">
        <v>0.04</v>
      </c>
      <c r="E18" s="28" t="s">
        <v>186</v>
      </c>
      <c r="F18" s="262">
        <v>0.56000000000000005</v>
      </c>
      <c r="G18" s="28"/>
      <c r="H18" s="242"/>
      <c r="I18" s="31">
        <f t="shared" si="0"/>
        <v>2.2400000000000003E-2</v>
      </c>
      <c r="J18" s="189"/>
      <c r="K18" s="189"/>
      <c r="L18" s="189"/>
      <c r="M18" s="189"/>
      <c r="N18" s="189"/>
      <c r="O18" s="191"/>
    </row>
    <row r="19" spans="1:15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</row>
    <row r="20" spans="1:15" x14ac:dyDescent="0.3">
      <c r="A20" s="254">
        <v>60</v>
      </c>
      <c r="B20" s="147" t="s">
        <v>184</v>
      </c>
      <c r="C20" s="252" t="s">
        <v>196</v>
      </c>
      <c r="D20" s="31">
        <v>0.04</v>
      </c>
      <c r="E20" s="28" t="s">
        <v>186</v>
      </c>
      <c r="F20" s="242">
        <v>0.04</v>
      </c>
      <c r="G20" s="242"/>
      <c r="H20" s="242"/>
      <c r="I20" s="31">
        <f t="shared" si="0"/>
        <v>1.6000000000000001E-3</v>
      </c>
      <c r="J20" s="189"/>
      <c r="K20" s="189"/>
      <c r="L20" s="189"/>
      <c r="M20" s="189"/>
      <c r="N20" s="189"/>
      <c r="O20" s="191"/>
    </row>
    <row r="21" spans="1:15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2.64</v>
      </c>
      <c r="J21" s="212"/>
      <c r="K21" s="212"/>
      <c r="L21" s="212"/>
      <c r="M21" s="212"/>
      <c r="N21" s="212"/>
      <c r="O21" s="191"/>
    </row>
    <row r="22" spans="1:15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</row>
  </sheetData>
  <hyperlinks>
    <hyperlink ref="B4" location="SU_A0300" display="Upper Back A-arm"/>
    <hyperlink ref="E3" location="dSU_03005" display="Drawing"/>
    <hyperlink ref="G2" location="SU_A0300_BOM" display="Back to BOM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/>
  </sheetViews>
  <sheetFormatPr baseColWidth="10" defaultColWidth="11.44140625" defaultRowHeight="14.4" x14ac:dyDescent="0.3"/>
  <cols>
    <col min="1" max="1" width="14.21875" style="186" customWidth="1"/>
    <col min="2" max="16384" width="11.44140625" style="186"/>
  </cols>
  <sheetData>
    <row r="1" spans="1:2" x14ac:dyDescent="0.3">
      <c r="A1" s="186" t="s">
        <v>198</v>
      </c>
      <c r="B1" s="264" t="str">
        <f>SU_03005!B6</f>
        <v>SU 03005</v>
      </c>
    </row>
  </sheetData>
  <hyperlinks>
    <hyperlink ref="B1" location="SU_03005" display="SU_03005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23"/>
  <sheetViews>
    <sheetView workbookViewId="0">
      <selection activeCell="B4" sqref="B4"/>
    </sheetView>
  </sheetViews>
  <sheetFormatPr baseColWidth="10" defaultRowHeight="14.4" x14ac:dyDescent="0.3"/>
  <sheetData>
    <row r="1" spans="1:16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  <c r="P1" s="186"/>
    </row>
    <row r="2" spans="1:16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N12+I21</f>
        <v>2.6541978240000001</v>
      </c>
      <c r="O2" s="191"/>
      <c r="P2" s="186"/>
    </row>
    <row r="3" spans="1:16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4</v>
      </c>
      <c r="O3" s="191"/>
      <c r="P3" s="186"/>
    </row>
    <row r="4" spans="1:16" x14ac:dyDescent="0.3">
      <c r="A4" s="232" t="s">
        <v>5</v>
      </c>
      <c r="B4" s="97" t="s">
        <v>226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  <c r="P4" s="186"/>
    </row>
    <row r="5" spans="1:16" x14ac:dyDescent="0.3">
      <c r="A5" s="232" t="s">
        <v>15</v>
      </c>
      <c r="B5" s="194" t="s">
        <v>220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10.616791296000001</v>
      </c>
      <c r="O5" s="191"/>
      <c r="P5" s="186"/>
    </row>
    <row r="6" spans="1:16" x14ac:dyDescent="0.3">
      <c r="A6" s="232" t="s">
        <v>7</v>
      </c>
      <c r="B6" s="235" t="s">
        <v>236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  <c r="P6" s="186"/>
    </row>
    <row r="7" spans="1:16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  <c r="P7" s="186"/>
    </row>
    <row r="8" spans="1:16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  <c r="P8" s="186"/>
    </row>
    <row r="9" spans="1:16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  <c r="P9" s="186"/>
    </row>
    <row r="10" spans="1:16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  <c r="P10" s="186"/>
    </row>
    <row r="11" spans="1:16" x14ac:dyDescent="0.3">
      <c r="A11" s="92">
        <v>10</v>
      </c>
      <c r="B11" s="27" t="s">
        <v>194</v>
      </c>
      <c r="C11" s="21" t="s">
        <v>38</v>
      </c>
      <c r="D11" s="31">
        <v>2.25</v>
      </c>
      <c r="E11" s="150">
        <f>J11*K11*L11/1000000000</f>
        <v>6.3101440000000002E-3</v>
      </c>
      <c r="F11" s="21" t="s">
        <v>187</v>
      </c>
      <c r="G11" s="21"/>
      <c r="H11" s="20"/>
      <c r="I11" s="22" t="s">
        <v>193</v>
      </c>
      <c r="J11" s="85">
        <f>3.14*8*8</f>
        <v>200.96</v>
      </c>
      <c r="K11" s="271">
        <v>4</v>
      </c>
      <c r="L11" s="84">
        <v>7850</v>
      </c>
      <c r="M11" s="177">
        <v>1</v>
      </c>
      <c r="N11" s="31">
        <f>D11*E11</f>
        <v>1.4197824000000001E-2</v>
      </c>
      <c r="O11" s="209"/>
      <c r="P11" s="186"/>
    </row>
    <row r="12" spans="1:16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1.4197824000000001E-2</v>
      </c>
      <c r="O12" s="191"/>
      <c r="P12" s="186"/>
    </row>
    <row r="13" spans="1:16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P13" s="186"/>
    </row>
    <row r="14" spans="1:16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  <c r="P14" s="186"/>
    </row>
    <row r="15" spans="1:16" ht="43.2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  <c r="P15" s="186"/>
    </row>
    <row r="16" spans="1:16" x14ac:dyDescent="0.3">
      <c r="A16" s="251">
        <v>20</v>
      </c>
      <c r="B16" s="147" t="s">
        <v>184</v>
      </c>
      <c r="C16" s="252" t="s">
        <v>195</v>
      </c>
      <c r="D16" s="31">
        <v>0.04</v>
      </c>
      <c r="E16" s="28" t="s">
        <v>186</v>
      </c>
      <c r="F16" s="262">
        <v>0.4</v>
      </c>
      <c r="G16" s="28"/>
      <c r="H16" s="242"/>
      <c r="I16" s="31">
        <f t="shared" si="0"/>
        <v>1.6E-2</v>
      </c>
      <c r="J16" s="189"/>
      <c r="K16" s="189"/>
      <c r="L16" s="189"/>
      <c r="M16" s="189"/>
      <c r="N16" s="189"/>
      <c r="O16" s="191"/>
      <c r="P16" s="186"/>
    </row>
    <row r="17" spans="1:16" ht="43.2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  <c r="P17" s="186"/>
    </row>
    <row r="18" spans="1:16" x14ac:dyDescent="0.3">
      <c r="A18" s="251">
        <v>40</v>
      </c>
      <c r="B18" s="147" t="s">
        <v>184</v>
      </c>
      <c r="C18" s="252" t="s">
        <v>197</v>
      </c>
      <c r="D18" s="31">
        <v>0.04</v>
      </c>
      <c r="E18" s="28" t="s">
        <v>186</v>
      </c>
      <c r="F18" s="262">
        <v>0.56000000000000005</v>
      </c>
      <c r="G18" s="28"/>
      <c r="H18" s="242"/>
      <c r="I18" s="31">
        <f t="shared" si="0"/>
        <v>2.2400000000000003E-2</v>
      </c>
      <c r="J18" s="189"/>
      <c r="K18" s="189"/>
      <c r="L18" s="189"/>
      <c r="M18" s="189"/>
      <c r="N18" s="189"/>
      <c r="O18" s="191"/>
      <c r="P18" s="186"/>
    </row>
    <row r="19" spans="1:16" ht="43.2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  <c r="P19" s="186"/>
    </row>
    <row r="20" spans="1:16" x14ac:dyDescent="0.3">
      <c r="A20" s="254">
        <v>60</v>
      </c>
      <c r="B20" s="147" t="s">
        <v>184</v>
      </c>
      <c r="C20" s="252" t="s">
        <v>196</v>
      </c>
      <c r="D20" s="31">
        <v>0.04</v>
      </c>
      <c r="E20" s="28" t="s">
        <v>186</v>
      </c>
      <c r="F20" s="242">
        <v>0.04</v>
      </c>
      <c r="G20" s="242"/>
      <c r="H20" s="242"/>
      <c r="I20" s="31">
        <f t="shared" si="0"/>
        <v>1.6000000000000001E-3</v>
      </c>
      <c r="J20" s="189"/>
      <c r="K20" s="189"/>
      <c r="L20" s="189"/>
      <c r="M20" s="189"/>
      <c r="N20" s="189"/>
      <c r="O20" s="191"/>
      <c r="P20" s="186"/>
    </row>
    <row r="21" spans="1:16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2.64</v>
      </c>
      <c r="J21" s="212"/>
      <c r="K21" s="212"/>
      <c r="L21" s="212"/>
      <c r="M21" s="212"/>
      <c r="N21" s="212"/>
      <c r="O21" s="191"/>
      <c r="P21" s="186"/>
    </row>
    <row r="22" spans="1:16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  <c r="P22" s="186"/>
    </row>
    <row r="23" spans="1:16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</row>
  </sheetData>
  <hyperlinks>
    <hyperlink ref="B4" location="SU_A0300" display="Upper Back A-arm"/>
    <hyperlink ref="E3" location="dSU_03006" display="Drawing"/>
    <hyperlink ref="G2" location="SU_A0300_BOM" display="Back to B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/>
  </sheetViews>
  <sheetFormatPr baseColWidth="10" defaultRowHeight="14.4" x14ac:dyDescent="0.3"/>
  <cols>
    <col min="1" max="1" width="13.44140625" customWidth="1"/>
  </cols>
  <sheetData>
    <row r="1" spans="1:2" x14ac:dyDescent="0.3">
      <c r="A1" s="186" t="s">
        <v>198</v>
      </c>
      <c r="B1" s="264" t="s">
        <v>239</v>
      </c>
    </row>
  </sheetData>
  <hyperlinks>
    <hyperlink ref="B1" location="SU_03006" display="=SU_03006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96" zoomScaleNormal="96" workbookViewId="0">
      <selection activeCell="G2" sqref="G2"/>
    </sheetView>
  </sheetViews>
  <sheetFormatPr baseColWidth="10" defaultColWidth="9.109375" defaultRowHeight="14.4" x14ac:dyDescent="0.3"/>
  <cols>
    <col min="3" max="3" width="24.5546875" customWidth="1"/>
    <col min="10" max="11" width="10" bestFit="1" customWidth="1"/>
    <col min="15" max="15" width="3.109375" customWidth="1"/>
    <col min="18" max="19" width="16.3320312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SU_01001_m+SU_01001_p</f>
        <v>17.5365519056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18" t="s">
        <v>181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17.5365519056</v>
      </c>
      <c r="O5" s="64"/>
    </row>
    <row r="6" spans="1:19" x14ac:dyDescent="0.3">
      <c r="A6" s="111" t="s">
        <v>7</v>
      </c>
      <c r="B6" s="29" t="s">
        <v>201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3">
      <c r="A11" s="92">
        <v>10</v>
      </c>
      <c r="B11" s="27" t="s">
        <v>133</v>
      </c>
      <c r="C11" s="21" t="s">
        <v>38</v>
      </c>
      <c r="D11" s="31">
        <f>J11*K11*L11*4.2/1000000000</f>
        <v>2.6965519055999998</v>
      </c>
      <c r="E11" s="21"/>
      <c r="F11" s="21"/>
      <c r="G11" s="21"/>
      <c r="H11" s="20"/>
      <c r="I11" s="22" t="s">
        <v>134</v>
      </c>
      <c r="J11" s="169">
        <f>69*73</f>
        <v>5037</v>
      </c>
      <c r="K11" s="86">
        <v>47</v>
      </c>
      <c r="L11" s="84">
        <v>2712</v>
      </c>
      <c r="M11" s="24">
        <v>1</v>
      </c>
      <c r="N11" s="31">
        <f>D11*M11</f>
        <v>2.6965519055999998</v>
      </c>
      <c r="O11" s="69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2.6965519055999998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48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48"/>
    </row>
    <row r="15" spans="1:19" s="26" customFormat="1" ht="7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28.8" x14ac:dyDescent="0.3">
      <c r="A16" s="66">
        <v>20</v>
      </c>
      <c r="B16" s="147" t="s">
        <v>184</v>
      </c>
      <c r="C16" s="19" t="s">
        <v>40</v>
      </c>
      <c r="D16" s="31">
        <v>0.04</v>
      </c>
      <c r="E16" s="28" t="s">
        <v>186</v>
      </c>
      <c r="F16" s="34">
        <v>153</v>
      </c>
      <c r="G16" s="28"/>
      <c r="H16" s="27"/>
      <c r="I16" s="31">
        <f t="shared" si="0"/>
        <v>6.12</v>
      </c>
      <c r="J16" s="58"/>
      <c r="K16" s="58"/>
      <c r="L16" s="58"/>
      <c r="M16" s="58"/>
      <c r="N16" s="58"/>
      <c r="O16" s="64"/>
      <c r="R16" s="148"/>
    </row>
    <row r="17" spans="1:18" s="17" customFormat="1" ht="43.2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49"/>
    </row>
    <row r="18" spans="1:18" ht="28.8" x14ac:dyDescent="0.3">
      <c r="A18" s="66">
        <v>40</v>
      </c>
      <c r="B18" s="147" t="s">
        <v>184</v>
      </c>
      <c r="C18" s="19" t="s">
        <v>40</v>
      </c>
      <c r="D18" s="31">
        <v>0.04</v>
      </c>
      <c r="E18" s="28" t="s">
        <v>186</v>
      </c>
      <c r="F18" s="34">
        <v>51</v>
      </c>
      <c r="G18" s="28"/>
      <c r="H18" s="27"/>
      <c r="I18" s="31">
        <f t="shared" si="0"/>
        <v>2.04</v>
      </c>
      <c r="J18" s="58"/>
      <c r="K18" s="58"/>
      <c r="L18" s="58"/>
      <c r="M18" s="58"/>
      <c r="N18" s="58"/>
      <c r="O18" s="64"/>
      <c r="R18" s="148"/>
    </row>
    <row r="19" spans="1:18" ht="43.2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48"/>
    </row>
    <row r="20" spans="1:18" ht="28.8" x14ac:dyDescent="0.3">
      <c r="A20" s="94">
        <v>60</v>
      </c>
      <c r="B20" s="147" t="s">
        <v>184</v>
      </c>
      <c r="C20" s="19" t="s">
        <v>40</v>
      </c>
      <c r="D20" s="31">
        <v>0.04</v>
      </c>
      <c r="E20" s="28" t="s">
        <v>186</v>
      </c>
      <c r="F20" s="27">
        <v>102</v>
      </c>
      <c r="G20" s="27"/>
      <c r="H20" s="27"/>
      <c r="I20" s="31">
        <f t="shared" si="0"/>
        <v>4.08</v>
      </c>
      <c r="J20" s="58"/>
      <c r="K20" s="58"/>
      <c r="L20" s="58"/>
      <c r="M20" s="58"/>
      <c r="N20" s="58"/>
      <c r="O20" s="64"/>
    </row>
    <row r="21" spans="1:18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14.84</v>
      </c>
      <c r="J21" s="25"/>
      <c r="K21" s="25"/>
      <c r="L21" s="25"/>
      <c r="M21" s="25"/>
      <c r="N21" s="25"/>
      <c r="O21" s="64"/>
    </row>
    <row r="22" spans="1:18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1" display="Drawing"/>
    <hyperlink ref="G2" location="SU_A01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86"/>
    <col min="2" max="2" width="28.6640625" style="186" customWidth="1"/>
    <col min="3" max="3" width="24.33203125" style="186" customWidth="1"/>
    <col min="4" max="8" width="11.44140625" style="186"/>
    <col min="9" max="9" width="15.33203125" style="186" customWidth="1"/>
    <col min="10" max="16" width="11.44140625" style="186"/>
    <col min="17" max="17" width="12.88671875" style="186" bestFit="1" customWidth="1"/>
    <col min="18" max="16384" width="11.44140625" style="186"/>
  </cols>
  <sheetData>
    <row r="1" spans="1:17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7" x14ac:dyDescent="0.3">
      <c r="A2" s="232" t="s">
        <v>0</v>
      </c>
      <c r="B2" s="188" t="s">
        <v>37</v>
      </c>
      <c r="C2" s="189"/>
      <c r="D2" s="189"/>
      <c r="E2" s="189"/>
      <c r="F2" s="189"/>
      <c r="G2" s="97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N12+I19</f>
        <v>2.015803399168</v>
      </c>
      <c r="O2" s="191"/>
    </row>
    <row r="3" spans="1:17" x14ac:dyDescent="0.3">
      <c r="A3" s="232" t="s">
        <v>3</v>
      </c>
      <c r="B3" s="188" t="str">
        <f>SU_A0300!B3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2</v>
      </c>
      <c r="O3" s="191"/>
    </row>
    <row r="4" spans="1:17" x14ac:dyDescent="0.3">
      <c r="A4" s="232" t="s">
        <v>5</v>
      </c>
      <c r="B4" s="97" t="s">
        <v>204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7" x14ac:dyDescent="0.3">
      <c r="A5" s="232" t="s">
        <v>15</v>
      </c>
      <c r="B5" s="196" t="s">
        <v>136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4.031606798336</v>
      </c>
      <c r="O5" s="191"/>
    </row>
    <row r="6" spans="1:17" x14ac:dyDescent="0.3">
      <c r="A6" s="232" t="s">
        <v>7</v>
      </c>
      <c r="B6" s="235" t="s">
        <v>235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7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7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7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7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7" x14ac:dyDescent="0.3">
      <c r="A11" s="241">
        <v>10</v>
      </c>
      <c r="B11" s="242" t="s">
        <v>133</v>
      </c>
      <c r="C11" s="243" t="s">
        <v>38</v>
      </c>
      <c r="D11" s="153">
        <f>4.2</f>
        <v>4.2</v>
      </c>
      <c r="E11" s="259">
        <f>J11*K11*L11/1000000000</f>
        <v>1.4715095040000001E-2</v>
      </c>
      <c r="F11" s="243" t="s">
        <v>187</v>
      </c>
      <c r="G11" s="243"/>
      <c r="H11" s="20"/>
      <c r="I11" s="244" t="s">
        <v>193</v>
      </c>
      <c r="J11" s="106">
        <f>3.14*6*6</f>
        <v>113.03999999999999</v>
      </c>
      <c r="K11" s="83">
        <v>48</v>
      </c>
      <c r="L11" s="208">
        <v>2712</v>
      </c>
      <c r="M11" s="24">
        <v>1</v>
      </c>
      <c r="N11" s="154">
        <f>D11*E11</f>
        <v>6.1803399168000005E-2</v>
      </c>
      <c r="O11" s="209"/>
    </row>
    <row r="12" spans="1:17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6.1803399168000005E-2</v>
      </c>
      <c r="O12" s="191"/>
    </row>
    <row r="13" spans="1:17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Q13" s="247"/>
    </row>
    <row r="14" spans="1:17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7" ht="28.8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>IF(H15="",D15*F15,D15*F15*H15)</f>
        <v>1.3</v>
      </c>
      <c r="J15" s="228"/>
      <c r="K15" s="228"/>
      <c r="L15" s="228"/>
      <c r="M15" s="228"/>
      <c r="N15" s="228"/>
      <c r="O15" s="213"/>
    </row>
    <row r="16" spans="1:17" x14ac:dyDescent="0.3">
      <c r="A16" s="251">
        <v>20</v>
      </c>
      <c r="B16" s="28" t="s">
        <v>184</v>
      </c>
      <c r="C16" s="252" t="s">
        <v>195</v>
      </c>
      <c r="D16" s="31">
        <v>0.04</v>
      </c>
      <c r="E16" s="28" t="s">
        <v>186</v>
      </c>
      <c r="F16" s="262">
        <v>0.05</v>
      </c>
      <c r="G16" s="28"/>
      <c r="H16" s="242"/>
      <c r="I16" s="31">
        <f>IF(H16="",D16*F16,D16*F16*H16)</f>
        <v>2E-3</v>
      </c>
      <c r="J16" s="189"/>
      <c r="K16" s="189"/>
      <c r="L16" s="189"/>
      <c r="M16" s="189"/>
      <c r="N16" s="189"/>
      <c r="O16" s="191"/>
    </row>
    <row r="17" spans="1:15" x14ac:dyDescent="0.3">
      <c r="A17" s="254">
        <v>30</v>
      </c>
      <c r="B17" s="28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>IF(H17="",D17*F17,D17*F17*H17)</f>
        <v>0.65</v>
      </c>
      <c r="J17" s="192"/>
      <c r="K17" s="192"/>
      <c r="L17" s="192"/>
      <c r="M17" s="192"/>
      <c r="N17" s="192"/>
      <c r="O17" s="199"/>
    </row>
    <row r="18" spans="1:15" x14ac:dyDescent="0.3">
      <c r="A18" s="251">
        <v>40</v>
      </c>
      <c r="B18" s="28" t="s">
        <v>184</v>
      </c>
      <c r="C18" s="252" t="s">
        <v>196</v>
      </c>
      <c r="D18" s="31">
        <v>0.04</v>
      </c>
      <c r="E18" s="28" t="s">
        <v>186</v>
      </c>
      <c r="F18" s="262">
        <v>0.05</v>
      </c>
      <c r="G18" s="28"/>
      <c r="H18" s="242"/>
      <c r="I18" s="153">
        <f>IF(H18="",D18*F18,D18*F18*H18)</f>
        <v>2E-3</v>
      </c>
      <c r="J18" s="189"/>
      <c r="K18" s="189"/>
      <c r="L18" s="189"/>
      <c r="M18" s="189"/>
      <c r="N18" s="189"/>
      <c r="O18" s="191"/>
    </row>
    <row r="19" spans="1:15" x14ac:dyDescent="0.3">
      <c r="A19" s="211"/>
      <c r="B19" s="212"/>
      <c r="C19" s="212"/>
      <c r="D19" s="212"/>
      <c r="E19" s="212"/>
      <c r="F19" s="212"/>
      <c r="G19" s="212"/>
      <c r="H19" s="256" t="s">
        <v>18</v>
      </c>
      <c r="I19" s="246">
        <f>SUM(I15:I18)</f>
        <v>1.954</v>
      </c>
      <c r="J19" s="212"/>
      <c r="K19" s="212"/>
      <c r="L19" s="212"/>
      <c r="M19" s="212"/>
      <c r="N19" s="212"/>
      <c r="O19" s="191"/>
    </row>
    <row r="20" spans="1:15" ht="15" thickBot="1" x14ac:dyDescent="0.35">
      <c r="A20" s="229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1"/>
    </row>
  </sheetData>
  <hyperlinks>
    <hyperlink ref="B4" location="SU_A0300" display="Lower Front A-arm"/>
    <hyperlink ref="E3" location="dSU_03007" display="Drawing"/>
    <hyperlink ref="G2" location="SU_A0300_BOM" display="Back to BOM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20" style="186" customWidth="1"/>
    <col min="2" max="16384" width="11.44140625" style="186"/>
  </cols>
  <sheetData>
    <row r="1" spans="1:2" x14ac:dyDescent="0.3">
      <c r="A1" s="186" t="s">
        <v>198</v>
      </c>
      <c r="B1" s="264" t="str">
        <f>SU_03007!B6</f>
        <v>SU 03007</v>
      </c>
    </row>
  </sheetData>
  <hyperlinks>
    <hyperlink ref="B1" location="SU_03007" display="SU_03007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40" zoomScaleNormal="40" zoomScaleSheetLayoutView="80" workbookViewId="0">
      <selection activeCell="R48" sqref="R48"/>
    </sheetView>
  </sheetViews>
  <sheetFormatPr baseColWidth="10" defaultColWidth="9.109375" defaultRowHeight="14.4" x14ac:dyDescent="0.3"/>
  <cols>
    <col min="1" max="1" width="9.109375" style="186"/>
    <col min="2" max="2" width="57.109375" style="186" customWidth="1"/>
    <col min="3" max="3" width="55.6640625" style="186" customWidth="1"/>
    <col min="4" max="13" width="9.109375" style="186"/>
    <col min="14" max="14" width="11.5546875" style="186" customWidth="1"/>
    <col min="15" max="15" width="5.33203125" style="186" customWidth="1"/>
    <col min="16" max="16384" width="9.109375" style="186"/>
  </cols>
  <sheetData>
    <row r="1" spans="1:15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5" x14ac:dyDescent="0.3">
      <c r="A2" s="187" t="s">
        <v>0</v>
      </c>
      <c r="B2" s="188" t="s">
        <v>37</v>
      </c>
      <c r="C2" s="189"/>
      <c r="D2" s="189"/>
      <c r="E2" s="189" t="s">
        <v>127</v>
      </c>
      <c r="F2" s="189"/>
      <c r="G2" s="189"/>
      <c r="H2" s="189"/>
      <c r="I2" s="189"/>
      <c r="J2" s="187" t="s">
        <v>1</v>
      </c>
      <c r="K2" s="190">
        <v>81</v>
      </c>
      <c r="L2" s="189"/>
      <c r="M2" s="187" t="s">
        <v>2</v>
      </c>
      <c r="N2" s="104" t="e">
        <f>BR_A0001_pa+BR_A0001_m+BR_A0001_p+BR_A0001_f</f>
        <v>#NAME?</v>
      </c>
      <c r="O2" s="191"/>
    </row>
    <row r="3" spans="1:15" x14ac:dyDescent="0.3">
      <c r="A3" s="187" t="s">
        <v>3</v>
      </c>
      <c r="B3" s="188" t="s">
        <v>130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7" t="s">
        <v>4</v>
      </c>
      <c r="N3" s="89">
        <v>2</v>
      </c>
      <c r="O3" s="191"/>
    </row>
    <row r="4" spans="1:15" x14ac:dyDescent="0.3">
      <c r="A4" s="187" t="s">
        <v>5</v>
      </c>
      <c r="B4" s="192" t="s">
        <v>243</v>
      </c>
      <c r="C4" s="189"/>
      <c r="D4" s="189"/>
      <c r="E4" s="189"/>
      <c r="F4" s="189"/>
      <c r="G4" s="189"/>
      <c r="H4" s="189"/>
      <c r="I4" s="189"/>
      <c r="J4" s="193" t="s">
        <v>6</v>
      </c>
      <c r="K4" s="189"/>
      <c r="L4" s="189"/>
      <c r="M4" s="189"/>
      <c r="N4" s="189"/>
      <c r="O4" s="191"/>
    </row>
    <row r="5" spans="1:15" x14ac:dyDescent="0.3">
      <c r="A5" s="187" t="s">
        <v>7</v>
      </c>
      <c r="B5" s="194" t="s">
        <v>244</v>
      </c>
      <c r="C5" s="189"/>
      <c r="D5" s="189"/>
      <c r="E5" s="189"/>
      <c r="F5" s="189"/>
      <c r="G5" s="189"/>
      <c r="H5" s="189"/>
      <c r="I5" s="189"/>
      <c r="J5" s="193" t="s">
        <v>8</v>
      </c>
      <c r="K5" s="189"/>
      <c r="L5" s="189"/>
      <c r="M5" s="187" t="s">
        <v>9</v>
      </c>
      <c r="N5" s="77" t="e">
        <f>N2*N3</f>
        <v>#NAME?</v>
      </c>
      <c r="O5" s="191"/>
    </row>
    <row r="6" spans="1:15" x14ac:dyDescent="0.3">
      <c r="A6" s="187" t="s">
        <v>10</v>
      </c>
      <c r="B6" s="188"/>
      <c r="C6" s="189"/>
      <c r="D6" s="189"/>
      <c r="E6" s="189"/>
      <c r="F6" s="189"/>
      <c r="G6" s="189"/>
      <c r="H6" s="189"/>
      <c r="I6" s="189"/>
      <c r="J6" s="193" t="s">
        <v>12</v>
      </c>
      <c r="K6" s="189"/>
      <c r="L6" s="189"/>
      <c r="M6" s="189"/>
      <c r="N6" s="189"/>
      <c r="O6" s="191"/>
    </row>
    <row r="7" spans="1:15" x14ac:dyDescent="0.3">
      <c r="A7" s="187" t="s">
        <v>13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5" x14ac:dyDescent="0.3">
      <c r="A8" s="195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5" x14ac:dyDescent="0.3">
      <c r="A9" s="187" t="s">
        <v>14</v>
      </c>
      <c r="B9" s="187" t="s">
        <v>15</v>
      </c>
      <c r="C9" s="187" t="s">
        <v>16</v>
      </c>
      <c r="D9" s="187" t="s">
        <v>17</v>
      </c>
      <c r="E9" s="187" t="s">
        <v>18</v>
      </c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5" x14ac:dyDescent="0.3">
      <c r="A10" s="196">
        <v>10</v>
      </c>
      <c r="B10" s="95" t="str">
        <f>SU_04001!B5</f>
        <v>Lower Back Bearing Support</v>
      </c>
      <c r="C10" s="77" t="e">
        <f>SU_04001!N2</f>
        <v>#NAME?</v>
      </c>
      <c r="D10" s="197">
        <v>1</v>
      </c>
      <c r="E10" s="77" t="e">
        <f t="shared" ref="E10:E15" si="0">C10*D10</f>
        <v>#NAME?</v>
      </c>
      <c r="F10" s="189"/>
      <c r="G10" s="189"/>
      <c r="H10" s="189"/>
      <c r="I10" s="189"/>
      <c r="J10" s="189"/>
      <c r="K10" s="189"/>
      <c r="L10" s="189"/>
      <c r="M10" s="189"/>
      <c r="N10" s="189"/>
      <c r="O10" s="191"/>
    </row>
    <row r="11" spans="1:15" x14ac:dyDescent="0.3">
      <c r="A11" s="196">
        <v>20</v>
      </c>
      <c r="B11" s="95" t="str">
        <f>SU_04002!B5</f>
        <v>Inner Bearing Support</v>
      </c>
      <c r="C11" s="77">
        <f>SU_04002!N2</f>
        <v>4.6183805439999999</v>
      </c>
      <c r="D11" s="196">
        <v>2</v>
      </c>
      <c r="E11" s="77">
        <f t="shared" si="0"/>
        <v>9.2367610879999997</v>
      </c>
      <c r="F11" s="192"/>
      <c r="G11" s="192"/>
      <c r="H11" s="192"/>
      <c r="I11" s="192"/>
      <c r="J11" s="192"/>
      <c r="K11" s="192"/>
      <c r="L11" s="192"/>
      <c r="M11" s="192"/>
      <c r="N11" s="192"/>
      <c r="O11" s="191"/>
    </row>
    <row r="12" spans="1:15" x14ac:dyDescent="0.3">
      <c r="A12" s="196">
        <v>30</v>
      </c>
      <c r="B12" s="95" t="str">
        <f>SU_04003!B5</f>
        <v>Lower Back A-arm tube (Front)  Carbon Fiber Tube</v>
      </c>
      <c r="C12" s="77">
        <f>SU_04003!N2</f>
        <v>311.76263999999998</v>
      </c>
      <c r="D12" s="196">
        <v>1</v>
      </c>
      <c r="E12" s="77">
        <f t="shared" si="0"/>
        <v>311.76263999999998</v>
      </c>
      <c r="F12" s="192"/>
      <c r="G12" s="192"/>
      <c r="H12" s="192"/>
      <c r="I12" s="192"/>
      <c r="J12" s="192"/>
      <c r="K12" s="192"/>
      <c r="L12" s="192"/>
      <c r="M12" s="192"/>
      <c r="N12" s="192"/>
      <c r="O12" s="67"/>
    </row>
    <row r="13" spans="1:15" s="198" customFormat="1" x14ac:dyDescent="0.3">
      <c r="A13" s="196">
        <v>40</v>
      </c>
      <c r="B13" s="95" t="str">
        <f>SU_04004!B5</f>
        <v>Lower Back A-arm tube (Back)  Carbon Fiber Tube</v>
      </c>
      <c r="C13" s="77">
        <f>SU_04004!N2</f>
        <v>192.05076800000001</v>
      </c>
      <c r="D13" s="196">
        <v>1</v>
      </c>
      <c r="E13" s="77">
        <f t="shared" si="0"/>
        <v>192.05076800000001</v>
      </c>
      <c r="F13" s="192"/>
      <c r="G13" s="192"/>
      <c r="H13" s="192"/>
      <c r="I13" s="192"/>
      <c r="J13" s="192"/>
      <c r="K13" s="192"/>
      <c r="L13" s="192"/>
      <c r="M13" s="192"/>
      <c r="N13" s="192"/>
      <c r="O13" s="67"/>
    </row>
    <row r="14" spans="1:15" s="198" customFormat="1" x14ac:dyDescent="0.3">
      <c r="A14" s="196">
        <v>50</v>
      </c>
      <c r="B14" s="95" t="str">
        <f>SU_04005!B5</f>
        <v>Spacer</v>
      </c>
      <c r="C14" s="77">
        <f>SU_04005!N2</f>
        <v>2.6754945600000002</v>
      </c>
      <c r="D14" s="186">
        <v>6</v>
      </c>
      <c r="E14" s="77">
        <f t="shared" si="0"/>
        <v>16.05296736</v>
      </c>
      <c r="F14" s="192"/>
      <c r="G14" s="192"/>
      <c r="H14" s="192"/>
      <c r="I14" s="192"/>
      <c r="J14" s="192"/>
      <c r="K14" s="192"/>
      <c r="L14" s="192"/>
      <c r="M14" s="192"/>
      <c r="N14" s="192"/>
      <c r="O14" s="199"/>
    </row>
    <row r="15" spans="1:15" s="198" customFormat="1" x14ac:dyDescent="0.3">
      <c r="A15" s="196">
        <v>60</v>
      </c>
      <c r="B15" s="95" t="str">
        <f>SU_04007!B5</f>
        <v>Outboard A-arm Insert</v>
      </c>
      <c r="C15" s="77">
        <f>SU_04007!N2</f>
        <v>2.015803399168</v>
      </c>
      <c r="D15" s="200">
        <v>2</v>
      </c>
      <c r="E15" s="77">
        <f t="shared" si="0"/>
        <v>4.031606798336</v>
      </c>
      <c r="F15" s="192"/>
      <c r="G15" s="192"/>
      <c r="H15" s="192"/>
      <c r="I15" s="192"/>
      <c r="J15" s="192"/>
      <c r="K15" s="192"/>
      <c r="L15" s="192"/>
      <c r="M15" s="192"/>
      <c r="N15" s="192"/>
      <c r="O15" s="199"/>
    </row>
    <row r="16" spans="1:15" x14ac:dyDescent="0.3">
      <c r="A16" s="195"/>
      <c r="B16" s="189"/>
      <c r="C16" s="189"/>
      <c r="D16" s="201" t="s">
        <v>18</v>
      </c>
      <c r="E16" s="202" t="e">
        <f>SUM(E10:E15)</f>
        <v>#NAME?</v>
      </c>
      <c r="F16" s="192"/>
      <c r="G16" s="192"/>
      <c r="H16" s="192"/>
      <c r="I16" s="192"/>
      <c r="J16" s="192"/>
      <c r="K16" s="192"/>
      <c r="L16" s="192"/>
      <c r="M16" s="192"/>
      <c r="N16" s="192"/>
      <c r="O16" s="191"/>
    </row>
    <row r="17" spans="1:15" x14ac:dyDescent="0.3">
      <c r="A17" s="195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91"/>
    </row>
    <row r="18" spans="1:15" x14ac:dyDescent="0.3">
      <c r="A18" s="187" t="s">
        <v>14</v>
      </c>
      <c r="B18" s="187" t="s">
        <v>19</v>
      </c>
      <c r="C18" s="187" t="s">
        <v>20</v>
      </c>
      <c r="D18" s="187" t="s">
        <v>21</v>
      </c>
      <c r="E18" s="187" t="s">
        <v>22</v>
      </c>
      <c r="F18" s="187" t="s">
        <v>23</v>
      </c>
      <c r="G18" s="187" t="s">
        <v>24</v>
      </c>
      <c r="H18" s="187" t="s">
        <v>25</v>
      </c>
      <c r="I18" s="187" t="s">
        <v>26</v>
      </c>
      <c r="J18" s="187" t="s">
        <v>27</v>
      </c>
      <c r="K18" s="187" t="s">
        <v>28</v>
      </c>
      <c r="L18" s="187" t="s">
        <v>29</v>
      </c>
      <c r="M18" s="187" t="s">
        <v>17</v>
      </c>
      <c r="N18" s="187" t="s">
        <v>18</v>
      </c>
      <c r="O18" s="191"/>
    </row>
    <row r="19" spans="1:15" ht="14.4" customHeight="1" x14ac:dyDescent="0.3">
      <c r="A19" s="196">
        <v>10</v>
      </c>
      <c r="B19" s="196" t="s">
        <v>132</v>
      </c>
      <c r="C19" s="196"/>
      <c r="D19" s="136">
        <f>0.03*E19^2+5</f>
        <v>6.92</v>
      </c>
      <c r="E19" s="196">
        <v>8</v>
      </c>
      <c r="F19" s="196" t="s">
        <v>30</v>
      </c>
      <c r="G19" s="196"/>
      <c r="H19" s="78"/>
      <c r="I19" s="203"/>
      <c r="J19" s="80"/>
      <c r="K19" s="78"/>
      <c r="L19" s="78"/>
      <c r="M19" s="78">
        <v>3</v>
      </c>
      <c r="N19" s="77">
        <f>M19*D19</f>
        <v>20.759999999999998</v>
      </c>
      <c r="O19" s="191"/>
    </row>
    <row r="20" spans="1:15" s="210" customFormat="1" ht="14.4" customHeight="1" x14ac:dyDescent="0.3">
      <c r="A20" s="196">
        <v>20</v>
      </c>
      <c r="B20" s="204" t="s">
        <v>137</v>
      </c>
      <c r="C20" s="205" t="s">
        <v>138</v>
      </c>
      <c r="D20" s="77"/>
      <c r="E20" s="206"/>
      <c r="F20" s="206"/>
      <c r="G20" s="206"/>
      <c r="H20" s="78"/>
      <c r="I20" s="207"/>
      <c r="J20" s="106"/>
      <c r="K20" s="83"/>
      <c r="L20" s="208"/>
      <c r="M20" s="85"/>
      <c r="N20" s="77">
        <f>M20*D20</f>
        <v>0</v>
      </c>
      <c r="O20" s="209"/>
    </row>
    <row r="21" spans="1:15" ht="14.4" customHeight="1" x14ac:dyDescent="0.3">
      <c r="A21" s="196">
        <v>30</v>
      </c>
      <c r="B21" s="204" t="s">
        <v>137</v>
      </c>
      <c r="C21" s="205" t="s">
        <v>139</v>
      </c>
      <c r="D21" s="77"/>
      <c r="E21" s="196"/>
      <c r="F21" s="196"/>
      <c r="G21" s="196"/>
      <c r="H21" s="78"/>
      <c r="I21" s="85"/>
      <c r="J21" s="86"/>
      <c r="K21" s="78"/>
      <c r="L21" s="208"/>
      <c r="M21" s="78"/>
      <c r="N21" s="77">
        <f>M21*D21</f>
        <v>0</v>
      </c>
      <c r="O21" s="191"/>
    </row>
    <row r="22" spans="1:15" x14ac:dyDescent="0.3">
      <c r="A22" s="211"/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187" t="s">
        <v>18</v>
      </c>
      <c r="N22" s="202">
        <f>SUM(N19:N21)</f>
        <v>20.759999999999998</v>
      </c>
      <c r="O22" s="191"/>
    </row>
    <row r="23" spans="1:15" x14ac:dyDescent="0.3">
      <c r="A23" s="195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91"/>
    </row>
    <row r="24" spans="1:15" s="214" customFormat="1" x14ac:dyDescent="0.3">
      <c r="A24" s="187" t="s">
        <v>14</v>
      </c>
      <c r="B24" s="187" t="s">
        <v>31</v>
      </c>
      <c r="C24" s="187" t="s">
        <v>20</v>
      </c>
      <c r="D24" s="187" t="s">
        <v>21</v>
      </c>
      <c r="E24" s="187" t="s">
        <v>32</v>
      </c>
      <c r="F24" s="187" t="s">
        <v>17</v>
      </c>
      <c r="G24" s="187" t="s">
        <v>33</v>
      </c>
      <c r="H24" s="187" t="s">
        <v>34</v>
      </c>
      <c r="I24" s="187" t="s">
        <v>18</v>
      </c>
      <c r="J24" s="212"/>
      <c r="K24" s="212"/>
      <c r="L24" s="212"/>
      <c r="M24" s="212"/>
      <c r="N24" s="212"/>
      <c r="O24" s="213"/>
    </row>
    <row r="25" spans="1:15" x14ac:dyDescent="0.3">
      <c r="A25" s="204">
        <v>10</v>
      </c>
      <c r="B25" s="215" t="s">
        <v>140</v>
      </c>
      <c r="C25" s="215" t="s">
        <v>141</v>
      </c>
      <c r="D25" s="139">
        <v>0.02</v>
      </c>
      <c r="E25" s="204" t="s">
        <v>142</v>
      </c>
      <c r="F25" s="216">
        <f>3*2*PI()*0.8*0.5</f>
        <v>7.5398223686155035</v>
      </c>
      <c r="G25" s="204"/>
      <c r="H25" s="204"/>
      <c r="I25" s="139">
        <f>D25*F25</f>
        <v>0.15079644737231007</v>
      </c>
      <c r="J25" s="189"/>
      <c r="K25" s="189"/>
      <c r="L25" s="189"/>
      <c r="M25" s="189"/>
      <c r="N25" s="189"/>
      <c r="O25" s="191"/>
    </row>
    <row r="26" spans="1:15" x14ac:dyDescent="0.3">
      <c r="A26" s="196">
        <v>20</v>
      </c>
      <c r="B26" s="88" t="s">
        <v>143</v>
      </c>
      <c r="C26" s="215" t="s">
        <v>144</v>
      </c>
      <c r="D26" s="77">
        <v>0.13</v>
      </c>
      <c r="E26" s="88" t="s">
        <v>35</v>
      </c>
      <c r="F26" s="217">
        <v>3</v>
      </c>
      <c r="G26" s="196"/>
      <c r="H26" s="196"/>
      <c r="I26" s="77">
        <f t="shared" ref="I26:I42" si="1">IF(H26="",D26*F26,D26*F26*H26)</f>
        <v>0.39</v>
      </c>
      <c r="J26" s="189"/>
      <c r="K26" s="189"/>
      <c r="L26" s="189"/>
      <c r="M26" s="189"/>
      <c r="N26" s="189"/>
      <c r="O26" s="191"/>
    </row>
    <row r="27" spans="1:15" ht="15" customHeight="1" x14ac:dyDescent="0.3">
      <c r="A27" s="196">
        <v>30</v>
      </c>
      <c r="B27" s="140" t="s">
        <v>145</v>
      </c>
      <c r="C27" s="196" t="s">
        <v>146</v>
      </c>
      <c r="D27" s="77">
        <v>0.02</v>
      </c>
      <c r="E27" s="196" t="s">
        <v>35</v>
      </c>
      <c r="F27" s="217">
        <v>4</v>
      </c>
      <c r="G27" s="196"/>
      <c r="H27" s="196"/>
      <c r="I27" s="77">
        <f t="shared" si="1"/>
        <v>0.08</v>
      </c>
      <c r="J27" s="189"/>
      <c r="K27" s="189"/>
      <c r="L27" s="189"/>
      <c r="M27" s="189"/>
      <c r="N27" s="189"/>
      <c r="O27" s="191"/>
    </row>
    <row r="28" spans="1:15" s="198" customFormat="1" x14ac:dyDescent="0.3">
      <c r="A28" s="196">
        <v>40</v>
      </c>
      <c r="B28" s="140" t="s">
        <v>145</v>
      </c>
      <c r="C28" s="196" t="s">
        <v>147</v>
      </c>
      <c r="D28" s="77">
        <v>0.02</v>
      </c>
      <c r="E28" s="196" t="s">
        <v>35</v>
      </c>
      <c r="F28" s="217">
        <v>6</v>
      </c>
      <c r="G28" s="196"/>
      <c r="H28" s="196"/>
      <c r="I28" s="77">
        <f t="shared" si="1"/>
        <v>0.12</v>
      </c>
      <c r="J28" s="192"/>
      <c r="K28" s="192"/>
      <c r="L28" s="192"/>
      <c r="M28" s="192"/>
      <c r="N28" s="192"/>
      <c r="O28" s="199"/>
    </row>
    <row r="29" spans="1:15" s="198" customFormat="1" x14ac:dyDescent="0.3">
      <c r="A29" s="196">
        <v>50</v>
      </c>
      <c r="B29" s="140" t="s">
        <v>148</v>
      </c>
      <c r="C29" s="196" t="s">
        <v>149</v>
      </c>
      <c r="D29" s="77">
        <v>0.02</v>
      </c>
      <c r="E29" s="196" t="s">
        <v>41</v>
      </c>
      <c r="F29" s="217">
        <v>18</v>
      </c>
      <c r="G29" s="196"/>
      <c r="H29" s="196"/>
      <c r="I29" s="77">
        <f t="shared" si="1"/>
        <v>0.36</v>
      </c>
      <c r="J29" s="192"/>
      <c r="K29" s="192"/>
      <c r="L29" s="192"/>
      <c r="M29" s="192"/>
      <c r="N29" s="192"/>
      <c r="O29" s="199"/>
    </row>
    <row r="30" spans="1:15" s="198" customFormat="1" x14ac:dyDescent="0.3">
      <c r="A30" s="196">
        <v>60</v>
      </c>
      <c r="B30" s="88" t="s">
        <v>177</v>
      </c>
      <c r="C30" s="196" t="s">
        <v>151</v>
      </c>
      <c r="D30" s="77">
        <v>0.13</v>
      </c>
      <c r="E30" s="88" t="s">
        <v>35</v>
      </c>
      <c r="F30" s="217">
        <v>2</v>
      </c>
      <c r="G30" s="196"/>
      <c r="H30" s="196"/>
      <c r="I30" s="77">
        <f t="shared" si="1"/>
        <v>0.26</v>
      </c>
      <c r="J30" s="192"/>
      <c r="K30" s="192"/>
      <c r="L30" s="192"/>
      <c r="M30" s="192"/>
      <c r="N30" s="192"/>
      <c r="O30" s="199"/>
    </row>
    <row r="31" spans="1:15" s="198" customFormat="1" x14ac:dyDescent="0.3">
      <c r="A31" s="204">
        <v>70</v>
      </c>
      <c r="B31" s="88" t="s">
        <v>177</v>
      </c>
      <c r="C31" s="196" t="s">
        <v>150</v>
      </c>
      <c r="D31" s="77">
        <v>0.13</v>
      </c>
      <c r="E31" s="88" t="s">
        <v>35</v>
      </c>
      <c r="F31" s="217">
        <v>2</v>
      </c>
      <c r="G31" s="196"/>
      <c r="H31" s="196"/>
      <c r="I31" s="77">
        <f t="shared" si="1"/>
        <v>0.26</v>
      </c>
      <c r="J31" s="192"/>
      <c r="K31" s="192"/>
      <c r="L31" s="192"/>
      <c r="M31" s="192"/>
      <c r="N31" s="192"/>
      <c r="O31" s="199"/>
    </row>
    <row r="32" spans="1:15" s="198" customFormat="1" x14ac:dyDescent="0.3">
      <c r="A32" s="196">
        <v>80</v>
      </c>
      <c r="B32" s="88" t="s">
        <v>177</v>
      </c>
      <c r="C32" s="196" t="s">
        <v>152</v>
      </c>
      <c r="D32" s="77">
        <v>0.13</v>
      </c>
      <c r="E32" s="88" t="s">
        <v>35</v>
      </c>
      <c r="F32" s="217">
        <v>2</v>
      </c>
      <c r="G32" s="196"/>
      <c r="H32" s="196"/>
      <c r="I32" s="77">
        <f t="shared" si="1"/>
        <v>0.26</v>
      </c>
      <c r="J32" s="192"/>
      <c r="K32" s="192"/>
      <c r="L32" s="192"/>
      <c r="M32" s="192"/>
      <c r="N32" s="192"/>
      <c r="O32" s="199"/>
    </row>
    <row r="33" spans="1:15" s="198" customFormat="1" x14ac:dyDescent="0.3">
      <c r="A33" s="196">
        <v>90</v>
      </c>
      <c r="B33" s="218" t="s">
        <v>153</v>
      </c>
      <c r="C33" s="196" t="s">
        <v>155</v>
      </c>
      <c r="D33" s="77">
        <v>10</v>
      </c>
      <c r="E33" s="196" t="s">
        <v>154</v>
      </c>
      <c r="F33" s="217">
        <f>6*0.03*2*3.14*0.06</f>
        <v>6.7823999999999995E-2</v>
      </c>
      <c r="G33" s="196"/>
      <c r="H33" s="196"/>
      <c r="I33" s="77">
        <f t="shared" si="1"/>
        <v>0.67823999999999995</v>
      </c>
      <c r="J33" s="192"/>
      <c r="K33" s="192"/>
      <c r="L33" s="192"/>
      <c r="M33" s="192"/>
      <c r="N33" s="192"/>
      <c r="O33" s="199"/>
    </row>
    <row r="34" spans="1:15" s="198" customFormat="1" x14ac:dyDescent="0.3">
      <c r="A34" s="196">
        <v>100</v>
      </c>
      <c r="B34" s="218" t="s">
        <v>157</v>
      </c>
      <c r="C34" s="196" t="s">
        <v>156</v>
      </c>
      <c r="D34" s="77">
        <v>20</v>
      </c>
      <c r="E34" s="196" t="s">
        <v>154</v>
      </c>
      <c r="F34" s="217">
        <f>6*0.03*2*3.14*0.06</f>
        <v>6.7823999999999995E-2</v>
      </c>
      <c r="G34" s="196"/>
      <c r="H34" s="196"/>
      <c r="I34" s="77">
        <f t="shared" si="1"/>
        <v>1.3564799999999999</v>
      </c>
      <c r="J34" s="192"/>
      <c r="K34" s="192"/>
      <c r="L34" s="192"/>
      <c r="M34" s="192"/>
      <c r="N34" s="192"/>
      <c r="O34" s="199"/>
    </row>
    <row r="35" spans="1:15" s="198" customFormat="1" x14ac:dyDescent="0.3">
      <c r="A35" s="196">
        <v>110</v>
      </c>
      <c r="B35" s="215" t="s">
        <v>158</v>
      </c>
      <c r="C35" s="215" t="s">
        <v>159</v>
      </c>
      <c r="D35" s="139">
        <v>0.06</v>
      </c>
      <c r="E35" s="204" t="s">
        <v>32</v>
      </c>
      <c r="F35" s="204">
        <v>1</v>
      </c>
      <c r="G35" s="196"/>
      <c r="H35" s="196"/>
      <c r="I35" s="77">
        <f t="shared" si="1"/>
        <v>0.06</v>
      </c>
      <c r="J35" s="192"/>
      <c r="K35" s="192"/>
      <c r="L35" s="192"/>
      <c r="M35" s="192"/>
      <c r="N35" s="192"/>
      <c r="O35" s="199"/>
    </row>
    <row r="36" spans="1:15" s="198" customFormat="1" x14ac:dyDescent="0.3">
      <c r="A36" s="196">
        <v>120</v>
      </c>
      <c r="B36" s="219" t="s">
        <v>160</v>
      </c>
      <c r="C36" s="219" t="s">
        <v>161</v>
      </c>
      <c r="D36" s="141">
        <v>0.13</v>
      </c>
      <c r="E36" s="220" t="s">
        <v>32</v>
      </c>
      <c r="F36" s="220">
        <v>4</v>
      </c>
      <c r="G36" s="196"/>
      <c r="H36" s="196"/>
      <c r="I36" s="77">
        <f t="shared" si="1"/>
        <v>0.52</v>
      </c>
      <c r="J36" s="192"/>
      <c r="K36" s="192"/>
      <c r="L36" s="192"/>
      <c r="M36" s="192"/>
      <c r="N36" s="192"/>
      <c r="O36" s="199"/>
    </row>
    <row r="37" spans="1:15" s="198" customFormat="1" x14ac:dyDescent="0.3">
      <c r="A37" s="196">
        <v>130</v>
      </c>
      <c r="B37" s="221" t="s">
        <v>160</v>
      </c>
      <c r="C37" s="221" t="s">
        <v>162</v>
      </c>
      <c r="D37" s="142">
        <v>0.13</v>
      </c>
      <c r="E37" s="222" t="s">
        <v>32</v>
      </c>
      <c r="F37" s="222">
        <v>4</v>
      </c>
      <c r="G37" s="196"/>
      <c r="H37" s="196"/>
      <c r="I37" s="77">
        <f t="shared" si="1"/>
        <v>0.52</v>
      </c>
      <c r="J37" s="192"/>
      <c r="K37" s="192"/>
      <c r="L37" s="192"/>
      <c r="M37" s="192"/>
      <c r="N37" s="192"/>
      <c r="O37" s="199"/>
    </row>
    <row r="38" spans="1:15" s="198" customFormat="1" x14ac:dyDescent="0.3">
      <c r="A38" s="196">
        <v>140</v>
      </c>
      <c r="B38" s="221" t="s">
        <v>158</v>
      </c>
      <c r="C38" s="221" t="s">
        <v>163</v>
      </c>
      <c r="D38" s="142">
        <v>0.06</v>
      </c>
      <c r="E38" s="222" t="s">
        <v>32</v>
      </c>
      <c r="F38" s="222">
        <v>1</v>
      </c>
      <c r="G38" s="196"/>
      <c r="H38" s="196"/>
      <c r="I38" s="77">
        <f t="shared" si="1"/>
        <v>0.06</v>
      </c>
      <c r="J38" s="192"/>
      <c r="K38" s="192"/>
      <c r="L38" s="192"/>
      <c r="M38" s="192"/>
      <c r="N38" s="192"/>
      <c r="O38" s="199"/>
    </row>
    <row r="39" spans="1:15" s="198" customFormat="1" x14ac:dyDescent="0.3">
      <c r="A39" s="196">
        <v>150</v>
      </c>
      <c r="B39" s="221" t="s">
        <v>160</v>
      </c>
      <c r="C39" s="221" t="s">
        <v>164</v>
      </c>
      <c r="D39" s="142">
        <v>0.13</v>
      </c>
      <c r="E39" s="222" t="s">
        <v>32</v>
      </c>
      <c r="F39" s="222">
        <v>2</v>
      </c>
      <c r="G39" s="196"/>
      <c r="H39" s="196"/>
      <c r="I39" s="77">
        <f t="shared" si="1"/>
        <v>0.26</v>
      </c>
      <c r="J39" s="192"/>
      <c r="K39" s="192"/>
      <c r="L39" s="192"/>
      <c r="M39" s="192"/>
      <c r="N39" s="192"/>
      <c r="O39" s="199"/>
    </row>
    <row r="40" spans="1:15" s="198" customFormat="1" x14ac:dyDescent="0.3">
      <c r="A40" s="196">
        <v>160</v>
      </c>
      <c r="B40" s="221" t="s">
        <v>160</v>
      </c>
      <c r="C40" s="221" t="s">
        <v>165</v>
      </c>
      <c r="D40" s="142">
        <v>0.13</v>
      </c>
      <c r="E40" s="222" t="s">
        <v>32</v>
      </c>
      <c r="F40" s="222">
        <v>2</v>
      </c>
      <c r="G40" s="196"/>
      <c r="H40" s="196"/>
      <c r="I40" s="77">
        <f t="shared" si="1"/>
        <v>0.26</v>
      </c>
      <c r="J40" s="192"/>
      <c r="K40" s="192"/>
      <c r="L40" s="192"/>
      <c r="M40" s="192"/>
      <c r="N40" s="192"/>
      <c r="O40" s="199"/>
    </row>
    <row r="41" spans="1:15" s="214" customFormat="1" x14ac:dyDescent="0.3">
      <c r="A41" s="196">
        <v>170</v>
      </c>
      <c r="B41" s="223" t="s">
        <v>166</v>
      </c>
      <c r="C41" s="224" t="s">
        <v>167</v>
      </c>
      <c r="D41" s="142">
        <v>0.75</v>
      </c>
      <c r="E41" s="222" t="s">
        <v>32</v>
      </c>
      <c r="F41" s="222">
        <v>3</v>
      </c>
      <c r="G41" s="217"/>
      <c r="H41" s="217"/>
      <c r="I41" s="77">
        <f t="shared" si="1"/>
        <v>2.25</v>
      </c>
      <c r="J41" s="192"/>
      <c r="K41" s="192"/>
      <c r="L41" s="192"/>
      <c r="M41" s="192"/>
      <c r="N41" s="192"/>
      <c r="O41" s="213"/>
    </row>
    <row r="42" spans="1:15" s="198" customFormat="1" x14ac:dyDescent="0.3">
      <c r="A42" s="196">
        <v>180</v>
      </c>
      <c r="B42" s="223" t="s">
        <v>168</v>
      </c>
      <c r="C42" s="224" t="s">
        <v>169</v>
      </c>
      <c r="D42" s="142">
        <v>0.25</v>
      </c>
      <c r="E42" s="224" t="s">
        <v>32</v>
      </c>
      <c r="F42" s="222">
        <v>3</v>
      </c>
      <c r="G42" s="196"/>
      <c r="H42" s="196"/>
      <c r="I42" s="77">
        <f t="shared" si="1"/>
        <v>0.75</v>
      </c>
      <c r="J42" s="192"/>
      <c r="K42" s="192"/>
      <c r="L42" s="192"/>
      <c r="M42" s="192"/>
      <c r="N42" s="192"/>
      <c r="O42" s="199"/>
    </row>
    <row r="43" spans="1:15" x14ac:dyDescent="0.3">
      <c r="A43" s="211"/>
      <c r="B43" s="212"/>
      <c r="C43" s="212"/>
      <c r="D43" s="212"/>
      <c r="E43" s="212"/>
      <c r="F43" s="212"/>
      <c r="G43" s="212"/>
      <c r="H43" s="201" t="s">
        <v>18</v>
      </c>
      <c r="I43" s="202">
        <f>SUM(I25:I42)</f>
        <v>8.595516447372308</v>
      </c>
      <c r="J43" s="189"/>
      <c r="K43" s="189"/>
      <c r="L43" s="189"/>
      <c r="M43" s="189"/>
      <c r="N43" s="189"/>
      <c r="O43" s="191"/>
    </row>
    <row r="44" spans="1:15" x14ac:dyDescent="0.3">
      <c r="A44" s="195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91"/>
    </row>
    <row r="45" spans="1:15" x14ac:dyDescent="0.3">
      <c r="A45" s="187" t="s">
        <v>14</v>
      </c>
      <c r="B45" s="187" t="s">
        <v>36</v>
      </c>
      <c r="C45" s="187" t="s">
        <v>20</v>
      </c>
      <c r="D45" s="187" t="s">
        <v>21</v>
      </c>
      <c r="E45" s="187" t="s">
        <v>22</v>
      </c>
      <c r="F45" s="187" t="s">
        <v>23</v>
      </c>
      <c r="G45" s="187" t="s">
        <v>24</v>
      </c>
      <c r="H45" s="187" t="s">
        <v>25</v>
      </c>
      <c r="I45" s="187" t="s">
        <v>17</v>
      </c>
      <c r="J45" s="187" t="s">
        <v>18</v>
      </c>
      <c r="K45" s="189"/>
      <c r="L45" s="189"/>
      <c r="M45" s="189"/>
      <c r="N45" s="189"/>
      <c r="O45" s="191"/>
    </row>
    <row r="46" spans="1:15" x14ac:dyDescent="0.3">
      <c r="A46" s="204">
        <v>10</v>
      </c>
      <c r="B46" s="204" t="s">
        <v>170</v>
      </c>
      <c r="C46" s="204" t="s">
        <v>171</v>
      </c>
      <c r="D46" s="225">
        <f>0.8/105154*E46^2*G46*SQRT(G46)+(0.003*EXP(0.319*E46))</f>
        <v>0.16167651505774214</v>
      </c>
      <c r="E46" s="204">
        <v>8</v>
      </c>
      <c r="F46" s="143" t="s">
        <v>30</v>
      </c>
      <c r="G46" s="226">
        <v>40</v>
      </c>
      <c r="H46" s="215" t="s">
        <v>30</v>
      </c>
      <c r="I46" s="144">
        <v>2</v>
      </c>
      <c r="J46" s="145">
        <f>D46*I46</f>
        <v>0.32335303011548427</v>
      </c>
      <c r="K46" s="189"/>
      <c r="L46" s="189"/>
      <c r="M46" s="189"/>
      <c r="N46" s="189"/>
      <c r="O46" s="191"/>
    </row>
    <row r="47" spans="1:15" x14ac:dyDescent="0.3">
      <c r="A47" s="204">
        <v>20</v>
      </c>
      <c r="B47" s="204" t="s">
        <v>170</v>
      </c>
      <c r="C47" s="204" t="s">
        <v>172</v>
      </c>
      <c r="D47" s="225">
        <f>0.8/105154*E47^2*G47*SQRT(G47)+(0.003*EXP(0.319*E47))</f>
        <v>0.26479118861318168</v>
      </c>
      <c r="E47" s="204">
        <v>8</v>
      </c>
      <c r="F47" s="143" t="s">
        <v>30</v>
      </c>
      <c r="G47" s="226">
        <v>60</v>
      </c>
      <c r="H47" s="215" t="s">
        <v>30</v>
      </c>
      <c r="I47" s="146">
        <v>1</v>
      </c>
      <c r="J47" s="139">
        <f>D47*I47</f>
        <v>0.26479118861318168</v>
      </c>
      <c r="K47" s="189"/>
      <c r="L47" s="189"/>
      <c r="M47" s="189"/>
      <c r="N47" s="189"/>
      <c r="O47" s="191"/>
    </row>
    <row r="48" spans="1:15" x14ac:dyDescent="0.3">
      <c r="A48" s="204">
        <v>30</v>
      </c>
      <c r="B48" s="204" t="s">
        <v>173</v>
      </c>
      <c r="C48" s="204" t="s">
        <v>174</v>
      </c>
      <c r="D48" s="227">
        <f>(0.009*EXP(0.2*E48))</f>
        <v>4.4577291819556032E-2</v>
      </c>
      <c r="E48" s="204">
        <v>8</v>
      </c>
      <c r="F48" s="143" t="s">
        <v>30</v>
      </c>
      <c r="G48" s="204"/>
      <c r="H48" s="215"/>
      <c r="I48" s="146">
        <v>3</v>
      </c>
      <c r="J48" s="139">
        <f>D48*I48</f>
        <v>0.1337318754586681</v>
      </c>
      <c r="K48" s="189"/>
      <c r="L48" s="189"/>
      <c r="M48" s="189"/>
      <c r="N48" s="189"/>
      <c r="O48" s="191"/>
    </row>
    <row r="49" spans="1:15" x14ac:dyDescent="0.3">
      <c r="A49" s="204">
        <v>40</v>
      </c>
      <c r="B49" s="204" t="s">
        <v>175</v>
      </c>
      <c r="C49" s="204" t="s">
        <v>176</v>
      </c>
      <c r="D49" s="204">
        <v>0.01</v>
      </c>
      <c r="E49" s="204">
        <v>8</v>
      </c>
      <c r="F49" s="143" t="s">
        <v>30</v>
      </c>
      <c r="G49" s="204"/>
      <c r="H49" s="215"/>
      <c r="I49" s="146">
        <v>6</v>
      </c>
      <c r="J49" s="139">
        <f>D49*I49</f>
        <v>0.06</v>
      </c>
      <c r="K49" s="228"/>
      <c r="L49" s="228"/>
      <c r="M49" s="228"/>
      <c r="N49" s="228"/>
      <c r="O49" s="191"/>
    </row>
    <row r="50" spans="1:15" x14ac:dyDescent="0.3">
      <c r="A50" s="211"/>
      <c r="B50" s="212"/>
      <c r="C50" s="212"/>
      <c r="D50" s="212"/>
      <c r="E50" s="212"/>
      <c r="F50" s="212"/>
      <c r="G50" s="212"/>
      <c r="H50" s="212"/>
      <c r="I50" s="201" t="s">
        <v>18</v>
      </c>
      <c r="J50" s="202">
        <f>SUM(J46:J49)</f>
        <v>0.78187609418733417</v>
      </c>
      <c r="K50" s="189"/>
      <c r="L50" s="189"/>
      <c r="M50" s="189"/>
      <c r="N50" s="189"/>
      <c r="O50" s="191"/>
    </row>
    <row r="51" spans="1:15" x14ac:dyDescent="0.3">
      <c r="A51" s="195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91"/>
    </row>
    <row r="52" spans="1:15" ht="15" thickBot="1" x14ac:dyDescent="0.35">
      <c r="A52" s="229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1"/>
    </row>
    <row r="53" spans="1:15" x14ac:dyDescent="0.3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</row>
  </sheetData>
  <hyperlinks>
    <hyperlink ref="B10" location="BR_01001" display="BR_01001"/>
    <hyperlink ref="B11:B13" location="BR_01001" display="BR_01001"/>
    <hyperlink ref="B14" location="SU_04005!B5" display="SU_04005!B5"/>
    <hyperlink ref="B15" location="SU_04006!B5" display="SU_04006!B5"/>
    <hyperlink ref="B11" location="SU_04002!B5" display="SU_04002!B5"/>
    <hyperlink ref="B12" location="SU_04003!B5" display="SU_04003!B5"/>
    <hyperlink ref="B13" location="SU_04004!B5" display="SU_04004!B5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topLeftCell="A12" zoomScale="106" zoomScaleNormal="106" workbookViewId="0">
      <selection activeCell="R48" sqref="R48"/>
    </sheetView>
  </sheetViews>
  <sheetFormatPr baseColWidth="10" defaultColWidth="9.109375" defaultRowHeight="14.4" x14ac:dyDescent="0.3"/>
  <cols>
    <col min="1" max="2" width="9.109375" style="186"/>
    <col min="3" max="3" width="24.5546875" style="186" customWidth="1"/>
    <col min="4" max="9" width="9.109375" style="186"/>
    <col min="10" max="10" width="12.5546875" style="186" customWidth="1"/>
    <col min="11" max="14" width="9.109375" style="186"/>
    <col min="15" max="15" width="3.109375" style="186" customWidth="1"/>
    <col min="16" max="17" width="9.109375" style="186"/>
    <col min="18" max="19" width="16.33203125" style="186" bestFit="1" customWidth="1"/>
    <col min="20" max="16384" width="9.109375" style="186"/>
  </cols>
  <sheetData>
    <row r="1" spans="1:19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9" x14ac:dyDescent="0.3">
      <c r="A2" s="232" t="s">
        <v>0</v>
      </c>
      <c r="B2" s="188" t="s">
        <v>37</v>
      </c>
      <c r="C2" s="189"/>
      <c r="D2" s="189"/>
      <c r="E2" s="189"/>
      <c r="F2" s="189"/>
      <c r="G2" s="189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 t="e">
        <f>BR_01001_m+BR_01001_p</f>
        <v>#NAME?</v>
      </c>
      <c r="O2" s="191"/>
    </row>
    <row r="3" spans="1:19" x14ac:dyDescent="0.3">
      <c r="A3" s="232" t="s">
        <v>3</v>
      </c>
      <c r="B3" s="188" t="str">
        <f>SU_A0400!B3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2</v>
      </c>
      <c r="O3" s="191"/>
    </row>
    <row r="4" spans="1:19" x14ac:dyDescent="0.3">
      <c r="A4" s="232" t="s">
        <v>5</v>
      </c>
      <c r="B4" s="97" t="s">
        <v>243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9" x14ac:dyDescent="0.3">
      <c r="A5" s="232" t="s">
        <v>15</v>
      </c>
      <c r="B5" s="194" t="s">
        <v>245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 t="e">
        <f>N3*N2</f>
        <v>#NAME?</v>
      </c>
      <c r="O5" s="191"/>
    </row>
    <row r="6" spans="1:19" x14ac:dyDescent="0.3">
      <c r="A6" s="232" t="s">
        <v>7</v>
      </c>
      <c r="B6" s="235" t="s">
        <v>246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9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9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9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9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9" s="210" customFormat="1" x14ac:dyDescent="0.3">
      <c r="A11" s="241">
        <v>10</v>
      </c>
      <c r="B11" s="242" t="s">
        <v>133</v>
      </c>
      <c r="C11" s="243" t="s">
        <v>38</v>
      </c>
      <c r="D11" s="31">
        <f>J11*K11*L11*4.2/1000000000</f>
        <v>2.3578128</v>
      </c>
      <c r="E11" s="243"/>
      <c r="F11" s="243"/>
      <c r="G11" s="243"/>
      <c r="H11" s="20"/>
      <c r="I11" s="244" t="s">
        <v>134</v>
      </c>
      <c r="J11" s="106">
        <f>50*90</f>
        <v>4500</v>
      </c>
      <c r="K11" s="83">
        <v>46</v>
      </c>
      <c r="L11" s="208">
        <v>2712</v>
      </c>
      <c r="M11" s="24">
        <v>1</v>
      </c>
      <c r="N11" s="31">
        <f>D11*M11</f>
        <v>2.3578128</v>
      </c>
      <c r="O11" s="209"/>
    </row>
    <row r="12" spans="1:19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2.3578128</v>
      </c>
      <c r="O12" s="191"/>
    </row>
    <row r="13" spans="1:19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S13" s="247"/>
    </row>
    <row r="14" spans="1:19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  <c r="R14" s="247"/>
    </row>
    <row r="15" spans="1:19" s="214" customFormat="1" ht="72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</row>
    <row r="16" spans="1:19" ht="28.8" x14ac:dyDescent="0.3">
      <c r="A16" s="251">
        <v>20</v>
      </c>
      <c r="B16" s="147" t="s">
        <v>184</v>
      </c>
      <c r="C16" s="252" t="s">
        <v>40</v>
      </c>
      <c r="D16" s="31">
        <v>0.04</v>
      </c>
      <c r="E16" s="28" t="s">
        <v>186</v>
      </c>
      <c r="F16" s="253">
        <v>100</v>
      </c>
      <c r="G16" s="28"/>
      <c r="H16" s="242"/>
      <c r="I16" s="31">
        <f t="shared" si="0"/>
        <v>4</v>
      </c>
      <c r="J16" s="189"/>
      <c r="K16" s="189"/>
      <c r="L16" s="189"/>
      <c r="M16" s="189"/>
      <c r="N16" s="189"/>
      <c r="O16" s="191"/>
      <c r="R16" s="247">
        <f>R14/2</f>
        <v>0</v>
      </c>
    </row>
    <row r="17" spans="1:18" s="198" customFormat="1" ht="43.2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  <c r="R17" s="255">
        <f>R14/6</f>
        <v>0</v>
      </c>
    </row>
    <row r="18" spans="1:18" ht="28.8" x14ac:dyDescent="0.3">
      <c r="A18" s="251">
        <v>40</v>
      </c>
      <c r="B18" s="147" t="s">
        <v>184</v>
      </c>
      <c r="C18" s="252" t="s">
        <v>40</v>
      </c>
      <c r="D18" s="31">
        <v>0.04</v>
      </c>
      <c r="E18" s="28" t="s">
        <v>186</v>
      </c>
      <c r="F18" s="253">
        <v>30</v>
      </c>
      <c r="G18" s="28"/>
      <c r="H18" s="242"/>
      <c r="I18" s="31">
        <f t="shared" si="0"/>
        <v>1.2</v>
      </c>
      <c r="J18" s="189"/>
      <c r="K18" s="189"/>
      <c r="L18" s="189"/>
      <c r="M18" s="189"/>
      <c r="N18" s="189"/>
      <c r="O18" s="191"/>
      <c r="R18" s="247">
        <f>R14/6*2</f>
        <v>0</v>
      </c>
    </row>
    <row r="19" spans="1:18" ht="43.2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  <c r="R19" s="247"/>
    </row>
    <row r="20" spans="1:18" ht="28.8" x14ac:dyDescent="0.3">
      <c r="A20" s="254">
        <v>60</v>
      </c>
      <c r="B20" s="147" t="s">
        <v>184</v>
      </c>
      <c r="C20" s="252" t="s">
        <v>40</v>
      </c>
      <c r="D20" s="31">
        <v>0.04</v>
      </c>
      <c r="E20" s="28" t="s">
        <v>186</v>
      </c>
      <c r="F20" s="242">
        <v>95</v>
      </c>
      <c r="G20" s="242"/>
      <c r="H20" s="242"/>
      <c r="I20" s="31">
        <f t="shared" si="0"/>
        <v>3.8000000000000003</v>
      </c>
      <c r="J20" s="189"/>
      <c r="K20" s="189"/>
      <c r="L20" s="189"/>
      <c r="M20" s="189"/>
      <c r="N20" s="189"/>
      <c r="O20" s="191"/>
    </row>
    <row r="21" spans="1:18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11.600000000000001</v>
      </c>
      <c r="J21" s="212"/>
      <c r="K21" s="212"/>
      <c r="L21" s="212"/>
      <c r="M21" s="212"/>
      <c r="N21" s="212"/>
      <c r="O21" s="191"/>
    </row>
    <row r="22" spans="1:18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</row>
  </sheetData>
  <hyperlinks>
    <hyperlink ref="B4" location="BR_A0001" display="BR_A0001"/>
    <hyperlink ref="E3" location="'SU Drawing Part 1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topLeftCell="A22"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14" style="186" customWidth="1"/>
    <col min="2" max="16384" width="11.44140625" style="186"/>
  </cols>
  <sheetData>
    <row r="1" spans="1:2" x14ac:dyDescent="0.3">
      <c r="A1" s="186" t="s">
        <v>198</v>
      </c>
      <c r="B1" s="98" t="e">
        <f>BR_01001</f>
        <v>#NAME?</v>
      </c>
    </row>
  </sheetData>
  <hyperlinks>
    <hyperlink ref="B1" location="SU_04001!B5" display="SU_04001!B5"/>
  </hyperlinks>
  <pageMargins left="0.7" right="0.7" top="0.75" bottom="0.75" header="0.3" footer="0.3"/>
  <pageSetup paperSize="9" fitToHeight="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topLeftCell="C7"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86"/>
    <col min="2" max="2" width="23.109375" style="186" customWidth="1"/>
    <col min="3" max="8" width="11.44140625" style="186"/>
    <col min="9" max="9" width="21.44140625" style="186" customWidth="1"/>
    <col min="10" max="17" width="11.44140625" style="186"/>
    <col min="18" max="18" width="13.88671875" style="186" bestFit="1" customWidth="1"/>
    <col min="19" max="16384" width="11.44140625" style="186"/>
  </cols>
  <sheetData>
    <row r="1" spans="1:19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9" x14ac:dyDescent="0.3">
      <c r="A2" s="232" t="s">
        <v>0</v>
      </c>
      <c r="B2" s="188" t="s">
        <v>37</v>
      </c>
      <c r="C2" s="189"/>
      <c r="D2" s="189"/>
      <c r="E2" s="189"/>
      <c r="F2" s="189"/>
      <c r="G2" s="189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N12+I21</f>
        <v>4.6183805439999999</v>
      </c>
      <c r="O2" s="191"/>
    </row>
    <row r="3" spans="1:19" x14ac:dyDescent="0.3">
      <c r="A3" s="232" t="s">
        <v>3</v>
      </c>
      <c r="B3" s="188" t="str">
        <f>SU_A0400!B3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4</v>
      </c>
      <c r="O3" s="191"/>
    </row>
    <row r="4" spans="1:19" x14ac:dyDescent="0.3">
      <c r="A4" s="232" t="s">
        <v>5</v>
      </c>
      <c r="B4" s="97" t="s">
        <v>243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9" x14ac:dyDescent="0.3">
      <c r="A5" s="232" t="s">
        <v>15</v>
      </c>
      <c r="B5" s="76" t="s">
        <v>182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18.473522175999999</v>
      </c>
      <c r="O5" s="191"/>
    </row>
    <row r="6" spans="1:19" x14ac:dyDescent="0.3">
      <c r="A6" s="232" t="s">
        <v>7</v>
      </c>
      <c r="B6" s="235" t="s">
        <v>247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9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9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9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9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9" x14ac:dyDescent="0.3">
      <c r="A11" s="241">
        <v>10</v>
      </c>
      <c r="B11" s="242" t="s">
        <v>133</v>
      </c>
      <c r="C11" s="243" t="s">
        <v>38</v>
      </c>
      <c r="D11" s="31">
        <f>4.2</f>
        <v>4.2</v>
      </c>
      <c r="E11" s="259">
        <f>J11*K11*L11/1000000000</f>
        <v>0.20437632</v>
      </c>
      <c r="F11" s="243" t="s">
        <v>187</v>
      </c>
      <c r="G11" s="243"/>
      <c r="H11" s="20"/>
      <c r="I11" s="244" t="s">
        <v>188</v>
      </c>
      <c r="J11" s="106">
        <f>3.14*20*20</f>
        <v>1256</v>
      </c>
      <c r="K11" s="83">
        <v>60</v>
      </c>
      <c r="L11" s="208">
        <v>2712</v>
      </c>
      <c r="M11" s="24">
        <v>1</v>
      </c>
      <c r="N11" s="31">
        <f>D11*E11</f>
        <v>0.85838054400000008</v>
      </c>
      <c r="O11" s="209"/>
      <c r="P11" s="210"/>
      <c r="Q11" s="210"/>
      <c r="R11" s="210"/>
      <c r="S11" s="210"/>
    </row>
    <row r="12" spans="1:19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0.85838054400000008</v>
      </c>
      <c r="O12" s="191"/>
    </row>
    <row r="13" spans="1:19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R13" s="247">
        <f>J11*K11/4</f>
        <v>18840</v>
      </c>
      <c r="S13" s="247"/>
    </row>
    <row r="14" spans="1:19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  <c r="R14" s="247">
        <f>R13/2</f>
        <v>9420</v>
      </c>
    </row>
    <row r="15" spans="1:19" ht="28.8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  <c r="P15" s="214"/>
      <c r="Q15" s="214"/>
      <c r="R15" s="260">
        <f>R13*4/10</f>
        <v>7536</v>
      </c>
      <c r="S15" s="214"/>
    </row>
    <row r="16" spans="1:19" x14ac:dyDescent="0.3">
      <c r="A16" s="251">
        <v>20</v>
      </c>
      <c r="B16" s="147" t="s">
        <v>184</v>
      </c>
      <c r="C16" s="252" t="s">
        <v>40</v>
      </c>
      <c r="D16" s="31">
        <v>0.04</v>
      </c>
      <c r="E16" s="28" t="s">
        <v>186</v>
      </c>
      <c r="F16" s="253">
        <v>19</v>
      </c>
      <c r="G16" s="28"/>
      <c r="H16" s="242"/>
      <c r="I16" s="31">
        <f t="shared" si="0"/>
        <v>0.76</v>
      </c>
      <c r="J16" s="189"/>
      <c r="K16" s="189"/>
      <c r="L16" s="189"/>
      <c r="M16" s="189"/>
      <c r="N16" s="189"/>
      <c r="O16" s="191"/>
      <c r="R16" s="247">
        <f>R13-R14-R15</f>
        <v>1884</v>
      </c>
    </row>
    <row r="17" spans="1:19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  <c r="P17" s="198"/>
      <c r="Q17" s="198"/>
      <c r="R17" s="255"/>
      <c r="S17" s="198"/>
    </row>
    <row r="18" spans="1:19" x14ac:dyDescent="0.3">
      <c r="A18" s="251">
        <v>40</v>
      </c>
      <c r="B18" s="147" t="s">
        <v>184</v>
      </c>
      <c r="C18" s="252" t="s">
        <v>40</v>
      </c>
      <c r="D18" s="31">
        <v>0.04</v>
      </c>
      <c r="E18" s="28" t="s">
        <v>186</v>
      </c>
      <c r="F18" s="253">
        <v>8</v>
      </c>
      <c r="G18" s="28"/>
      <c r="H18" s="242"/>
      <c r="I18" s="31">
        <f t="shared" si="0"/>
        <v>0.32</v>
      </c>
      <c r="J18" s="189"/>
      <c r="K18" s="189"/>
      <c r="L18" s="189"/>
      <c r="M18" s="189"/>
      <c r="N18" s="189"/>
      <c r="O18" s="191"/>
      <c r="R18" s="247"/>
    </row>
    <row r="19" spans="1:19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  <c r="R19" s="247"/>
    </row>
    <row r="20" spans="1:19" x14ac:dyDescent="0.3">
      <c r="A20" s="254">
        <v>60</v>
      </c>
      <c r="B20" s="147" t="s">
        <v>184</v>
      </c>
      <c r="C20" s="252" t="s">
        <v>40</v>
      </c>
      <c r="D20" s="31">
        <v>0.04</v>
      </c>
      <c r="E20" s="28" t="s">
        <v>186</v>
      </c>
      <c r="F20" s="242">
        <v>2</v>
      </c>
      <c r="G20" s="242"/>
      <c r="H20" s="242"/>
      <c r="I20" s="31">
        <f t="shared" si="0"/>
        <v>0.08</v>
      </c>
      <c r="J20" s="189"/>
      <c r="K20" s="189"/>
      <c r="L20" s="189"/>
      <c r="M20" s="189"/>
      <c r="N20" s="189"/>
      <c r="O20" s="191"/>
    </row>
    <row r="21" spans="1:19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3.76</v>
      </c>
      <c r="J21" s="212"/>
      <c r="K21" s="212"/>
      <c r="L21" s="212"/>
      <c r="M21" s="212"/>
      <c r="N21" s="212"/>
      <c r="O21" s="191"/>
    </row>
    <row r="22" spans="1:19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</row>
  </sheetData>
  <hyperlinks>
    <hyperlink ref="B4" location="BR_A0001" display="BR_A0001"/>
    <hyperlink ref="E3" location="'SU Drawing Part 2'!A1" display="Drawing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18.88671875" style="186" customWidth="1"/>
    <col min="2" max="16384" width="11.44140625" style="186"/>
  </cols>
  <sheetData>
    <row r="1" spans="1:2" x14ac:dyDescent="0.3">
      <c r="A1" s="186" t="s">
        <v>198</v>
      </c>
      <c r="B1" s="98" t="s">
        <v>247</v>
      </c>
    </row>
    <row r="4" spans="1:2" x14ac:dyDescent="0.3">
      <c r="B4" s="186" t="s">
        <v>204</v>
      </c>
    </row>
    <row r="5" spans="1:2" x14ac:dyDescent="0.3">
      <c r="B5" s="186" t="s">
        <v>205</v>
      </c>
    </row>
    <row r="6" spans="1:2" x14ac:dyDescent="0.3">
      <c r="B6" s="263"/>
    </row>
  </sheetData>
  <hyperlinks>
    <hyperlink ref="B1" location="SU_04002!B5" display="SU_04002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86"/>
    <col min="2" max="2" width="19.44140625" style="186" customWidth="1"/>
    <col min="3" max="3" width="33" style="186" customWidth="1"/>
    <col min="4" max="4" width="11.44140625" style="186"/>
    <col min="5" max="5" width="17" style="186" customWidth="1"/>
    <col min="6" max="16384" width="11.44140625" style="186"/>
  </cols>
  <sheetData>
    <row r="1" spans="1:15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5" x14ac:dyDescent="0.3">
      <c r="A2" s="232" t="s">
        <v>0</v>
      </c>
      <c r="B2" s="188" t="s">
        <v>37</v>
      </c>
      <c r="C2" s="189"/>
      <c r="D2" s="189"/>
      <c r="E2" s="189"/>
      <c r="F2" s="189"/>
      <c r="G2" s="189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N12+I16</f>
        <v>311.76263999999998</v>
      </c>
      <c r="O2" s="191"/>
    </row>
    <row r="3" spans="1:15" x14ac:dyDescent="0.3">
      <c r="A3" s="232" t="s">
        <v>3</v>
      </c>
      <c r="B3" s="188" t="str">
        <f>SU_A0400!B3</f>
        <v>Suspension &amp; Shocks</v>
      </c>
      <c r="C3" s="189"/>
      <c r="D3" s="232" t="s">
        <v>6</v>
      </c>
      <c r="E3" s="186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2</v>
      </c>
      <c r="O3" s="191"/>
    </row>
    <row r="4" spans="1:15" x14ac:dyDescent="0.3">
      <c r="A4" s="232" t="s">
        <v>5</v>
      </c>
      <c r="B4" s="97" t="s">
        <v>243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5" x14ac:dyDescent="0.3">
      <c r="A5" s="232" t="s">
        <v>15</v>
      </c>
      <c r="B5" s="76" t="s">
        <v>248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623.52527999999995</v>
      </c>
      <c r="O5" s="191"/>
    </row>
    <row r="6" spans="1:15" x14ac:dyDescent="0.3">
      <c r="A6" s="232" t="s">
        <v>7</v>
      </c>
      <c r="B6" s="235" t="s">
        <v>249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5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5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5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5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5" x14ac:dyDescent="0.3">
      <c r="A11" s="241">
        <v>10</v>
      </c>
      <c r="B11" s="242" t="s">
        <v>133</v>
      </c>
      <c r="C11" s="243" t="s">
        <v>38</v>
      </c>
      <c r="D11" s="261">
        <v>9.1999999999999998E-3</v>
      </c>
      <c r="E11" s="259">
        <f>J11*K11</f>
        <v>33849.199999999997</v>
      </c>
      <c r="F11" s="243" t="s">
        <v>230</v>
      </c>
      <c r="G11" s="243"/>
      <c r="H11" s="20"/>
      <c r="I11" s="244" t="s">
        <v>191</v>
      </c>
      <c r="J11" s="106">
        <f>3.14*(8*8-6*6)</f>
        <v>87.92</v>
      </c>
      <c r="K11" s="83">
        <v>385</v>
      </c>
      <c r="L11" s="208"/>
      <c r="M11" s="24">
        <v>1</v>
      </c>
      <c r="N11" s="31">
        <f>D11*E11</f>
        <v>311.41263999999995</v>
      </c>
      <c r="O11" s="209"/>
    </row>
    <row r="12" spans="1:15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311.41263999999995</v>
      </c>
      <c r="O12" s="191"/>
    </row>
    <row r="13" spans="1:15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</row>
    <row r="14" spans="1:15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5" ht="28.8" x14ac:dyDescent="0.3">
      <c r="A15" s="249">
        <v>10</v>
      </c>
      <c r="B15" s="147" t="s">
        <v>189</v>
      </c>
      <c r="C15" s="250" t="s">
        <v>190</v>
      </c>
      <c r="D15" s="33">
        <v>0.35</v>
      </c>
      <c r="E15" s="28" t="s">
        <v>35</v>
      </c>
      <c r="F15" s="250">
        <v>1</v>
      </c>
      <c r="G15" s="250"/>
      <c r="H15" s="250"/>
      <c r="I15" s="33">
        <f>IF(H15="",D15*F15,D15*F15*H15)</f>
        <v>0.35</v>
      </c>
      <c r="J15" s="228"/>
      <c r="K15" s="228"/>
      <c r="L15" s="228"/>
      <c r="M15" s="228"/>
      <c r="N15" s="228"/>
      <c r="O15" s="213"/>
    </row>
    <row r="16" spans="1:15" x14ac:dyDescent="0.3">
      <c r="A16" s="211"/>
      <c r="B16" s="212"/>
      <c r="C16" s="212"/>
      <c r="D16" s="212"/>
      <c r="E16" s="212"/>
      <c r="F16" s="212"/>
      <c r="G16" s="212"/>
      <c r="H16" s="256" t="s">
        <v>18</v>
      </c>
      <c r="I16" s="246">
        <f>SUM(I15:I15)</f>
        <v>0.35</v>
      </c>
      <c r="J16" s="212"/>
      <c r="K16" s="212"/>
      <c r="L16" s="212"/>
      <c r="M16" s="212"/>
      <c r="N16" s="212"/>
      <c r="O16" s="191"/>
    </row>
    <row r="17" spans="1:15" ht="15" thickBot="1" x14ac:dyDescent="0.35">
      <c r="A17" s="229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1"/>
    </row>
  </sheetData>
  <hyperlinks>
    <hyperlink ref="B4" location="BR_A0001" display="BR_A000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86"/>
    <col min="2" max="2" width="33.88671875" style="186" customWidth="1"/>
    <col min="3" max="3" width="46.6640625" style="186" customWidth="1"/>
    <col min="4" max="4" width="11.44140625" style="186"/>
    <col min="5" max="5" width="18.33203125" style="186" customWidth="1"/>
    <col min="6" max="16384" width="11.44140625" style="186"/>
  </cols>
  <sheetData>
    <row r="1" spans="1:15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5" x14ac:dyDescent="0.3">
      <c r="A2" s="232" t="s">
        <v>0</v>
      </c>
      <c r="B2" s="188" t="s">
        <v>37</v>
      </c>
      <c r="C2" s="189"/>
      <c r="D2" s="189"/>
      <c r="E2" s="189"/>
      <c r="F2" s="189"/>
      <c r="G2" s="189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N12+I16</f>
        <v>192.05076800000001</v>
      </c>
      <c r="O2" s="191"/>
    </row>
    <row r="3" spans="1:15" x14ac:dyDescent="0.3">
      <c r="A3" s="232" t="s">
        <v>3</v>
      </c>
      <c r="B3" s="188" t="str">
        <f>SU_A0400!B3</f>
        <v>Suspension &amp; Shocks</v>
      </c>
      <c r="C3" s="189"/>
      <c r="D3" s="232" t="s">
        <v>6</v>
      </c>
      <c r="E3" s="186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2</v>
      </c>
      <c r="O3" s="191"/>
    </row>
    <row r="4" spans="1:15" x14ac:dyDescent="0.3">
      <c r="A4" s="232" t="s">
        <v>5</v>
      </c>
      <c r="B4" s="97" t="s">
        <v>243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5" x14ac:dyDescent="0.3">
      <c r="A5" s="257" t="s">
        <v>15</v>
      </c>
      <c r="B5" s="258" t="s">
        <v>250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384.10153600000001</v>
      </c>
      <c r="O5" s="191"/>
    </row>
    <row r="6" spans="1:15" x14ac:dyDescent="0.3">
      <c r="A6" s="232" t="s">
        <v>7</v>
      </c>
      <c r="B6" s="235" t="s">
        <v>251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5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5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5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5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5" x14ac:dyDescent="0.3">
      <c r="A11" s="241">
        <v>10</v>
      </c>
      <c r="B11" s="242" t="s">
        <v>133</v>
      </c>
      <c r="C11" s="243" t="s">
        <v>38</v>
      </c>
      <c r="D11" s="265">
        <v>9.1999999999999998E-3</v>
      </c>
      <c r="E11" s="259">
        <f>J11*K11</f>
        <v>20837.04</v>
      </c>
      <c r="F11" s="243" t="s">
        <v>230</v>
      </c>
      <c r="G11" s="243"/>
      <c r="H11" s="20"/>
      <c r="I11" s="244" t="s">
        <v>191</v>
      </c>
      <c r="J11" s="106">
        <f>3.14*(8*8-6*6)</f>
        <v>87.92</v>
      </c>
      <c r="K11" s="83">
        <v>237</v>
      </c>
      <c r="L11" s="208"/>
      <c r="M11" s="24">
        <v>1</v>
      </c>
      <c r="N11" s="31">
        <f>D11*E11</f>
        <v>191.70076800000001</v>
      </c>
      <c r="O11" s="209"/>
    </row>
    <row r="12" spans="1:15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191.70076800000001</v>
      </c>
      <c r="O12" s="191"/>
    </row>
    <row r="13" spans="1:15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</row>
    <row r="14" spans="1:15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5" x14ac:dyDescent="0.3">
      <c r="A15" s="249">
        <v>10</v>
      </c>
      <c r="B15" s="147" t="s">
        <v>189</v>
      </c>
      <c r="C15" s="250" t="s">
        <v>190</v>
      </c>
      <c r="D15" s="33">
        <v>0.35</v>
      </c>
      <c r="E15" s="28" t="s">
        <v>35</v>
      </c>
      <c r="F15" s="250">
        <v>1</v>
      </c>
      <c r="G15" s="250"/>
      <c r="H15" s="250"/>
      <c r="I15" s="33">
        <f>IF(H15="",D15*F15,D15*F15*H15)</f>
        <v>0.35</v>
      </c>
      <c r="J15" s="228"/>
      <c r="K15" s="228"/>
      <c r="L15" s="228"/>
      <c r="M15" s="228"/>
      <c r="N15" s="228"/>
      <c r="O15" s="213"/>
    </row>
    <row r="16" spans="1:15" x14ac:dyDescent="0.3">
      <c r="A16" s="211"/>
      <c r="B16" s="212"/>
      <c r="C16" s="212"/>
      <c r="D16" s="212"/>
      <c r="E16" s="212"/>
      <c r="F16" s="212"/>
      <c r="G16" s="212"/>
      <c r="H16" s="256" t="s">
        <v>18</v>
      </c>
      <c r="I16" s="246">
        <f>SUM(I15:I15)</f>
        <v>0.35</v>
      </c>
      <c r="J16" s="212"/>
      <c r="K16" s="212"/>
      <c r="L16" s="212"/>
      <c r="M16" s="212"/>
      <c r="N16" s="212"/>
      <c r="O16" s="191"/>
    </row>
    <row r="17" spans="1:15" ht="15" thickBot="1" x14ac:dyDescent="0.35">
      <c r="A17" s="229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1"/>
    </row>
  </sheetData>
  <hyperlinks>
    <hyperlink ref="B4" location="BR_A0001" display="BR_A000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86"/>
    <col min="2" max="2" width="25.109375" style="186" customWidth="1"/>
    <col min="3" max="3" width="30.5546875" style="186" customWidth="1"/>
    <col min="4" max="8" width="11.44140625" style="186"/>
    <col min="9" max="9" width="14" style="186" customWidth="1"/>
    <col min="10" max="16" width="11.44140625" style="186"/>
    <col min="17" max="17" width="12.88671875" style="186" bestFit="1" customWidth="1"/>
    <col min="18" max="16384" width="11.44140625" style="186"/>
  </cols>
  <sheetData>
    <row r="1" spans="1:17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7" x14ac:dyDescent="0.3">
      <c r="A2" s="232" t="s">
        <v>0</v>
      </c>
      <c r="B2" s="188" t="s">
        <v>37</v>
      </c>
      <c r="C2" s="189"/>
      <c r="D2" s="189"/>
      <c r="E2" s="189"/>
      <c r="F2" s="189"/>
      <c r="G2" s="189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N12+I21</f>
        <v>2.6754945600000002</v>
      </c>
      <c r="O2" s="191"/>
    </row>
    <row r="3" spans="1:17" x14ac:dyDescent="0.3">
      <c r="A3" s="232" t="s">
        <v>3</v>
      </c>
      <c r="B3" s="188" t="str">
        <f>SU_A0400!B3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12</v>
      </c>
      <c r="O3" s="191"/>
    </row>
    <row r="4" spans="1:17" x14ac:dyDescent="0.3">
      <c r="A4" s="232" t="s">
        <v>5</v>
      </c>
      <c r="B4" s="97" t="s">
        <v>243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7" x14ac:dyDescent="0.3">
      <c r="A5" s="232" t="s">
        <v>15</v>
      </c>
      <c r="B5" s="194" t="s">
        <v>192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32.10593472</v>
      </c>
      <c r="O5" s="191"/>
    </row>
    <row r="6" spans="1:17" x14ac:dyDescent="0.3">
      <c r="A6" s="232" t="s">
        <v>7</v>
      </c>
      <c r="B6" s="235" t="s">
        <v>252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7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7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7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7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7" x14ac:dyDescent="0.3">
      <c r="A11" s="241">
        <v>10</v>
      </c>
      <c r="B11" s="242" t="s">
        <v>194</v>
      </c>
      <c r="C11" s="243" t="s">
        <v>38</v>
      </c>
      <c r="D11" s="31">
        <v>2.25</v>
      </c>
      <c r="E11" s="259">
        <f>J11*K11*L11/1000000000</f>
        <v>1.5775360000000002E-2</v>
      </c>
      <c r="F11" s="243" t="s">
        <v>187</v>
      </c>
      <c r="G11" s="243"/>
      <c r="H11" s="20"/>
      <c r="I11" s="244" t="s">
        <v>193</v>
      </c>
      <c r="J11" s="106">
        <f>3.14*8*8</f>
        <v>200.96</v>
      </c>
      <c r="K11" s="83">
        <v>10</v>
      </c>
      <c r="L11" s="208">
        <v>7850</v>
      </c>
      <c r="M11" s="24">
        <v>1</v>
      </c>
      <c r="N11" s="31">
        <f>D11*E11</f>
        <v>3.5494560000000008E-2</v>
      </c>
      <c r="O11" s="209"/>
      <c r="Q11" s="247"/>
    </row>
    <row r="12" spans="1:17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3.5494560000000008E-2</v>
      </c>
      <c r="O12" s="191"/>
    </row>
    <row r="13" spans="1:17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</row>
    <row r="14" spans="1:17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7" ht="28.8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 t="shared" ref="I15:I20" si="0">IF(H15="",D15*F15,D15*F15*H15)</f>
        <v>1.3</v>
      </c>
      <c r="J15" s="228"/>
      <c r="K15" s="228"/>
      <c r="L15" s="228"/>
      <c r="M15" s="228"/>
      <c r="N15" s="228"/>
      <c r="O15" s="213"/>
    </row>
    <row r="16" spans="1:17" x14ac:dyDescent="0.3">
      <c r="A16" s="251">
        <v>20</v>
      </c>
      <c r="B16" s="147" t="s">
        <v>184</v>
      </c>
      <c r="C16" s="252" t="s">
        <v>195</v>
      </c>
      <c r="D16" s="31">
        <v>0.04</v>
      </c>
      <c r="E16" s="28" t="s">
        <v>186</v>
      </c>
      <c r="F16" s="262">
        <v>0.4</v>
      </c>
      <c r="G16" s="28"/>
      <c r="H16" s="242"/>
      <c r="I16" s="31">
        <f t="shared" si="0"/>
        <v>1.6E-2</v>
      </c>
      <c r="J16" s="189"/>
      <c r="K16" s="189"/>
      <c r="L16" s="189"/>
      <c r="M16" s="189"/>
      <c r="N16" s="189"/>
      <c r="O16" s="191"/>
    </row>
    <row r="17" spans="1:15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 t="shared" si="0"/>
        <v>0.65</v>
      </c>
      <c r="J17" s="192"/>
      <c r="K17" s="192"/>
      <c r="L17" s="192"/>
      <c r="M17" s="192"/>
      <c r="N17" s="192"/>
      <c r="O17" s="199"/>
    </row>
    <row r="18" spans="1:15" x14ac:dyDescent="0.3">
      <c r="A18" s="251">
        <v>40</v>
      </c>
      <c r="B18" s="147" t="s">
        <v>184</v>
      </c>
      <c r="C18" s="252" t="s">
        <v>197</v>
      </c>
      <c r="D18" s="31">
        <v>0.04</v>
      </c>
      <c r="E18" s="28" t="s">
        <v>186</v>
      </c>
      <c r="F18" s="262">
        <v>0.56000000000000005</v>
      </c>
      <c r="G18" s="28"/>
      <c r="H18" s="242"/>
      <c r="I18" s="31">
        <f t="shared" si="0"/>
        <v>2.2400000000000003E-2</v>
      </c>
      <c r="J18" s="189"/>
      <c r="K18" s="189"/>
      <c r="L18" s="189"/>
      <c r="M18" s="189"/>
      <c r="N18" s="189"/>
      <c r="O18" s="191"/>
    </row>
    <row r="19" spans="1:15" x14ac:dyDescent="0.3">
      <c r="A19" s="254">
        <v>50</v>
      </c>
      <c r="B19" s="147" t="s">
        <v>183</v>
      </c>
      <c r="C19" s="242" t="s">
        <v>185</v>
      </c>
      <c r="D19" s="31">
        <v>0.65</v>
      </c>
      <c r="E19" s="28" t="s">
        <v>35</v>
      </c>
      <c r="F19" s="242">
        <v>1</v>
      </c>
      <c r="G19" s="242"/>
      <c r="H19" s="242"/>
      <c r="I19" s="31">
        <f t="shared" si="0"/>
        <v>0.65</v>
      </c>
      <c r="J19" s="189"/>
      <c r="K19" s="189"/>
      <c r="L19" s="189"/>
      <c r="M19" s="189"/>
      <c r="N19" s="189"/>
      <c r="O19" s="191"/>
    </row>
    <row r="20" spans="1:15" x14ac:dyDescent="0.3">
      <c r="A20" s="254">
        <v>60</v>
      </c>
      <c r="B20" s="147" t="s">
        <v>184</v>
      </c>
      <c r="C20" s="252" t="s">
        <v>196</v>
      </c>
      <c r="D20" s="31">
        <v>0.04</v>
      </c>
      <c r="E20" s="28" t="s">
        <v>186</v>
      </c>
      <c r="F20" s="242">
        <v>0.04</v>
      </c>
      <c r="G20" s="242"/>
      <c r="H20" s="242"/>
      <c r="I20" s="31">
        <f t="shared" si="0"/>
        <v>1.6000000000000001E-3</v>
      </c>
      <c r="J20" s="189"/>
      <c r="K20" s="189"/>
      <c r="L20" s="189"/>
      <c r="M20" s="189"/>
      <c r="N20" s="189"/>
      <c r="O20" s="191"/>
    </row>
    <row r="21" spans="1:15" x14ac:dyDescent="0.3">
      <c r="A21" s="211"/>
      <c r="B21" s="212"/>
      <c r="C21" s="212"/>
      <c r="D21" s="212"/>
      <c r="E21" s="212"/>
      <c r="F21" s="212"/>
      <c r="G21" s="212"/>
      <c r="H21" s="256" t="s">
        <v>18</v>
      </c>
      <c r="I21" s="246">
        <f>SUM(I15:I20)</f>
        <v>2.64</v>
      </c>
      <c r="J21" s="212"/>
      <c r="K21" s="212"/>
      <c r="L21" s="212"/>
      <c r="M21" s="212"/>
      <c r="N21" s="212"/>
      <c r="O21" s="191"/>
    </row>
    <row r="22" spans="1:15" ht="15" thickBot="1" x14ac:dyDescent="0.35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1"/>
    </row>
  </sheetData>
  <hyperlinks>
    <hyperlink ref="B4" location="BR_A0001" display="BR_A0001"/>
    <hyperlink ref="E3" location="'SU Drawing Part 5'!A1" display="Drawin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198</v>
      </c>
      <c r="B1" s="98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22.5546875" style="186" customWidth="1"/>
    <col min="2" max="16384" width="11.44140625" style="186"/>
  </cols>
  <sheetData>
    <row r="1" spans="1:2" x14ac:dyDescent="0.3">
      <c r="A1" s="186" t="s">
        <v>198</v>
      </c>
      <c r="B1" s="98" t="s">
        <v>252</v>
      </c>
    </row>
  </sheetData>
  <hyperlinks>
    <hyperlink ref="B1" location="SU_04005!B5" display="SU_03005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tabSelected="1" workbookViewId="0">
      <selection activeCell="I26" sqref="I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86"/>
    <col min="2" max="2" width="28.6640625" style="186" customWidth="1"/>
    <col min="3" max="3" width="24.33203125" style="186" customWidth="1"/>
    <col min="4" max="8" width="11.44140625" style="186"/>
    <col min="9" max="9" width="15.33203125" style="186" customWidth="1"/>
    <col min="10" max="16" width="11.44140625" style="186"/>
    <col min="17" max="17" width="12.88671875" style="186" bestFit="1" customWidth="1"/>
    <col min="18" max="16384" width="11.44140625" style="186"/>
  </cols>
  <sheetData>
    <row r="1" spans="1:17" x14ac:dyDescent="0.3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7" x14ac:dyDescent="0.3">
      <c r="A2" s="232" t="s">
        <v>0</v>
      </c>
      <c r="B2" s="188" t="s">
        <v>37</v>
      </c>
      <c r="C2" s="189"/>
      <c r="D2" s="189"/>
      <c r="E2" s="189"/>
      <c r="F2" s="189"/>
      <c r="G2" s="189" t="s">
        <v>127</v>
      </c>
      <c r="H2" s="189"/>
      <c r="I2" s="189"/>
      <c r="J2" s="233" t="s">
        <v>1</v>
      </c>
      <c r="K2" s="190">
        <v>81</v>
      </c>
      <c r="L2" s="189"/>
      <c r="M2" s="232" t="s">
        <v>16</v>
      </c>
      <c r="N2" s="77">
        <f>N12+I19</f>
        <v>2.015803399168</v>
      </c>
      <c r="O2" s="191"/>
    </row>
    <row r="3" spans="1:17" x14ac:dyDescent="0.3">
      <c r="A3" s="232" t="s">
        <v>3</v>
      </c>
      <c r="B3" s="188" t="str">
        <f>SU_A0400!B3</f>
        <v>Suspension &amp; Shocks</v>
      </c>
      <c r="C3" s="189"/>
      <c r="D3" s="232" t="s">
        <v>6</v>
      </c>
      <c r="E3" s="98" t="s">
        <v>87</v>
      </c>
      <c r="F3" s="189"/>
      <c r="G3" s="189"/>
      <c r="H3" s="189"/>
      <c r="I3" s="189"/>
      <c r="J3" s="189"/>
      <c r="K3" s="189"/>
      <c r="L3" s="189"/>
      <c r="M3" s="232" t="s">
        <v>4</v>
      </c>
      <c r="N3" s="89">
        <v>4</v>
      </c>
      <c r="O3" s="191"/>
    </row>
    <row r="4" spans="1:17" x14ac:dyDescent="0.3">
      <c r="A4" s="232" t="s">
        <v>5</v>
      </c>
      <c r="B4" s="97" t="s">
        <v>243</v>
      </c>
      <c r="C4" s="189"/>
      <c r="D4" s="232" t="s">
        <v>8</v>
      </c>
      <c r="E4" s="189"/>
      <c r="F4" s="189"/>
      <c r="G4" s="189"/>
      <c r="H4" s="189"/>
      <c r="I4" s="189"/>
      <c r="J4" s="234" t="s">
        <v>6</v>
      </c>
      <c r="K4" s="189"/>
      <c r="L4" s="189"/>
      <c r="M4" s="189"/>
      <c r="N4" s="189"/>
      <c r="O4" s="191"/>
    </row>
    <row r="5" spans="1:17" x14ac:dyDescent="0.3">
      <c r="A5" s="232" t="s">
        <v>15</v>
      </c>
      <c r="B5" s="196" t="s">
        <v>136</v>
      </c>
      <c r="C5" s="189"/>
      <c r="D5" s="232" t="s">
        <v>12</v>
      </c>
      <c r="E5" s="189"/>
      <c r="F5" s="189"/>
      <c r="G5" s="189"/>
      <c r="H5" s="189"/>
      <c r="I5" s="189"/>
      <c r="J5" s="234" t="s">
        <v>8</v>
      </c>
      <c r="K5" s="189"/>
      <c r="L5" s="189"/>
      <c r="M5" s="232" t="s">
        <v>9</v>
      </c>
      <c r="N5" s="77">
        <f>N3*N2</f>
        <v>8.063213596672</v>
      </c>
      <c r="O5" s="191"/>
    </row>
    <row r="6" spans="1:17" x14ac:dyDescent="0.3">
      <c r="A6" s="232" t="s">
        <v>7</v>
      </c>
      <c r="B6" s="235" t="s">
        <v>253</v>
      </c>
      <c r="C6" s="189"/>
      <c r="D6" s="189"/>
      <c r="E6" s="189"/>
      <c r="F6" s="189"/>
      <c r="G6" s="189"/>
      <c r="H6" s="189"/>
      <c r="I6" s="189"/>
      <c r="J6" s="234" t="s">
        <v>12</v>
      </c>
      <c r="K6" s="189"/>
      <c r="L6" s="189"/>
      <c r="M6" s="189"/>
      <c r="N6" s="189"/>
      <c r="O6" s="191"/>
    </row>
    <row r="7" spans="1:17" x14ac:dyDescent="0.3">
      <c r="A7" s="232" t="s">
        <v>10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1"/>
    </row>
    <row r="8" spans="1:17" x14ac:dyDescent="0.3">
      <c r="A8" s="232" t="s">
        <v>13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1"/>
    </row>
    <row r="9" spans="1:17" x14ac:dyDescent="0.3">
      <c r="A9" s="236"/>
      <c r="B9" s="237"/>
      <c r="C9" s="237"/>
      <c r="D9" s="237"/>
      <c r="E9" s="237"/>
      <c r="F9" s="189"/>
      <c r="G9" s="189"/>
      <c r="H9" s="189"/>
      <c r="I9" s="189"/>
      <c r="J9" s="189"/>
      <c r="K9" s="189"/>
      <c r="L9" s="189"/>
      <c r="M9" s="189"/>
      <c r="N9" s="189"/>
      <c r="O9" s="191"/>
    </row>
    <row r="10" spans="1:17" x14ac:dyDescent="0.3">
      <c r="A10" s="238" t="s">
        <v>14</v>
      </c>
      <c r="B10" s="239" t="s">
        <v>19</v>
      </c>
      <c r="C10" s="239" t="s">
        <v>20</v>
      </c>
      <c r="D10" s="239" t="s">
        <v>21</v>
      </c>
      <c r="E10" s="239" t="s">
        <v>22</v>
      </c>
      <c r="F10" s="240" t="s">
        <v>23</v>
      </c>
      <c r="G10" s="240" t="s">
        <v>24</v>
      </c>
      <c r="H10" s="240" t="s">
        <v>25</v>
      </c>
      <c r="I10" s="240" t="s">
        <v>26</v>
      </c>
      <c r="J10" s="240" t="s">
        <v>27</v>
      </c>
      <c r="K10" s="240" t="s">
        <v>28</v>
      </c>
      <c r="L10" s="240" t="s">
        <v>29</v>
      </c>
      <c r="M10" s="240" t="s">
        <v>17</v>
      </c>
      <c r="N10" s="240" t="s">
        <v>18</v>
      </c>
      <c r="O10" s="191"/>
    </row>
    <row r="11" spans="1:17" x14ac:dyDescent="0.3">
      <c r="A11" s="241">
        <v>10</v>
      </c>
      <c r="B11" s="242" t="s">
        <v>133</v>
      </c>
      <c r="C11" s="243" t="s">
        <v>38</v>
      </c>
      <c r="D11" s="153">
        <f>4.2</f>
        <v>4.2</v>
      </c>
      <c r="E11" s="259">
        <f>J11*K11*L11/1000000000</f>
        <v>1.4715095040000001E-2</v>
      </c>
      <c r="F11" s="243" t="s">
        <v>187</v>
      </c>
      <c r="G11" s="243"/>
      <c r="H11" s="20"/>
      <c r="I11" s="244" t="s">
        <v>193</v>
      </c>
      <c r="J11" s="106">
        <f>3.14*6*6</f>
        <v>113.03999999999999</v>
      </c>
      <c r="K11" s="83">
        <v>48</v>
      </c>
      <c r="L11" s="208">
        <v>2712</v>
      </c>
      <c r="M11" s="24">
        <v>1</v>
      </c>
      <c r="N11" s="154">
        <f>D11*E11</f>
        <v>6.1803399168000005E-2</v>
      </c>
      <c r="O11" s="209"/>
    </row>
    <row r="12" spans="1:17" x14ac:dyDescent="0.3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45" t="s">
        <v>18</v>
      </c>
      <c r="N12" s="246">
        <f>SUM(N11:N11)</f>
        <v>6.1803399168000005E-2</v>
      </c>
      <c r="O12" s="191"/>
    </row>
    <row r="13" spans="1:17" x14ac:dyDescent="0.3">
      <c r="A13" s="195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1"/>
      <c r="Q13" s="247"/>
    </row>
    <row r="14" spans="1:17" x14ac:dyDescent="0.3">
      <c r="A14" s="248" t="s">
        <v>14</v>
      </c>
      <c r="B14" s="240" t="s">
        <v>31</v>
      </c>
      <c r="C14" s="240" t="s">
        <v>20</v>
      </c>
      <c r="D14" s="240" t="s">
        <v>21</v>
      </c>
      <c r="E14" s="240" t="s">
        <v>32</v>
      </c>
      <c r="F14" s="240" t="s">
        <v>17</v>
      </c>
      <c r="G14" s="240" t="s">
        <v>33</v>
      </c>
      <c r="H14" s="240" t="s">
        <v>34</v>
      </c>
      <c r="I14" s="240" t="s">
        <v>18</v>
      </c>
      <c r="J14" s="212"/>
      <c r="K14" s="212"/>
      <c r="L14" s="212"/>
      <c r="M14" s="212"/>
      <c r="N14" s="212"/>
      <c r="O14" s="191"/>
    </row>
    <row r="15" spans="1:17" ht="28.8" x14ac:dyDescent="0.3">
      <c r="A15" s="249">
        <v>10</v>
      </c>
      <c r="B15" s="28" t="s">
        <v>39</v>
      </c>
      <c r="C15" s="250" t="s">
        <v>135</v>
      </c>
      <c r="D15" s="33">
        <v>1.3</v>
      </c>
      <c r="E15" s="28" t="s">
        <v>35</v>
      </c>
      <c r="F15" s="250">
        <v>1</v>
      </c>
      <c r="G15" s="250"/>
      <c r="H15" s="250"/>
      <c r="I15" s="33">
        <f>IF(H15="",D15*F15,D15*F15*H15)</f>
        <v>1.3</v>
      </c>
      <c r="J15" s="228"/>
      <c r="K15" s="228"/>
      <c r="L15" s="228"/>
      <c r="M15" s="228"/>
      <c r="N15" s="228"/>
      <c r="O15" s="213"/>
    </row>
    <row r="16" spans="1:17" x14ac:dyDescent="0.3">
      <c r="A16" s="251">
        <v>20</v>
      </c>
      <c r="B16" s="147" t="s">
        <v>184</v>
      </c>
      <c r="C16" s="252" t="s">
        <v>195</v>
      </c>
      <c r="D16" s="31">
        <v>0.04</v>
      </c>
      <c r="E16" s="28" t="s">
        <v>186</v>
      </c>
      <c r="F16" s="262">
        <v>0.05</v>
      </c>
      <c r="G16" s="28"/>
      <c r="H16" s="242"/>
      <c r="I16" s="31">
        <f>IF(H16="",D16*F16,D16*F16*H16)</f>
        <v>2E-3</v>
      </c>
      <c r="J16" s="189"/>
      <c r="K16" s="189"/>
      <c r="L16" s="189"/>
      <c r="M16" s="189"/>
      <c r="N16" s="189"/>
      <c r="O16" s="191"/>
    </row>
    <row r="17" spans="1:15" x14ac:dyDescent="0.3">
      <c r="A17" s="254">
        <v>30</v>
      </c>
      <c r="B17" s="147" t="s">
        <v>183</v>
      </c>
      <c r="C17" s="242" t="s">
        <v>185</v>
      </c>
      <c r="D17" s="31">
        <v>0.65</v>
      </c>
      <c r="E17" s="28" t="s">
        <v>35</v>
      </c>
      <c r="F17" s="242">
        <v>1</v>
      </c>
      <c r="G17" s="242"/>
      <c r="H17" s="242"/>
      <c r="I17" s="31">
        <f>IF(H17="",D17*F17,D17*F17*H17)</f>
        <v>0.65</v>
      </c>
      <c r="J17" s="192"/>
      <c r="K17" s="192"/>
      <c r="L17" s="192"/>
      <c r="M17" s="192"/>
      <c r="N17" s="192"/>
      <c r="O17" s="199"/>
    </row>
    <row r="18" spans="1:15" x14ac:dyDescent="0.3">
      <c r="A18" s="251">
        <v>40</v>
      </c>
      <c r="B18" s="147" t="s">
        <v>184</v>
      </c>
      <c r="C18" s="252" t="s">
        <v>196</v>
      </c>
      <c r="D18" s="31">
        <v>0.04</v>
      </c>
      <c r="E18" s="28" t="s">
        <v>186</v>
      </c>
      <c r="F18" s="262">
        <v>0.05</v>
      </c>
      <c r="G18" s="28"/>
      <c r="H18" s="242"/>
      <c r="I18" s="153">
        <f>IF(H18="",D18*F18,D18*F18*H18)</f>
        <v>2E-3</v>
      </c>
      <c r="J18" s="189"/>
      <c r="K18" s="189"/>
      <c r="L18" s="189"/>
      <c r="M18" s="189"/>
      <c r="N18" s="189"/>
      <c r="O18" s="191"/>
    </row>
    <row r="19" spans="1:15" x14ac:dyDescent="0.3">
      <c r="A19" s="211"/>
      <c r="B19" s="212"/>
      <c r="C19" s="212"/>
      <c r="D19" s="212"/>
      <c r="E19" s="212"/>
      <c r="F19" s="212"/>
      <c r="G19" s="212"/>
      <c r="H19" s="256" t="s">
        <v>18</v>
      </c>
      <c r="I19" s="246">
        <f>SUM(I15:I18)</f>
        <v>1.954</v>
      </c>
      <c r="J19" s="212"/>
      <c r="K19" s="212"/>
      <c r="L19" s="212"/>
      <c r="M19" s="212"/>
      <c r="N19" s="212"/>
      <c r="O19" s="191"/>
    </row>
    <row r="20" spans="1:15" ht="15" thickBot="1" x14ac:dyDescent="0.35">
      <c r="A20" s="229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1"/>
    </row>
  </sheetData>
  <hyperlinks>
    <hyperlink ref="B4" location="BR_A0001" display="BR_A0001"/>
    <hyperlink ref="E3" location="'SU Drawing Part 6'!A1" display="Drawing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20" style="186" customWidth="1"/>
    <col min="2" max="16384" width="11.44140625" style="186"/>
  </cols>
  <sheetData>
    <row r="1" spans="1:2" x14ac:dyDescent="0.3">
      <c r="A1" s="186" t="s">
        <v>198</v>
      </c>
      <c r="B1" s="98" t="s">
        <v>253</v>
      </c>
    </row>
  </sheetData>
  <hyperlinks>
    <hyperlink ref="B1" location="SU_04006!B5" display="SU_03006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85" zoomScaleNormal="85" workbookViewId="0">
      <selection activeCell="B4" sqref="B4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9.2367610879999997</v>
      </c>
      <c r="O5" s="64"/>
    </row>
    <row r="6" spans="1:19" x14ac:dyDescent="0.3">
      <c r="A6" s="111" t="s">
        <v>7</v>
      </c>
      <c r="B6" s="29" t="s">
        <v>199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3">
      <c r="A11" s="92">
        <v>10</v>
      </c>
      <c r="B11" s="27" t="s">
        <v>133</v>
      </c>
      <c r="C11" s="21" t="s">
        <v>38</v>
      </c>
      <c r="D11" s="31">
        <f>4.2</f>
        <v>4.2</v>
      </c>
      <c r="E11" s="150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48"/>
      <c r="S13" s="148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48"/>
    </row>
    <row r="15" spans="1:19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1"/>
      <c r="S15" s="26"/>
    </row>
    <row r="16" spans="1:19" x14ac:dyDescent="0.3">
      <c r="A16" s="66">
        <v>20</v>
      </c>
      <c r="B16" s="147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48"/>
    </row>
    <row r="17" spans="1:19" x14ac:dyDescent="0.3">
      <c r="A17" s="94">
        <v>30</v>
      </c>
      <c r="B17" s="147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49"/>
      <c r="S17" s="17"/>
    </row>
    <row r="18" spans="1:19" x14ac:dyDescent="0.3">
      <c r="A18" s="66">
        <v>40</v>
      </c>
      <c r="B18" s="147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48"/>
    </row>
    <row r="19" spans="1:19" x14ac:dyDescent="0.3">
      <c r="A19" s="94">
        <v>50</v>
      </c>
      <c r="B19" s="147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48"/>
    </row>
    <row r="20" spans="1:19" x14ac:dyDescent="0.3">
      <c r="A20" s="94">
        <v>60</v>
      </c>
      <c r="B20" s="147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2" display="Drawing"/>
    <hyperlink ref="G2" location="SU_A0100_BOM" display="Back to BOM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198</v>
      </c>
      <c r="B1" s="98" t="s">
        <v>199</v>
      </c>
    </row>
    <row r="6" spans="1:2" x14ac:dyDescent="0.3">
      <c r="B6" s="155"/>
    </row>
  </sheetData>
  <hyperlinks>
    <hyperlink ref="B1" location="SU_01002" display="SU_01002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4.7773437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8.8765790399999975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8.8765790399999975</v>
      </c>
      <c r="O5" s="64"/>
    </row>
    <row r="6" spans="1:15" x14ac:dyDescent="0.3">
      <c r="A6" s="111" t="s">
        <v>7</v>
      </c>
      <c r="B6" s="29" t="s">
        <v>203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4" t="s">
        <v>216</v>
      </c>
      <c r="C11" s="175" t="s">
        <v>217</v>
      </c>
      <c r="D11" s="179">
        <f>200*E11*L11</f>
        <v>7.8902924799999985</v>
      </c>
      <c r="E11" s="178">
        <f>J11*K11</f>
        <v>2.4969279999999993E-5</v>
      </c>
      <c r="F11" s="21" t="s">
        <v>218</v>
      </c>
      <c r="G11" s="21"/>
      <c r="H11" s="20"/>
      <c r="I11" s="22" t="s">
        <v>191</v>
      </c>
      <c r="J11" s="176">
        <f>3.14*(0.008*0.008-0.006*0.006)</f>
        <v>8.7919999999999985E-5</v>
      </c>
      <c r="K11" s="83">
        <v>0.28399999999999997</v>
      </c>
      <c r="L11" s="84">
        <v>1580</v>
      </c>
      <c r="M11" s="177">
        <v>1</v>
      </c>
      <c r="N11" s="31">
        <f>D11*M11</f>
        <v>7.8902924799999985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7.8902924799999985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28.8" x14ac:dyDescent="0.3">
      <c r="A15" s="174">
        <v>10</v>
      </c>
      <c r="B15" s="174" t="s">
        <v>240</v>
      </c>
      <c r="C15" s="174" t="s">
        <v>241</v>
      </c>
      <c r="D15" s="268">
        <v>25</v>
      </c>
      <c r="E15" s="267" t="s">
        <v>242</v>
      </c>
      <c r="F15" s="270">
        <f>J11*K11*L11</f>
        <v>3.9451462399999991E-2</v>
      </c>
      <c r="G15" s="266"/>
      <c r="H15" s="266"/>
      <c r="I15" s="269">
        <f>IF(H15="",D15*F15,D15*F15*H15)</f>
        <v>0.98628655999999981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0.98628655999999981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0" zoomScaleNormal="80" workbookViewId="0">
      <selection activeCell="E28" sqref="E28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3.8867187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7.1887787999999979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7.1887787999999979</v>
      </c>
      <c r="O5" s="64"/>
    </row>
    <row r="6" spans="1:15" x14ac:dyDescent="0.3">
      <c r="A6" s="111" t="s">
        <v>7</v>
      </c>
      <c r="B6" s="29" t="s">
        <v>202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4" t="s">
        <v>216</v>
      </c>
      <c r="C11" s="175" t="s">
        <v>217</v>
      </c>
      <c r="D11" s="179">
        <f>200*E11*L11</f>
        <v>6.3900255999999978</v>
      </c>
      <c r="E11" s="178">
        <f>J11*K11</f>
        <v>2.0221599999999996E-5</v>
      </c>
      <c r="F11" s="21" t="s">
        <v>218</v>
      </c>
      <c r="G11" s="21"/>
      <c r="H11" s="20"/>
      <c r="I11" s="22" t="s">
        <v>191</v>
      </c>
      <c r="J11" s="176">
        <f>3.14*(0.008*0.008-0.006*0.006)</f>
        <v>8.7919999999999985E-5</v>
      </c>
      <c r="K11" s="83">
        <v>0.23</v>
      </c>
      <c r="L11" s="84">
        <v>1580</v>
      </c>
      <c r="M11" s="177">
        <v>1</v>
      </c>
      <c r="N11" s="31">
        <f>D11*M11</f>
        <v>6.3900255999999978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6.3900255999999978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x14ac:dyDescent="0.3">
      <c r="A15" s="174">
        <v>10</v>
      </c>
      <c r="B15" s="174" t="s">
        <v>240</v>
      </c>
      <c r="C15" s="174" t="s">
        <v>241</v>
      </c>
      <c r="D15" s="268">
        <v>25</v>
      </c>
      <c r="E15" s="267" t="s">
        <v>242</v>
      </c>
      <c r="F15" s="270">
        <f>J11*K11*L11</f>
        <v>3.1950127999999994E-2</v>
      </c>
      <c r="G15" s="266"/>
      <c r="H15" s="266"/>
      <c r="I15" s="269">
        <f>IF(H15="",D15*F15,D15*F15*H15)</f>
        <v>0.79875319999999983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0.79875319999999983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54</vt:i4>
      </vt:variant>
      <vt:variant>
        <vt:lpstr>Plages nommées</vt:lpstr>
      </vt:variant>
      <vt:variant>
        <vt:i4>120</vt:i4>
      </vt:variant>
    </vt:vector>
  </HeadingPairs>
  <TitlesOfParts>
    <vt:vector size="174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SU 01007</vt:lpstr>
      <vt:lpstr>dSU 01007</vt:lpstr>
      <vt:lpstr>SU_A0200</vt:lpstr>
      <vt:lpstr>SU_02001</vt:lpstr>
      <vt:lpstr>dSU_02001</vt:lpstr>
      <vt:lpstr>SU_02002</vt:lpstr>
      <vt:lpstr>dSU_02002</vt:lpstr>
      <vt:lpstr>SU_02003</vt:lpstr>
      <vt:lpstr>SU_02004</vt:lpstr>
      <vt:lpstr>SU_02005</vt:lpstr>
      <vt:lpstr>dSU_02005</vt:lpstr>
      <vt:lpstr>SU_02006</vt:lpstr>
      <vt:lpstr>dSU_02006</vt:lpstr>
      <vt:lpstr>SU_02007</vt:lpstr>
      <vt:lpstr>dSU_02007</vt:lpstr>
      <vt:lpstr>SU_A0300</vt:lpstr>
      <vt:lpstr>SU_03001</vt:lpstr>
      <vt:lpstr>dSU_03001</vt:lpstr>
      <vt:lpstr>SU_03002</vt:lpstr>
      <vt:lpstr>dSU_03002</vt:lpstr>
      <vt:lpstr>SU_03003</vt:lpstr>
      <vt:lpstr>SU_03004</vt:lpstr>
      <vt:lpstr>SU_03005</vt:lpstr>
      <vt:lpstr>dSU_03005</vt:lpstr>
      <vt:lpstr>SU_03006</vt:lpstr>
      <vt:lpstr>dSU_03006</vt:lpstr>
      <vt:lpstr>SU_03007</vt:lpstr>
      <vt:lpstr>dSU_03007</vt:lpstr>
      <vt:lpstr>SU_A0400</vt:lpstr>
      <vt:lpstr>SU_04001</vt:lpstr>
      <vt:lpstr>dSU_04001</vt:lpstr>
      <vt:lpstr>SU_04002</vt:lpstr>
      <vt:lpstr>dSU_04002</vt:lpstr>
      <vt:lpstr>SU_04003</vt:lpstr>
      <vt:lpstr>SU_04004</vt:lpstr>
      <vt:lpstr>SU_04005</vt:lpstr>
      <vt:lpstr>dSU_04005</vt:lpstr>
      <vt:lpstr>SU_04006</vt:lpstr>
      <vt:lpstr>dSU_04006</vt:lpstr>
      <vt:lpstr>SU_04007</vt:lpstr>
      <vt:lpstr>dSU_04007</vt:lpstr>
      <vt:lpstr>dSU_01001</vt:lpstr>
      <vt:lpstr>dSU_01002</vt:lpstr>
      <vt:lpstr>dSU_01005</vt:lpstr>
      <vt:lpstr>dSU_01006</vt:lpstr>
      <vt:lpstr>dSU_01007</vt:lpstr>
      <vt:lpstr>dSU_02001</vt:lpstr>
      <vt:lpstr>dSU_02002</vt:lpstr>
      <vt:lpstr>dSU_02005</vt:lpstr>
      <vt:lpstr>dSU_02006</vt:lpstr>
      <vt:lpstr>dSU_02007</vt:lpstr>
      <vt:lpstr>dSU_03001</vt:lpstr>
      <vt:lpstr>dSU_03002</vt:lpstr>
      <vt:lpstr>dSU_03005</vt:lpstr>
      <vt:lpstr>dSU_03006</vt:lpstr>
      <vt:lpstr>dSU_03007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SU_01007</vt:lpstr>
      <vt:lpstr>SU_01007_m</vt:lpstr>
      <vt:lpstr>SU_01007_p</vt:lpstr>
      <vt:lpstr>SU_01007_q</vt:lpstr>
      <vt:lpstr>SU_02001</vt:lpstr>
      <vt:lpstr>SU_02001_m</vt:lpstr>
      <vt:lpstr>SU_02001_p</vt:lpstr>
      <vt:lpstr>SU_02001_q</vt:lpstr>
      <vt:lpstr>SU_02002</vt:lpstr>
      <vt:lpstr>SU_02002_m</vt:lpstr>
      <vt:lpstr>SU_02002_p</vt:lpstr>
      <vt:lpstr>SU_02002_q</vt:lpstr>
      <vt:lpstr>SU_02003</vt:lpstr>
      <vt:lpstr>SU_02003_m</vt:lpstr>
      <vt:lpstr>SU_02003_p</vt:lpstr>
      <vt:lpstr>SU_02003_q</vt:lpstr>
      <vt:lpstr>SU_02004</vt:lpstr>
      <vt:lpstr>SU_02004_m</vt:lpstr>
      <vt:lpstr>SU_02004_p</vt:lpstr>
      <vt:lpstr>SU_02004_q</vt:lpstr>
      <vt:lpstr>SU_02005</vt:lpstr>
      <vt:lpstr>SU_02005_m</vt:lpstr>
      <vt:lpstr>SU_02005_p</vt:lpstr>
      <vt:lpstr>SU_02005_q</vt:lpstr>
      <vt:lpstr>SU_02006</vt:lpstr>
      <vt:lpstr>SU_02006_m</vt:lpstr>
      <vt:lpstr>SU_02006_p</vt:lpstr>
      <vt:lpstr>SU_02006_q</vt:lpstr>
      <vt:lpstr>SU_02007</vt:lpstr>
      <vt:lpstr>SU_02007_m</vt:lpstr>
      <vt:lpstr>SU_02007_p</vt:lpstr>
      <vt:lpstr>SU_02007_q</vt:lpstr>
      <vt:lpstr>SU_03001</vt:lpstr>
      <vt:lpstr>SU_03001_m</vt:lpstr>
      <vt:lpstr>SU_03001_p</vt:lpstr>
      <vt:lpstr>SU_03001_q</vt:lpstr>
      <vt:lpstr>SU_03002</vt:lpstr>
      <vt:lpstr>SU_03002_m</vt:lpstr>
      <vt:lpstr>SU_03002_p</vt:lpstr>
      <vt:lpstr>SU_03002_q</vt:lpstr>
      <vt:lpstr>SU_03003</vt:lpstr>
      <vt:lpstr>SU_03003_m</vt:lpstr>
      <vt:lpstr>SU_03003_p</vt:lpstr>
      <vt:lpstr>SU_03003_q</vt:lpstr>
      <vt:lpstr>SU_03004</vt:lpstr>
      <vt:lpstr>SU_03004_m</vt:lpstr>
      <vt:lpstr>SU_03004_p</vt:lpstr>
      <vt:lpstr>SU_03004_q</vt:lpstr>
      <vt:lpstr>SU_03005</vt:lpstr>
      <vt:lpstr>SU_03005_m</vt:lpstr>
      <vt:lpstr>SU_03005_p</vt:lpstr>
      <vt:lpstr>SU_03005_q</vt:lpstr>
      <vt:lpstr>SU_03006</vt:lpstr>
      <vt:lpstr>SU_03006_m</vt:lpstr>
      <vt:lpstr>SU_03006_p</vt:lpstr>
      <vt:lpstr>SU_03006_q</vt:lpstr>
      <vt:lpstr>SU_03007</vt:lpstr>
      <vt:lpstr>SU_03007_m</vt:lpstr>
      <vt:lpstr>SU_03007_p</vt:lpstr>
      <vt:lpstr>SU_03007_q</vt:lpstr>
      <vt:lpstr>SU_A0100</vt:lpstr>
      <vt:lpstr>SU_A0100_BOM</vt:lpstr>
      <vt:lpstr>SU_A0100_f</vt:lpstr>
      <vt:lpstr>SU_A0100_m</vt:lpstr>
      <vt:lpstr>SU_A0100_p</vt:lpstr>
      <vt:lpstr>SU_A0100_pa</vt:lpstr>
      <vt:lpstr>SU_A0100_q</vt:lpstr>
      <vt:lpstr>SU_A0200</vt:lpstr>
      <vt:lpstr>SU_A0200_BOM</vt:lpstr>
      <vt:lpstr>SU_A0200_f</vt:lpstr>
      <vt:lpstr>SU_A0200_m</vt:lpstr>
      <vt:lpstr>SU_A0200_p</vt:lpstr>
      <vt:lpstr>SU_A0200_pa</vt:lpstr>
      <vt:lpstr>SU_A0200_q</vt:lpstr>
      <vt:lpstr>SU_A0300</vt:lpstr>
      <vt:lpstr>SU_A0300_BOM</vt:lpstr>
      <vt:lpstr>SU_A0300_f</vt:lpstr>
      <vt:lpstr>SU_A0300_m</vt:lpstr>
      <vt:lpstr>SU_A0300_p</vt:lpstr>
      <vt:lpstr>SU_A0300_pa</vt:lpstr>
      <vt:lpstr>SU_A0300_q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2018-05-03T14:55:20Z</dcterms:modified>
  <dc:language>fr-FR</dc:language>
</cp:coreProperties>
</file>