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10452" firstSheet="30"/>
  </bookViews>
  <sheets>
    <sheet name="BOM" sheetId="33" r:id="rId1"/>
    <sheet name="ST A0100" sheetId="1" r:id="rId2"/>
    <sheet name="ST 01001" sheetId="2" r:id="rId3"/>
    <sheet name="ST 01002" sheetId="3" r:id="rId4"/>
    <sheet name="ST 01003" sheetId="4" r:id="rId5"/>
    <sheet name="ST 01004" sheetId="5" r:id="rId6"/>
    <sheet name="ST 01005" sheetId="6" r:id="rId7"/>
    <sheet name="ST 01006" sheetId="7" r:id="rId8"/>
    <sheet name="ST 01007" sheetId="8" r:id="rId9"/>
    <sheet name="ST 01008" sheetId="9" r:id="rId10"/>
    <sheet name="ST 01008 Drawing" sheetId="11" r:id="rId11"/>
    <sheet name="ST 01009" sheetId="10" r:id="rId12"/>
    <sheet name="ST 01009 Drawing" sheetId="12" r:id="rId13"/>
    <sheet name="ST 01010" sheetId="13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  <sheet name="ST A0500" sheetId="36" r:id="rId33"/>
    <sheet name="ST 05001" sheetId="37" r:id="rId34"/>
    <sheet name="ST 05002" sheetId="40" r:id="rId35"/>
    <sheet name="dST 05002" sheetId="42" r:id="rId36"/>
    <sheet name="ST 05003" sheetId="41" r:id="rId37"/>
    <sheet name="dSU 05003" sheetId="43" r:id="rId38"/>
  </sheets>
  <externalReferences>
    <externalReference r:id="rId39"/>
    <externalReference r:id="rId40"/>
  </externalReferences>
  <definedNames>
    <definedName name="BR_A0001_f" hidden="1">'[1]ST Assembly'!$J$43</definedName>
    <definedName name="BR_A0001_m" hidden="1">'[1]ST Assembly'!$N$24</definedName>
    <definedName name="BR_A0001_p" hidden="1">'[1]ST Assembly'!$I$33</definedName>
    <definedName name="BR_A0001_t" hidden="1">'[1]ST Assembly'!$I$48</definedName>
    <definedName name="dST_05002">'dST 05002'!$A$1</definedName>
    <definedName name="dST_05003">'dSU 05003'!$A$1</definedName>
    <definedName name="ST_01001">'ST 01001'!$B$6</definedName>
    <definedName name="ST_01001_m">'ST 01001'!$N$12</definedName>
    <definedName name="ST_01001_p">'ST 01001'!$I$22</definedName>
    <definedName name="ST_01001_q">'ST 01001'!$N$3</definedName>
    <definedName name="ST_01002">'ST 01002'!$B$6</definedName>
    <definedName name="ST_01002_m">'ST 01002'!$N$12</definedName>
    <definedName name="ST_01002_p">'ST 01002'!$I$23</definedName>
    <definedName name="ST_01002_q">'ST 01002'!$N$3</definedName>
    <definedName name="ST_01003">'ST 01003'!$B$6</definedName>
    <definedName name="ST_01003_m">'ST 01003'!$N$13</definedName>
    <definedName name="ST_01003_p">'ST 01003'!$I$21</definedName>
    <definedName name="ST_01003_q">'ST 01003'!$N$3</definedName>
    <definedName name="ST_01004">'ST 01004'!$B$6</definedName>
    <definedName name="ST_01004_m">'ST 01004'!$N$13</definedName>
    <definedName name="ST_01004_p">'ST 01004'!$I$24</definedName>
    <definedName name="ST_01004_q">'ST 01004'!$N$3</definedName>
    <definedName name="ST_01005">'ST 01005'!$B$6</definedName>
    <definedName name="ST_01005_m">'ST 01005'!$N$13</definedName>
    <definedName name="ST_01005_p">'ST 01005'!$I$21</definedName>
    <definedName name="ST_01005_q">'ST 01005'!$N$3</definedName>
    <definedName name="ST_01006">'ST 01006'!$B$6</definedName>
    <definedName name="ST_01006_m">'ST 01006'!$N$13</definedName>
    <definedName name="ST_01006_p">'ST 01006'!$I$26</definedName>
    <definedName name="ST_01006_q">'ST 01006'!$N$3</definedName>
    <definedName name="ST_01007">'ST 01007'!$B$6</definedName>
    <definedName name="ST_01007_m">'ST 01007'!$N$12</definedName>
    <definedName name="ST_01007_p">'ST 01007'!$I$23</definedName>
    <definedName name="ST_01007_q">'ST 01007'!$N$3</definedName>
    <definedName name="ST_01008">'ST 01008'!$B$6</definedName>
    <definedName name="ST_01008_m">'ST 01008'!$N$12</definedName>
    <definedName name="ST_01008_p">'ST 01008'!$I$19</definedName>
    <definedName name="ST_01008_q">'ST 01008'!$N$3</definedName>
    <definedName name="ST_01009">'ST 01009'!$B$6</definedName>
    <definedName name="ST_01009_m">'ST 01009'!$N$13</definedName>
    <definedName name="ST_01009_p">'ST 01009'!$I$20</definedName>
    <definedName name="ST_01009_q">'ST 01009'!$N$3</definedName>
    <definedName name="ST_01010">'ST 01010'!$B$6</definedName>
    <definedName name="ST_01010_m">'ST 01010'!$N$12</definedName>
    <definedName name="ST_01010_p">'ST 01010'!$I$18</definedName>
    <definedName name="ST_01010_q">'ST 01010'!$N$3</definedName>
    <definedName name="ST_01011">'ST 01011'!$B$6</definedName>
    <definedName name="ST_01011_m">'ST 01011'!$N$13</definedName>
    <definedName name="ST_01011_p">'ST 01011'!$I$19</definedName>
    <definedName name="ST_01011_q">'ST 01011'!$N$3</definedName>
    <definedName name="ST_02001">'ST 02001'!$B$6</definedName>
    <definedName name="ST_02001_m">'ST 02001'!$N$12</definedName>
    <definedName name="ST_02001_p">'ST 02001'!$I$19</definedName>
    <definedName name="ST_02001_q">'ST 02001'!$N$3</definedName>
    <definedName name="ST_02002">'ST 02002'!$B$6</definedName>
    <definedName name="ST_02002_m">'ST 02002'!$N$12</definedName>
    <definedName name="ST_02002_p">'ST 02002'!$I$17</definedName>
    <definedName name="ST_02002_q">'ST 02002'!$N$3</definedName>
    <definedName name="ST_02003">'ST 02003'!$B$6</definedName>
    <definedName name="ST_02003_m">'ST 02003'!$N$12</definedName>
    <definedName name="ST_02003_p">'ST 02003'!$I$19</definedName>
    <definedName name="ST_02003_q">'ST 02003'!$N$3</definedName>
    <definedName name="ST_02004">'ST 02004'!$B$6</definedName>
    <definedName name="ST_02004_m">'ST 02004'!$N$13</definedName>
    <definedName name="ST_02004_p">'ST 02004'!$I$21</definedName>
    <definedName name="ST_02004_q">'ST 02004'!$N$3</definedName>
    <definedName name="ST_02005">'ST 02005'!$B$6</definedName>
    <definedName name="ST_02005_m">'ST 02005'!$N$13</definedName>
    <definedName name="ST_02005_p">'ST 02005'!$I$21</definedName>
    <definedName name="ST_02005_q">'ST 02005'!$N$3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04001">'ST 04001'!$B$6</definedName>
    <definedName name="ST_04001_m">'ST 04001'!$N$15</definedName>
    <definedName name="ST_04001_p">'ST 04001'!$I$24</definedName>
    <definedName name="ST_04001_q">'ST 04001'!$N$3</definedName>
    <definedName name="ST_04002">'ST 04002'!$B$6</definedName>
    <definedName name="ST_04002_m">'ST 04002'!$N$12</definedName>
    <definedName name="ST_04002_p">'ST 04002'!$I$17</definedName>
    <definedName name="ST_04002_q">'ST 04002'!$N$3</definedName>
    <definedName name="ST_05001">'ST 05001'!$B$6</definedName>
    <definedName name="ST_05001_m">'ST 05001'!$N$12</definedName>
    <definedName name="ST_05001_p">'ST 05001'!$I$16</definedName>
    <definedName name="ST_05001_q">'ST 05001'!$N$3</definedName>
    <definedName name="ST_05002">'ST 05002'!$B$6</definedName>
    <definedName name="ST_05002_m">'ST 05002'!$N$12</definedName>
    <definedName name="ST_05002_p">'ST 05002'!$I$20</definedName>
    <definedName name="ST_05002_q">'ST 05002'!$N$3</definedName>
    <definedName name="ST_05003">'ST 05003'!$B$6</definedName>
    <definedName name="ST_05003_m">'ST 05003'!$N$12</definedName>
    <definedName name="ST_05003_p">'ST 05003'!$I$17</definedName>
    <definedName name="ST_05003_q">'ST 05003'!$N$3</definedName>
    <definedName name="ST_A0100">'ST A0100'!$B$4</definedName>
    <definedName name="ST_A0100_f">'ST A0100'!$J$61</definedName>
    <definedName name="ST_A0100_m">'ST A0100'!$N$26</definedName>
    <definedName name="ST_A0100_p">'ST A0100'!$I$49</definedName>
    <definedName name="ST_A0100_q">'ST A0100'!$N$2</definedName>
    <definedName name="ST_A0100_t">'ST A0100'!$I$66</definedName>
    <definedName name="ST_A0200">'ST A0200'!$B$5</definedName>
    <definedName name="ST_A0200_f">'ST A0200'!$J$39</definedName>
    <definedName name="ST_A0200_m">'ST A0200'!$N$20</definedName>
    <definedName name="ST_A0200_p">'ST A0200'!$I$35</definedName>
    <definedName name="ST_A0200_q">'ST A0200'!$N$3</definedName>
    <definedName name="ST_A0200_t">'ST A0200'!$I$48</definedName>
    <definedName name="ST_A0300">'ST A0300'!$B$5</definedName>
    <definedName name="ST_A0300_f">'ST A0300'!$J$27</definedName>
    <definedName name="ST_A0300_m">'ST A0300'!$N$18</definedName>
    <definedName name="ST_A0300_p">'ST A0300'!$I$23</definedName>
    <definedName name="ST_A0300_q">'ST A0300'!$N$3</definedName>
    <definedName name="ST_A0400">'ST A0400'!$B$5</definedName>
    <definedName name="ST_A0400_f">'ST A0400'!$J$22</definedName>
    <definedName name="ST_A0400_p">'ST A0400'!$I$17</definedName>
    <definedName name="ST_A0400_q">'ST A0400'!$N$3</definedName>
    <definedName name="ST_A0500">'ST A0500'!$B$5</definedName>
    <definedName name="ST_A0500_f">'ST A0500'!$J$45</definedName>
    <definedName name="ST_A0500_m">'ST A0500'!$N$18</definedName>
    <definedName name="ST_A0500_p">'ST A0500'!$I$37</definedName>
    <definedName name="ST_A0500_pa">'ST A0500'!$E$13</definedName>
    <definedName name="ST_A0500_q">'ST A0500'!$N$3</definedName>
    <definedName name="SU_12001_q">'[2]SU 12001'!$N$3</definedName>
    <definedName name="SU_12002_q">'[2]SU 12002'!$N$3</definedName>
    <definedName name="SU_12003_q">'[2]SU 12003'!$N$3</definedName>
  </definedNames>
  <calcPr calcId="162913" calcMode="manual"/>
</workbook>
</file>

<file path=xl/calcChain.xml><?xml version="1.0" encoding="utf-8"?>
<calcChain xmlns="http://schemas.openxmlformats.org/spreadsheetml/2006/main">
  <c r="L36" i="33" l="1"/>
  <c r="K36" i="33"/>
  <c r="J36" i="33"/>
  <c r="M36" i="33"/>
  <c r="N36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H8" i="33"/>
  <c r="I35" i="33"/>
  <c r="I34" i="33"/>
  <c r="I33" i="33"/>
  <c r="I32" i="33"/>
  <c r="F35" i="33"/>
  <c r="F34" i="33"/>
  <c r="F33" i="33"/>
  <c r="L32" i="33"/>
  <c r="K35" i="33"/>
  <c r="K34" i="33"/>
  <c r="K33" i="33"/>
  <c r="K32" i="33"/>
  <c r="J35" i="33"/>
  <c r="J34" i="33"/>
  <c r="J33" i="33"/>
  <c r="J32" i="33"/>
  <c r="H29" i="33"/>
  <c r="H25" i="33"/>
  <c r="H19" i="33"/>
  <c r="H7" i="33"/>
  <c r="H32" i="33" l="1"/>
  <c r="F32" i="33"/>
  <c r="E34" i="33" s="1"/>
  <c r="H35" i="33"/>
  <c r="N35" i="33" s="1"/>
  <c r="C35" i="33"/>
  <c r="H34" i="33"/>
  <c r="N34" i="33" s="1"/>
  <c r="C34" i="33"/>
  <c r="H33" i="33"/>
  <c r="N33" i="33" s="1"/>
  <c r="C33" i="33"/>
  <c r="C32" i="33"/>
  <c r="I20" i="40"/>
  <c r="N12" i="40"/>
  <c r="N2" i="29"/>
  <c r="I17" i="41"/>
  <c r="N12" i="41"/>
  <c r="H15" i="41"/>
  <c r="I16" i="41"/>
  <c r="I15" i="41"/>
  <c r="J11" i="41"/>
  <c r="E11" i="41" s="1"/>
  <c r="N11" i="41" s="1"/>
  <c r="E33" i="33" l="1"/>
  <c r="E35" i="33"/>
  <c r="N32" i="33"/>
  <c r="H15" i="40"/>
  <c r="H17" i="40"/>
  <c r="I19" i="40"/>
  <c r="I18" i="40"/>
  <c r="I17" i="40"/>
  <c r="I16" i="40"/>
  <c r="I15" i="40"/>
  <c r="J11" i="40" l="1"/>
  <c r="E11" i="40" s="1"/>
  <c r="N11" i="40" s="1"/>
  <c r="N12" i="37"/>
  <c r="I16" i="37"/>
  <c r="F15" i="37"/>
  <c r="I15" i="37" s="1"/>
  <c r="J11" i="37"/>
  <c r="E11" i="37" s="1"/>
  <c r="N11" i="37" s="1"/>
  <c r="B12" i="36"/>
  <c r="B11" i="36"/>
  <c r="B10" i="36"/>
  <c r="N2" i="41"/>
  <c r="N5" i="41" s="1"/>
  <c r="N2" i="40"/>
  <c r="N5" i="40" s="1"/>
  <c r="D44" i="36"/>
  <c r="J44" i="36" s="1"/>
  <c r="D43" i="36"/>
  <c r="J43" i="36" s="1"/>
  <c r="J42" i="36"/>
  <c r="D41" i="36"/>
  <c r="J41" i="36" s="1"/>
  <c r="A41" i="36"/>
  <c r="A42" i="36" s="1"/>
  <c r="A43" i="36" s="1"/>
  <c r="A44" i="36" s="1"/>
  <c r="D40" i="36"/>
  <c r="J40" i="36" s="1"/>
  <c r="J45" i="36" s="1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A23" i="36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I22" i="36"/>
  <c r="A22" i="36"/>
  <c r="I21" i="36"/>
  <c r="D17" i="36"/>
  <c r="N17" i="36" s="1"/>
  <c r="D16" i="36"/>
  <c r="N16" i="36" s="1"/>
  <c r="D12" i="36"/>
  <c r="D11" i="36"/>
  <c r="D10" i="36"/>
  <c r="C10" i="36"/>
  <c r="I37" i="36" l="1"/>
  <c r="E10" i="36"/>
  <c r="N18" i="36"/>
  <c r="N2" i="37"/>
  <c r="N5" i="37" s="1"/>
  <c r="F31" i="33" l="1"/>
  <c r="F30" i="33"/>
  <c r="F29" i="33"/>
  <c r="F28" i="33"/>
  <c r="F27" i="33"/>
  <c r="F26" i="33"/>
  <c r="F25" i="33"/>
  <c r="C30" i="33"/>
  <c r="C31" i="33"/>
  <c r="C29" i="33"/>
  <c r="C28" i="33"/>
  <c r="C27" i="33"/>
  <c r="C26" i="33"/>
  <c r="C25" i="33"/>
  <c r="F24" i="33"/>
  <c r="F23" i="33"/>
  <c r="F22" i="33"/>
  <c r="F21" i="33"/>
  <c r="F20" i="33"/>
  <c r="C24" i="33"/>
  <c r="C23" i="33"/>
  <c r="C22" i="33"/>
  <c r="C21" i="33"/>
  <c r="C20" i="33"/>
  <c r="F19" i="33"/>
  <c r="C19" i="33"/>
  <c r="D19" i="17"/>
  <c r="N19" i="17" s="1"/>
  <c r="F18" i="33"/>
  <c r="F17" i="33"/>
  <c r="F16" i="33"/>
  <c r="F15" i="33"/>
  <c r="F14" i="33"/>
  <c r="F13" i="33"/>
  <c r="F12" i="33"/>
  <c r="F11" i="33"/>
  <c r="F10" i="33"/>
  <c r="F9" i="33"/>
  <c r="F8" i="33"/>
  <c r="C18" i="33"/>
  <c r="C17" i="33"/>
  <c r="C16" i="33"/>
  <c r="C15" i="33"/>
  <c r="C14" i="33"/>
  <c r="C13" i="33"/>
  <c r="C12" i="33"/>
  <c r="C11" i="33"/>
  <c r="C10" i="33"/>
  <c r="C9" i="33"/>
  <c r="C8" i="33"/>
  <c r="F7" i="33"/>
  <c r="C7" i="33"/>
  <c r="B36" i="33"/>
  <c r="O1" i="33"/>
  <c r="C11" i="36" l="1"/>
  <c r="E11" i="36" s="1"/>
  <c r="C12" i="36"/>
  <c r="E12" i="36" s="1"/>
  <c r="I16" i="8"/>
  <c r="I17" i="8"/>
  <c r="I18" i="8"/>
  <c r="I19" i="8"/>
  <c r="I20" i="8"/>
  <c r="I21" i="8"/>
  <c r="I22" i="8"/>
  <c r="I17" i="13"/>
  <c r="F16" i="13"/>
  <c r="I16" i="13" s="1"/>
  <c r="I15" i="13"/>
  <c r="N11" i="13"/>
  <c r="N12" i="13" s="1"/>
  <c r="J17" i="33" s="1"/>
  <c r="J11" i="13"/>
  <c r="E11" i="13"/>
  <c r="I16" i="15"/>
  <c r="J11" i="8"/>
  <c r="E11" i="8" s="1"/>
  <c r="F15" i="8" s="1"/>
  <c r="I15" i="8" s="1"/>
  <c r="E13" i="36" l="1"/>
  <c r="N2" i="36" s="1"/>
  <c r="N5" i="36" s="1"/>
  <c r="I18" i="13"/>
  <c r="I23" i="8"/>
  <c r="K14" i="33" s="1"/>
  <c r="N11" i="8"/>
  <c r="N12" i="8" s="1"/>
  <c r="J14" i="33" s="1"/>
  <c r="I15" i="29"/>
  <c r="I16" i="29"/>
  <c r="D20" i="29"/>
  <c r="J20" i="29" s="1"/>
  <c r="D21" i="29"/>
  <c r="J21" i="29" s="1"/>
  <c r="I16" i="24"/>
  <c r="I15" i="9"/>
  <c r="I16" i="6"/>
  <c r="I18" i="6"/>
  <c r="I16" i="7"/>
  <c r="I20" i="7"/>
  <c r="I18" i="7"/>
  <c r="I22" i="7"/>
  <c r="I17" i="9"/>
  <c r="I16" i="10"/>
  <c r="J11" i="2"/>
  <c r="F16" i="2" s="1"/>
  <c r="I16" i="2" s="1"/>
  <c r="F19" i="2"/>
  <c r="I19" i="2" s="1"/>
  <c r="I16" i="31"/>
  <c r="I15" i="31"/>
  <c r="J11" i="31"/>
  <c r="E11" i="31"/>
  <c r="I23" i="30"/>
  <c r="I22" i="30"/>
  <c r="I21" i="30"/>
  <c r="I20" i="30"/>
  <c r="I19" i="30"/>
  <c r="I18" i="30"/>
  <c r="N13" i="30"/>
  <c r="N12" i="30"/>
  <c r="J11" i="30"/>
  <c r="N11" i="30" s="1"/>
  <c r="N15" i="30" s="1"/>
  <c r="J30" i="33" s="1"/>
  <c r="I17" i="28"/>
  <c r="I16" i="28"/>
  <c r="I15" i="28"/>
  <c r="I19" i="28" s="1"/>
  <c r="K28" i="33" s="1"/>
  <c r="J11" i="28"/>
  <c r="N11" i="28" s="1"/>
  <c r="N12" i="28" s="1"/>
  <c r="J28" i="33" s="1"/>
  <c r="I20" i="27"/>
  <c r="I19" i="27"/>
  <c r="I18" i="27"/>
  <c r="I22" i="27" s="1"/>
  <c r="K27" i="33" s="1"/>
  <c r="I17" i="27"/>
  <c r="I16" i="27"/>
  <c r="I15" i="27"/>
  <c r="J11" i="27"/>
  <c r="N11" i="27" s="1"/>
  <c r="N12" i="27" s="1"/>
  <c r="I23" i="26"/>
  <c r="I22" i="26"/>
  <c r="I21" i="26"/>
  <c r="I20" i="26"/>
  <c r="I19" i="26"/>
  <c r="I18" i="26"/>
  <c r="I17" i="26"/>
  <c r="I16" i="26"/>
  <c r="I15" i="26"/>
  <c r="J11" i="26"/>
  <c r="N11" i="26" s="1"/>
  <c r="N12" i="26" s="1"/>
  <c r="J26" i="33" s="1"/>
  <c r="D26" i="25"/>
  <c r="J26" i="25" s="1"/>
  <c r="J27" i="25" s="1"/>
  <c r="L25" i="33" s="1"/>
  <c r="I22" i="25"/>
  <c r="I21" i="25"/>
  <c r="N17" i="25"/>
  <c r="N16" i="25"/>
  <c r="N18" i="25"/>
  <c r="J25" i="33" s="1"/>
  <c r="N11" i="31"/>
  <c r="N12" i="31" s="1"/>
  <c r="D38" i="17"/>
  <c r="J38" i="17" s="1"/>
  <c r="J39" i="17" s="1"/>
  <c r="L19" i="33" s="1"/>
  <c r="I34" i="17"/>
  <c r="I32" i="17"/>
  <c r="I47" i="17"/>
  <c r="I30" i="17"/>
  <c r="I33" i="17"/>
  <c r="I31" i="17"/>
  <c r="I44" i="17"/>
  <c r="I27" i="17"/>
  <c r="I46" i="17"/>
  <c r="I29" i="17"/>
  <c r="E12" i="22"/>
  <c r="N12" i="22" s="1"/>
  <c r="J12" i="22"/>
  <c r="E12" i="24"/>
  <c r="F20" i="24" s="1"/>
  <c r="I20" i="24" s="1"/>
  <c r="N12" i="24"/>
  <c r="J12" i="24"/>
  <c r="I45" i="17"/>
  <c r="I28" i="17"/>
  <c r="I19" i="24"/>
  <c r="I18" i="24"/>
  <c r="I17" i="24"/>
  <c r="J11" i="24"/>
  <c r="E11" i="24" s="1"/>
  <c r="N11" i="24" s="1"/>
  <c r="I39" i="1"/>
  <c r="F19" i="22"/>
  <c r="I19" i="22" s="1"/>
  <c r="F17" i="22"/>
  <c r="I17" i="22" s="1"/>
  <c r="I18" i="22"/>
  <c r="I16" i="22"/>
  <c r="J11" i="22"/>
  <c r="E11" i="22" s="1"/>
  <c r="N11" i="22" s="1"/>
  <c r="F18" i="20"/>
  <c r="I18" i="20" s="1"/>
  <c r="F16" i="20"/>
  <c r="I16" i="20" s="1"/>
  <c r="I17" i="20"/>
  <c r="J11" i="20"/>
  <c r="I15" i="20"/>
  <c r="I43" i="17"/>
  <c r="I42" i="17"/>
  <c r="I48" i="17" s="1"/>
  <c r="M19" i="33" s="1"/>
  <c r="I26" i="17"/>
  <c r="I25" i="17"/>
  <c r="F24" i="17"/>
  <c r="I24" i="17" s="1"/>
  <c r="I23" i="17"/>
  <c r="I35" i="17" s="1"/>
  <c r="K19" i="33" s="1"/>
  <c r="N18" i="17"/>
  <c r="I16" i="19"/>
  <c r="I15" i="19"/>
  <c r="I17" i="19" s="1"/>
  <c r="K21" i="33" s="1"/>
  <c r="N11" i="19"/>
  <c r="N12" i="19" s="1"/>
  <c r="J21" i="33" s="1"/>
  <c r="H21" i="33" s="1"/>
  <c r="N21" i="33" s="1"/>
  <c r="J11" i="19"/>
  <c r="I18" i="18"/>
  <c r="I16" i="18"/>
  <c r="I15" i="18"/>
  <c r="J11" i="18"/>
  <c r="E11" i="18" s="1"/>
  <c r="N11" i="18" s="1"/>
  <c r="N12" i="18" s="1"/>
  <c r="J20" i="33" s="1"/>
  <c r="E11" i="20"/>
  <c r="N11" i="20" s="1"/>
  <c r="N12" i="20" s="1"/>
  <c r="J22" i="33" s="1"/>
  <c r="F17" i="18"/>
  <c r="I17" i="18" s="1"/>
  <c r="I48" i="1"/>
  <c r="I47" i="1"/>
  <c r="D60" i="1"/>
  <c r="J60" i="1" s="1"/>
  <c r="J59" i="1"/>
  <c r="D58" i="1"/>
  <c r="J58" i="1" s="1"/>
  <c r="F45" i="1"/>
  <c r="I45" i="1" s="1"/>
  <c r="I46" i="1"/>
  <c r="I65" i="1"/>
  <c r="F17" i="15"/>
  <c r="J11" i="15"/>
  <c r="N11" i="15" s="1"/>
  <c r="I17" i="15"/>
  <c r="I42" i="1"/>
  <c r="I41" i="1"/>
  <c r="I40" i="1"/>
  <c r="D57" i="1"/>
  <c r="J57" i="1" s="1"/>
  <c r="I38" i="1"/>
  <c r="I37" i="1"/>
  <c r="I64" i="1"/>
  <c r="I66" i="1" s="1"/>
  <c r="M7" i="33" s="1"/>
  <c r="I36" i="1"/>
  <c r="I35" i="1"/>
  <c r="I44" i="1"/>
  <c r="I43" i="1"/>
  <c r="I34" i="1"/>
  <c r="I33" i="1"/>
  <c r="I32" i="1"/>
  <c r="I31" i="1"/>
  <c r="D25" i="1"/>
  <c r="N25" i="1" s="1"/>
  <c r="D24" i="1"/>
  <c r="I30" i="1"/>
  <c r="J56" i="1"/>
  <c r="D56" i="1"/>
  <c r="J55" i="1"/>
  <c r="D54" i="1"/>
  <c r="J54" i="1"/>
  <c r="F29" i="1"/>
  <c r="I29" i="1" s="1"/>
  <c r="I18" i="10"/>
  <c r="E12" i="5"/>
  <c r="N12" i="5" s="1"/>
  <c r="F17" i="10"/>
  <c r="I17" i="10"/>
  <c r="J11" i="10"/>
  <c r="E11" i="10" s="1"/>
  <c r="F25" i="7"/>
  <c r="E12" i="7" s="1"/>
  <c r="N12" i="7" s="1"/>
  <c r="I25" i="7"/>
  <c r="F20" i="6"/>
  <c r="I20" i="6" s="1"/>
  <c r="F23" i="5"/>
  <c r="I23" i="5"/>
  <c r="F20" i="4"/>
  <c r="E12" i="4" s="1"/>
  <c r="N12" i="4" s="1"/>
  <c r="I18" i="9"/>
  <c r="F16" i="9"/>
  <c r="I16" i="9" s="1"/>
  <c r="I19" i="9" s="1"/>
  <c r="K15" i="33" s="1"/>
  <c r="J11" i="9"/>
  <c r="N11" i="9" s="1"/>
  <c r="N12" i="9" s="1"/>
  <c r="J15" i="33" s="1"/>
  <c r="H15" i="33" s="1"/>
  <c r="N15" i="33" s="1"/>
  <c r="F22" i="3"/>
  <c r="I22" i="3" s="1"/>
  <c r="I21" i="3"/>
  <c r="I24" i="7"/>
  <c r="F21" i="7"/>
  <c r="I21" i="7" s="1"/>
  <c r="F23" i="7"/>
  <c r="I23" i="7"/>
  <c r="F17" i="7"/>
  <c r="I17" i="7" s="1"/>
  <c r="I26" i="7" s="1"/>
  <c r="K13" i="33" s="1"/>
  <c r="F19" i="7"/>
  <c r="I19" i="7" s="1"/>
  <c r="J11" i="7"/>
  <c r="N11" i="7" s="1"/>
  <c r="D14" i="1"/>
  <c r="D13" i="1"/>
  <c r="F17" i="6"/>
  <c r="I17" i="6" s="1"/>
  <c r="F19" i="6"/>
  <c r="I19" i="6" s="1"/>
  <c r="J11" i="6"/>
  <c r="N11" i="6" s="1"/>
  <c r="N24" i="1"/>
  <c r="F22" i="5"/>
  <c r="I22" i="5" s="1"/>
  <c r="I21" i="5"/>
  <c r="F20" i="5"/>
  <c r="I20" i="5" s="1"/>
  <c r="I19" i="5"/>
  <c r="I18" i="5"/>
  <c r="F17" i="5"/>
  <c r="I17" i="5"/>
  <c r="I16" i="5"/>
  <c r="J11" i="5"/>
  <c r="E11" i="5" s="1"/>
  <c r="I19" i="4"/>
  <c r="I18" i="4"/>
  <c r="F17" i="4"/>
  <c r="I17" i="4" s="1"/>
  <c r="I21" i="4" s="1"/>
  <c r="K10" i="33" s="1"/>
  <c r="I16" i="4"/>
  <c r="D11" i="1"/>
  <c r="J11" i="4"/>
  <c r="N11" i="4" s="1"/>
  <c r="I20" i="3"/>
  <c r="F19" i="3"/>
  <c r="I19" i="3" s="1"/>
  <c r="I17" i="3"/>
  <c r="F16" i="3"/>
  <c r="I16" i="3"/>
  <c r="I18" i="3"/>
  <c r="I15" i="3"/>
  <c r="J11" i="3"/>
  <c r="E11" i="3" s="1"/>
  <c r="N11" i="3"/>
  <c r="N12" i="3" s="1"/>
  <c r="D53" i="1"/>
  <c r="J53" i="1"/>
  <c r="D52" i="1"/>
  <c r="J52" i="1" s="1"/>
  <c r="J61" i="1" s="1"/>
  <c r="L7" i="33" s="1"/>
  <c r="F21" i="2"/>
  <c r="I21" i="2" s="1"/>
  <c r="I17" i="2"/>
  <c r="I20" i="2"/>
  <c r="I18" i="2"/>
  <c r="I15" i="2"/>
  <c r="E11" i="2"/>
  <c r="H14" i="33" l="1"/>
  <c r="N14" i="33" s="1"/>
  <c r="H28" i="33"/>
  <c r="N28" i="33" s="1"/>
  <c r="J9" i="33"/>
  <c r="E12" i="6"/>
  <c r="N12" i="6" s="1"/>
  <c r="F19" i="10"/>
  <c r="N13" i="24"/>
  <c r="I17" i="29"/>
  <c r="K29" i="33" s="1"/>
  <c r="I22" i="2"/>
  <c r="K8" i="33" s="1"/>
  <c r="N13" i="7"/>
  <c r="J13" i="33" s="1"/>
  <c r="H13" i="33" s="1"/>
  <c r="N13" i="33" s="1"/>
  <c r="I21" i="24"/>
  <c r="K24" i="33" s="1"/>
  <c r="E11" i="28"/>
  <c r="N11" i="2"/>
  <c r="N12" i="2" s="1"/>
  <c r="J8" i="33" s="1"/>
  <c r="N8" i="33" s="1"/>
  <c r="N2" i="27"/>
  <c r="J27" i="33"/>
  <c r="H27" i="33" s="1"/>
  <c r="N27" i="33" s="1"/>
  <c r="N13" i="6"/>
  <c r="I23" i="3"/>
  <c r="K9" i="33" s="1"/>
  <c r="I21" i="6"/>
  <c r="K12" i="33" s="1"/>
  <c r="I20" i="4"/>
  <c r="N11" i="10"/>
  <c r="N20" i="17"/>
  <c r="J19" i="33" s="1"/>
  <c r="J31" i="33"/>
  <c r="I23" i="25"/>
  <c r="K25" i="33" s="1"/>
  <c r="I25" i="26"/>
  <c r="K26" i="33" s="1"/>
  <c r="H26" i="33" s="1"/>
  <c r="N26" i="33" s="1"/>
  <c r="I24" i="30"/>
  <c r="K30" i="33" s="1"/>
  <c r="H30" i="33" s="1"/>
  <c r="N30" i="33" s="1"/>
  <c r="I17" i="31"/>
  <c r="K31" i="33" s="1"/>
  <c r="H31" i="33" s="1"/>
  <c r="N31" i="33" s="1"/>
  <c r="N2" i="13"/>
  <c r="N5" i="13" s="1"/>
  <c r="K17" i="33"/>
  <c r="H17" i="33" s="1"/>
  <c r="N17" i="33" s="1"/>
  <c r="N26" i="1"/>
  <c r="J7" i="33" s="1"/>
  <c r="N13" i="4"/>
  <c r="I49" i="1"/>
  <c r="K7" i="33" s="1"/>
  <c r="I19" i="20"/>
  <c r="N2" i="26"/>
  <c r="N13" i="22"/>
  <c r="J23" i="33" s="1"/>
  <c r="N2" i="28"/>
  <c r="J22" i="29"/>
  <c r="L29" i="33" s="1"/>
  <c r="I24" i="5"/>
  <c r="K11" i="33" s="1"/>
  <c r="N2" i="9"/>
  <c r="I19" i="18"/>
  <c r="N2" i="19"/>
  <c r="N5" i="27"/>
  <c r="C11" i="25"/>
  <c r="E11" i="25" s="1"/>
  <c r="N2" i="30"/>
  <c r="F20" i="22"/>
  <c r="I20" i="22" s="1"/>
  <c r="I21" i="22" s="1"/>
  <c r="K23" i="33" s="1"/>
  <c r="E11" i="26"/>
  <c r="E12" i="15"/>
  <c r="N12" i="15" s="1"/>
  <c r="N13" i="15" s="1"/>
  <c r="E11" i="4"/>
  <c r="E11" i="6"/>
  <c r="E11" i="9"/>
  <c r="E11" i="27"/>
  <c r="E11" i="30"/>
  <c r="N11" i="5"/>
  <c r="N13" i="5" s="1"/>
  <c r="F18" i="15"/>
  <c r="I18" i="15" s="1"/>
  <c r="I19" i="15" s="1"/>
  <c r="K18" i="33" s="1"/>
  <c r="E11" i="7"/>
  <c r="E11" i="15"/>
  <c r="N2" i="8"/>
  <c r="N5" i="8" s="1"/>
  <c r="C15" i="1" s="1"/>
  <c r="E15" i="1" s="1"/>
  <c r="H23" i="33" l="1"/>
  <c r="N23" i="33" s="1"/>
  <c r="N25" i="33"/>
  <c r="N2" i="18"/>
  <c r="C10" i="17" s="1"/>
  <c r="E10" i="17" s="1"/>
  <c r="K20" i="33"/>
  <c r="H20" i="33" s="1"/>
  <c r="N20" i="33" s="1"/>
  <c r="N2" i="7"/>
  <c r="N2" i="31"/>
  <c r="C18" i="1"/>
  <c r="E18" i="1" s="1"/>
  <c r="N2" i="4"/>
  <c r="N5" i="4" s="1"/>
  <c r="C11" i="1" s="1"/>
  <c r="E11" i="1" s="1"/>
  <c r="J10" i="33"/>
  <c r="H10" i="33" s="1"/>
  <c r="N10" i="33" s="1"/>
  <c r="H9" i="33"/>
  <c r="N9" i="33" s="1"/>
  <c r="I19" i="10"/>
  <c r="I20" i="10" s="1"/>
  <c r="E12" i="10"/>
  <c r="N12" i="10" s="1"/>
  <c r="N13" i="10" s="1"/>
  <c r="J16" i="33" s="1"/>
  <c r="N2" i="5"/>
  <c r="N5" i="5" s="1"/>
  <c r="C12" i="1" s="1"/>
  <c r="E12" i="1" s="1"/>
  <c r="J11" i="33"/>
  <c r="H11" i="33" s="1"/>
  <c r="N11" i="33" s="1"/>
  <c r="N2" i="2"/>
  <c r="N5" i="2" s="1"/>
  <c r="C9" i="1" s="1"/>
  <c r="E9" i="1" s="1"/>
  <c r="N2" i="6"/>
  <c r="J12" i="33"/>
  <c r="H12" i="33" s="1"/>
  <c r="N12" i="33" s="1"/>
  <c r="N2" i="15"/>
  <c r="J18" i="33"/>
  <c r="H18" i="33" s="1"/>
  <c r="N18" i="33" s="1"/>
  <c r="N2" i="20"/>
  <c r="N5" i="20" s="1"/>
  <c r="K22" i="33"/>
  <c r="H22" i="33" s="1"/>
  <c r="N22" i="33" s="1"/>
  <c r="N2" i="24"/>
  <c r="J24" i="33"/>
  <c r="H24" i="33" s="1"/>
  <c r="N24" i="33" s="1"/>
  <c r="N2" i="3"/>
  <c r="N5" i="3" s="1"/>
  <c r="C10" i="1" s="1"/>
  <c r="E10" i="1" s="1"/>
  <c r="C12" i="17"/>
  <c r="E12" i="17" s="1"/>
  <c r="C19" i="1"/>
  <c r="E19" i="1" s="1"/>
  <c r="N5" i="15"/>
  <c r="N5" i="18"/>
  <c r="C11" i="17"/>
  <c r="E11" i="17" s="1"/>
  <c r="N5" i="19"/>
  <c r="N2" i="22"/>
  <c r="C10" i="25"/>
  <c r="E10" i="25" s="1"/>
  <c r="N5" i="26"/>
  <c r="C14" i="1"/>
  <c r="E14" i="1" s="1"/>
  <c r="N5" i="7"/>
  <c r="C10" i="29"/>
  <c r="E10" i="29" s="1"/>
  <c r="N5" i="30"/>
  <c r="C12" i="25"/>
  <c r="E12" i="25" s="1"/>
  <c r="N5" i="28"/>
  <c r="N5" i="9"/>
  <c r="C16" i="1"/>
  <c r="E16" i="1" s="1"/>
  <c r="N19" i="33" l="1"/>
  <c r="N5" i="24"/>
  <c r="C14" i="17"/>
  <c r="E14" i="17" s="1"/>
  <c r="N5" i="6"/>
  <c r="C13" i="1"/>
  <c r="E13" i="1" s="1"/>
  <c r="N2" i="10"/>
  <c r="K16" i="33"/>
  <c r="N5" i="31"/>
  <c r="C11" i="29"/>
  <c r="E11" i="29" s="1"/>
  <c r="E12" i="29" s="1"/>
  <c r="N5" i="29" s="1"/>
  <c r="N5" i="22"/>
  <c r="C13" i="17"/>
  <c r="E13" i="17" s="1"/>
  <c r="E15" i="17" s="1"/>
  <c r="N2" i="17" s="1"/>
  <c r="N5" i="17" s="1"/>
  <c r="E13" i="25"/>
  <c r="N2" i="25" s="1"/>
  <c r="N5" i="25" s="1"/>
  <c r="N29" i="33"/>
  <c r="H16" i="33" l="1"/>
  <c r="N16" i="33" s="1"/>
  <c r="N7" i="33" s="1"/>
  <c r="N5" i="10"/>
  <c r="C17" i="1"/>
  <c r="E17" i="1" s="1"/>
  <c r="E20" i="1" s="1"/>
  <c r="N1" i="1" s="1"/>
  <c r="N4" i="1" s="1"/>
</calcChain>
</file>

<file path=xl/sharedStrings.xml><?xml version="1.0" encoding="utf-8"?>
<sst xmlns="http://schemas.openxmlformats.org/spreadsheetml/2006/main" count="2404" uniqueCount="413">
  <si>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</si>
  <si>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</si>
  <si>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</si>
  <si>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</si>
  <si>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</si>
  <si>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</si>
  <si>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</si>
  <si>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</si>
  <si>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</si>
  <si>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</si>
  <si>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</si>
  <si>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</si>
  <si>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</si>
  <si>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</si>
  <si>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</si>
  <si>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</si>
  <si>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</si>
  <si>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</si>
  <si>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</si>
  <si>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</si>
  <si>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</si>
  <si>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</si>
  <si>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</si>
  <si>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</si>
  <si>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</si>
  <si>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</si>
  <si>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</si>
  <si>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</si>
  <si>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</si>
  <si>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</si>
  <si>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</si>
  <si>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</si>
  <si>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</si>
  <si>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</si>
  <si>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</si>
  <si>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</si>
  <si>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</si>
  <si>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</si>
  <si>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</si>
  <si>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</si>
  <si>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</si>
  <si>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</si>
  <si>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</si>
  <si>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</si>
  <si>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</si>
  <si>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</si>
  <si>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</si>
  <si>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</si>
  <si>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</si>
  <si>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</si>
  <si>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</si>
  <si>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</si>
  <si>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</si>
  <si>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</si>
  <si>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</si>
  <si>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</si>
  <si>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</si>
  <si>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</si>
  <si>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</si>
  <si>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</si>
  <si>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</si>
  <si>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</si>
  <si>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</si>
  <si>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</si>
  <si>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</si>
  <si>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</si>
  <si>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</si>
  <si>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</si>
  <si>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</si>
  <si>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</si>
  <si>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</si>
  <si>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</si>
  <si>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</si>
  <si>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</si>
  <si>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</si>
  <si>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</si>
  <si>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</si>
  <si>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</si>
  <si>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</si>
  <si>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</si>
  <si>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</si>
  <si>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</si>
  <si>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</si>
  <si>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</si>
  <si>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</si>
  <si>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</si>
  <si>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</si>
  <si>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</si>
  <si>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</si>
  <si>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</si>
  <si>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</si>
  <si>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</si>
  <si>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</si>
  <si>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</si>
  <si>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</si>
  <si>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</si>
  <si>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</si>
  <si>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</si>
  <si>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</si>
  <si>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</si>
  <si>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</si>
  <si>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</si>
  <si>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</si>
  <si>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</si>
  <si>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</si>
  <si>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</si>
  <si>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</si>
  <si>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</si>
  <si>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</si>
  <si>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</si>
  <si>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</si>
  <si>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</si>
  <si>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</si>
  <si>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</si>
  <si>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</si>
  <si>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</si>
  <si>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</si>
  <si>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</si>
  <si>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</si>
  <si>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</si>
  <si>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</si>
  <si>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</si>
  <si>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</si>
  <si>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</si>
  <si>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</si>
  <si>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</si>
  <si>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</si>
  <si>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</si>
  <si>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</si>
  <si>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</si>
  <si>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</si>
  <si>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</si>
  <si>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</si>
  <si>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</si>
  <si>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</si>
  <si>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</si>
  <si>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</si>
  <si>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</si>
  <si>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</si>
  <si>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</si>
  <si>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</si>
  <si>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</si>
  <si>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</si>
  <si>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</si>
  <si>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</si>
  <si>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</si>
  <si>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</si>
  <si>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</si>
  <si>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</si>
  <si>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</si>
  <si>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</si>
  <si>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</si>
  <si>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</si>
  <si>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</si>
  <si>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</si>
  <si>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</si>
  <si>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</si>
  <si>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</si>
  <si>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</si>
  <si>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</si>
  <si>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</si>
  <si>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</si>
  <si>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</si>
  <si>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</si>
  <si>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</si>
  <si>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</si>
  <si>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</si>
  <si>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</si>
  <si>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</si>
  <si>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</si>
  <si>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</si>
  <si>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</si>
  <si>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</si>
  <si>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</si>
  <si>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</si>
  <si>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</si>
  <si>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</si>
  <si>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</si>
  <si>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Steering Column tube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</si>
  <si>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</si>
  <si>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</si>
  <si>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</si>
  <si>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</si>
  <si>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</si>
  <si>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</si>
  <si>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</si>
  <si>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</si>
  <si>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</si>
  <si>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</si>
  <si>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</si>
  <si>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</si>
  <si>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</si>
  <si>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</si>
  <si>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</si>
  <si>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</si>
  <si>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</si>
  <si>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</si>
  <si>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</si>
  <si>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</si>
  <si>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</si>
  <si>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Steering Upper Shaft Pivot</t>
  </si>
  <si>
    <t xml:space="preserve">Circular section : diameter 32mm 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</si>
  <si>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</si>
  <si>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</si>
  <si>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</si>
  <si>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</si>
  <si>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</si>
  <si>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</si>
  <si>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</si>
  <si>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</si>
  <si>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</si>
  <si>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</si>
  <si>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</si>
  <si>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</si>
  <si>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</si>
  <si>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</si>
  <si>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</si>
  <si>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</si>
  <si>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</si>
  <si>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</si>
  <si>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</si>
  <si>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</si>
  <si>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</si>
  <si>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</si>
  <si>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</si>
  <si>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</si>
  <si>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</si>
  <si>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</si>
  <si>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</si>
  <si>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</si>
  <si>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</si>
  <si>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</si>
  <si>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</si>
  <si>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</si>
  <si>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</si>
  <si>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</si>
  <si>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</si>
  <si>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</si>
  <si>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</si>
  <si>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</si>
  <si>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</si>
  <si>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</si>
  <si>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</si>
  <si>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</si>
  <si>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</si>
  <si>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</si>
  <si>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</si>
  <si>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</si>
  <si>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</si>
  <si>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</si>
  <si>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</si>
  <si>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</si>
  <si>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</si>
  <si>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</si>
  <si>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</si>
  <si>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</si>
  <si>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</si>
  <si>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</si>
  <si>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</si>
  <si>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</si>
  <si>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</si>
  <si>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</si>
  <si>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</si>
  <si>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</si>
  <si>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</si>
  <si>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</si>
  <si>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</si>
  <si>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</si>
  <si>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</si>
  <si>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</si>
  <si>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</si>
  <si>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</si>
  <si>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</si>
  <si>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</si>
  <si>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</si>
  <si>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</si>
  <si>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</si>
  <si>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</si>
  <si>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</si>
  <si>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</si>
  <si>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</si>
  <si>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</si>
  <si>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</si>
  <si>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</si>
  <si>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</si>
  <si>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</si>
  <si>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</si>
  <si>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</si>
  <si>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</si>
  <si>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</si>
  <si>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</si>
  <si>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</si>
  <si>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</si>
  <si>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</si>
  <si>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</si>
  <si>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</si>
  <si>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</si>
  <si>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</si>
  <si>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</si>
  <si>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</si>
  <si>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</si>
  <si>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</si>
  <si>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</si>
  <si>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</si>
  <si>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</si>
  <si>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</si>
  <si>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</si>
  <si>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</si>
  <si>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Carbon Fiber, 1 Ply</t>
  </si>
  <si>
    <t>Tube diam.  72 x 3 mm</t>
  </si>
  <si>
    <t>Lamination, Fillament Wirring</t>
  </si>
  <si>
    <t>Tube Lamination</t>
  </si>
  <si>
    <t>For the opening</t>
  </si>
  <si>
    <t>Material  - Composite</t>
  </si>
  <si>
    <t>To drill the last hole</t>
  </si>
  <si>
    <t>Drilled hole &lt; 50.8 mm dia.</t>
  </si>
  <si>
    <t>Total Vehicle Cost</t>
  </si>
  <si>
    <t>Competition Code</t>
  </si>
  <si>
    <t>FSAEI</t>
  </si>
  <si>
    <t>Year</t>
  </si>
  <si>
    <t>The cost of assemblies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</si>
  <si>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</si>
  <si>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</si>
  <si>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</si>
  <si>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</si>
  <si>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</si>
  <si>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</si>
  <si>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</si>
  <si>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</si>
  <si>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</si>
  <si>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</si>
  <si>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</si>
  <si>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</si>
  <si>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</si>
  <si>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</si>
  <si>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</si>
  <si>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Steering Rack</t>
  </si>
  <si>
    <t>ST 01001</t>
  </si>
  <si>
    <t>ST 01002</t>
  </si>
  <si>
    <t>ST 01003</t>
  </si>
  <si>
    <t>ST 01004</t>
  </si>
  <si>
    <t>ST 01005</t>
  </si>
  <si>
    <t>ST 01006</t>
  </si>
  <si>
    <t>ST 01007</t>
  </si>
  <si>
    <t>ST 01008</t>
  </si>
  <si>
    <t>ST 01009</t>
  </si>
  <si>
    <t>ST 02001</t>
  </si>
  <si>
    <t>ST 02002</t>
  </si>
  <si>
    <t>ST 02005</t>
  </si>
  <si>
    <t>To guide part 30 in the part 40</t>
  </si>
  <si>
    <t>Bearing, Ball, Radial</t>
  </si>
  <si>
    <t>ST 04001</t>
  </si>
  <si>
    <t>ST A0500</t>
  </si>
  <si>
    <t>Steering rod</t>
  </si>
  <si>
    <t>Steering rod, right and left are symetric</t>
  </si>
  <si>
    <t>Steering rod tube</t>
  </si>
  <si>
    <t>Steering rod insert</t>
  </si>
  <si>
    <t>Rod End, Industrial</t>
  </si>
  <si>
    <t>Right-hand rod end for pushrod extremities</t>
  </si>
  <si>
    <t>Balls Diameter</t>
  </si>
  <si>
    <t>Left-hand rod end for pushrod extremities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</si>
  <si>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</si>
  <si>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</si>
  <si>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</si>
  <si>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</si>
  <si>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</si>
  <si>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</si>
  <si>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Hand - Start Only</t>
  </si>
  <si>
    <t>Put a nut on the rod end</t>
  </si>
  <si>
    <t>Hand, Loose &lt;= 25.4 mm</t>
  </si>
  <si>
    <t>Screwing by hand the rod end in the pullrod insert</t>
  </si>
  <si>
    <t>Thighten the M8 nuts</t>
  </si>
  <si>
    <t>Reaction tool &lt;= 25.4 mm</t>
  </si>
  <si>
    <t>Assemble, 1kg, Loose</t>
  </si>
  <si>
    <t>Put the spacers of the rocker in place</t>
  </si>
  <si>
    <t>Put the washers of the rocker in place</t>
  </si>
  <si>
    <t>Bolt pullrod into the rocker</t>
  </si>
  <si>
    <t>Put the spacers of the A-arm in place</t>
  </si>
  <si>
    <t>Put the washers of the A-arm in place</t>
  </si>
  <si>
    <t>Bolt pullrod into the A-Arm</t>
  </si>
  <si>
    <t>Put the nuts into the bolts</t>
  </si>
  <si>
    <t>Bolt,Grade 8.8 (SAE)</t>
  </si>
  <si>
    <t>Pullrod to rocker fixing bolt</t>
  </si>
  <si>
    <t>Pullrod to A-arm fixing bolt</t>
  </si>
  <si>
    <t>To tighten the rod ends</t>
  </si>
  <si>
    <t>To tighten the bolts</t>
  </si>
  <si>
    <t>ST 05001</t>
  </si>
  <si>
    <t>ST 05002</t>
  </si>
  <si>
    <t>ST 05003</t>
  </si>
  <si>
    <t>Spacer</t>
  </si>
  <si>
    <t>Carbon fiber, 1 Ply</t>
  </si>
  <si>
    <t>Stock material</t>
  </si>
  <si>
    <t>Round area, diameter 16x2 mm</t>
  </si>
  <si>
    <t>Lamination, Filament Wirring</t>
  </si>
  <si>
    <t>Tube lamination</t>
  </si>
  <si>
    <t>Aluminium, Premium (per kg)</t>
  </si>
  <si>
    <t>cylinder</t>
  </si>
  <si>
    <t>Round area diam. 18mm</t>
  </si>
  <si>
    <t>Setup for machining and removal</t>
  </si>
  <si>
    <t>Material removal - side view profile</t>
  </si>
  <si>
    <t>Machining setup, change</t>
  </si>
  <si>
    <t>Setup for machining process</t>
  </si>
  <si>
    <t>Tapping Holes</t>
  </si>
  <si>
    <t>Rod End emplacement</t>
  </si>
  <si>
    <t>2 parts from a single machine setup (tierod insert)</t>
  </si>
  <si>
    <t>Drawing :</t>
  </si>
  <si>
    <t>Drawing</t>
  </si>
  <si>
    <t>Kg</t>
  </si>
  <si>
    <t>Cylinder face</t>
  </si>
  <si>
    <t>Material -Steel</t>
  </si>
  <si>
    <t>Same setup for 8</t>
  </si>
  <si>
    <t>ST_05002</t>
  </si>
  <si>
    <t>ST_05003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</si>
</sst>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_(* #,##0.000_);_(* \(#,##0.000\);_(* \-??_);_(@_)"/>
    <numFmt numFmtId="181" formatCode="_-[$$-2009]* #,##0.00_-;\-[$$-2009]* #,##0.00_-;_-[$$-2009]* &quot;-&quot;??_-;_-@_-"/>
    <numFmt numFmtId="182" formatCode="_(* #,##0.000_);_(* \(#,##0.000\);_(* &quot;-&quot;??_);_(@_)"/>
    <numFmt numFmtId="183" formatCode="_-* #,##0.000_-;\-* #,##0.000_-;_-* &quot;-&quot;???_-;_-@_-"/>
    <numFmt numFmtId="184" formatCode="#,##0.000"/>
    <numFmt numFmtId="185" formatCode="#,##0.000_ ;\-#,##0.000\ "/>
    <numFmt numFmtId="186" formatCode="_-* #,##0.000\ _€_-;\-* #,##0.000\ _€_-;_-* &quot;-&quot;??\ _€_-;_-@_-"/>
    <numFmt numFmtId="187" formatCode="_-[$$-409]* #,##0.00_ ;_-[$$-409]* \-#,##0.00,;_-[$$-409]* \-??_ ;_-@_ "/>
    <numFmt numFmtId="188" formatCode="_-* #,##0.000_-;\-* #,##0.000_-;_-* &quot;-&quot;??_-;_-@_-"/>
    <numFmt numFmtId="189" formatCode="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0">
      <alignment vertical="center" wrapText="1"/>
    </xf>
    <xf numFmtId="175" fontId="8" fillId="0" borderId="10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5" fillId="0" borderId="0" applyFont="0" applyFill="0" applyBorder="0" applyAlignment="0" applyProtection="0"/>
    <xf numFmtId="164" fontId="12" fillId="8" borderId="10">
      <alignment vertical="center" wrapText="1"/>
    </xf>
    <xf numFmtId="0" fontId="1" fillId="0" borderId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43" fontId="8" fillId="0" borderId="0" applyFont="0" applyFill="0" applyBorder="0" applyAlignment="0" applyProtection="0"/>
    <xf numFmtId="0" fontId="1" fillId="0" borderId="0"/>
  </cellStyleXfs>
  <cellXfs count="428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164" fontId="7" fillId="0" borderId="9" xfId="10" applyFont="1" applyFill="1" applyBorder="1">
      <alignment vertical="center" wrapText="1"/>
    </xf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1" xfId="0" applyFont="1" applyFill="1" applyBorder="1"/>
    <xf numFmtId="0" fontId="14" fillId="0" borderId="0" xfId="0" applyFont="1" applyBorder="1"/>
    <xf numFmtId="0" fontId="14" fillId="0" borderId="11" xfId="0" applyFont="1" applyBorder="1" applyAlignment="1">
      <alignment horizontal="right"/>
    </xf>
    <xf numFmtId="176" fontId="14" fillId="0" borderId="11" xfId="12" applyNumberFormat="1" applyFont="1" applyBorder="1" applyAlignment="1" applyProtection="1"/>
    <xf numFmtId="37" fontId="14" fillId="0" borderId="11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1" xfId="12" applyNumberFormat="1" applyFont="1" applyBorder="1" applyAlignment="1" applyProtection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2" xfId="0" applyFont="1" applyFill="1" applyBorder="1" applyAlignment="1">
      <alignment horizontal="right"/>
    </xf>
    <xf numFmtId="177" fontId="13" fillId="6" borderId="12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0" fillId="0" borderId="6" xfId="5" applyFont="1" applyBorder="1" applyAlignment="1">
      <alignment wrapText="1"/>
    </xf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164" fontId="3" fillId="0" borderId="2" xfId="6" applyNumberFormat="1" applyFont="1" applyFill="1" applyBorder="1" applyAlignment="1"/>
    <xf numFmtId="181" fontId="1" fillId="0" borderId="9" xfId="1" applyNumberFormat="1" applyFont="1" applyBorder="1"/>
    <xf numFmtId="0" fontId="13" fillId="6" borderId="13" xfId="0" applyFont="1" applyFill="1" applyBorder="1"/>
    <xf numFmtId="0" fontId="13" fillId="6" borderId="12" xfId="0" applyFont="1" applyFill="1" applyBorder="1"/>
    <xf numFmtId="1" fontId="3" fillId="0" borderId="2" xfId="5" applyNumberFormat="1" applyFont="1" applyFill="1" applyBorder="1"/>
    <xf numFmtId="11" fontId="14" fillId="0" borderId="9" xfId="12" applyNumberFormat="1" applyFont="1" applyBorder="1" applyAlignment="1" applyProtection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2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3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4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5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168" fontId="3" fillId="0" borderId="9" xfId="4" applyNumberFormat="1" applyFont="1" applyFill="1" applyBorder="1"/>
    <xf numFmtId="186" fontId="14" fillId="0" borderId="9" xfId="0" applyNumberFormat="1" applyFont="1" applyBorder="1" applyAlignment="1"/>
    <xf numFmtId="1" fontId="14" fillId="0" borderId="9" xfId="12" applyNumberFormat="1" applyFont="1" applyBorder="1" applyAlignment="1" applyProtection="1"/>
    <xf numFmtId="0" fontId="6" fillId="4" borderId="9" xfId="0" applyFont="1" applyFill="1" applyBorder="1"/>
    <xf numFmtId="168" fontId="8" fillId="0" borderId="9" xfId="5" applyNumberFormat="1" applyBorder="1"/>
    <xf numFmtId="168" fontId="14" fillId="0" borderId="9" xfId="0" applyNumberFormat="1" applyFont="1" applyBorder="1" applyAlignment="1"/>
    <xf numFmtId="168" fontId="7" fillId="0" borderId="2" xfId="0" applyNumberFormat="1" applyFont="1" applyBorder="1"/>
    <xf numFmtId="43" fontId="8" fillId="0" borderId="2" xfId="5" applyNumberFormat="1" applyBorder="1"/>
    <xf numFmtId="0" fontId="0" fillId="0" borderId="2" xfId="0" applyFill="1" applyBorder="1"/>
    <xf numFmtId="11" fontId="3" fillId="0" borderId="2" xfId="15" applyNumberFormat="1" applyFont="1" applyFill="1" applyBorder="1"/>
    <xf numFmtId="186" fontId="3" fillId="0" borderId="2" xfId="5" applyNumberFormat="1" applyFont="1" applyFill="1" applyBorder="1"/>
    <xf numFmtId="0" fontId="17" fillId="11" borderId="14" xfId="16" applyFont="1" applyFill="1" applyBorder="1"/>
    <xf numFmtId="0" fontId="1" fillId="12" borderId="15" xfId="16" applyFont="1" applyFill="1" applyBorder="1"/>
    <xf numFmtId="0" fontId="18" fillId="0" borderId="0" xfId="13" applyFont="1"/>
    <xf numFmtId="0" fontId="19" fillId="0" borderId="0" xfId="13" applyFont="1"/>
    <xf numFmtId="0" fontId="20" fillId="0" borderId="0" xfId="13" applyFont="1"/>
    <xf numFmtId="165" fontId="18" fillId="0" borderId="0" xfId="17" applyFont="1"/>
    <xf numFmtId="0" fontId="17" fillId="13" borderId="0" xfId="16" applyFont="1" applyFill="1" applyBorder="1" applyAlignment="1"/>
    <xf numFmtId="0" fontId="21" fillId="13" borderId="0" xfId="16" applyFont="1" applyFill="1" applyBorder="1" applyAlignment="1"/>
    <xf numFmtId="2" fontId="1" fillId="14" borderId="16" xfId="16" quotePrefix="1" applyNumberFormat="1" applyFill="1" applyBorder="1" applyAlignment="1">
      <alignment horizontal="right"/>
    </xf>
    <xf numFmtId="0" fontId="17" fillId="11" borderId="17" xfId="16" applyFont="1" applyFill="1" applyBorder="1"/>
    <xf numFmtId="0" fontId="1" fillId="12" borderId="18" xfId="16" applyFont="1" applyFill="1" applyBorder="1"/>
    <xf numFmtId="0" fontId="1" fillId="0" borderId="0" xfId="16" applyBorder="1"/>
    <xf numFmtId="0" fontId="1" fillId="0" borderId="0" xfId="16"/>
    <xf numFmtId="0" fontId="1" fillId="0" borderId="0" xfId="16" applyFont="1"/>
    <xf numFmtId="0" fontId="17" fillId="11" borderId="19" xfId="16" applyFont="1" applyFill="1" applyBorder="1"/>
    <xf numFmtId="0" fontId="1" fillId="12" borderId="18" xfId="16" quotePrefix="1" applyFill="1" applyBorder="1" applyAlignment="1">
      <alignment horizontal="left"/>
    </xf>
    <xf numFmtId="0" fontId="17" fillId="11" borderId="20" xfId="16" applyFont="1" applyFill="1" applyBorder="1"/>
    <xf numFmtId="0" fontId="1" fillId="12" borderId="18" xfId="16" quotePrefix="1" applyFont="1" applyFill="1" applyBorder="1" applyAlignment="1">
      <alignment horizontal="left"/>
    </xf>
    <xf numFmtId="0" fontId="21" fillId="0" borderId="0" xfId="16" applyFont="1" applyFill="1" applyBorder="1"/>
    <xf numFmtId="0" fontId="1" fillId="0" borderId="0" xfId="16" applyFont="1" applyFill="1" applyBorder="1"/>
    <xf numFmtId="0" fontId="1" fillId="0" borderId="0" xfId="16" applyFill="1" applyBorder="1"/>
    <xf numFmtId="0" fontId="1" fillId="0" borderId="0" xfId="16" applyFill="1"/>
    <xf numFmtId="0" fontId="1" fillId="0" borderId="0" xfId="16" applyFont="1" applyFill="1"/>
    <xf numFmtId="0" fontId="22" fillId="0" borderId="0" xfId="13" applyFont="1" applyAlignment="1">
      <alignment horizontal="center"/>
    </xf>
    <xf numFmtId="0" fontId="22" fillId="0" borderId="21" xfId="13" applyFont="1" applyBorder="1" applyAlignment="1">
      <alignment horizontal="center" wrapText="1"/>
    </xf>
    <xf numFmtId="165" fontId="22" fillId="0" borderId="21" xfId="17" applyFont="1" applyBorder="1" applyAlignment="1">
      <alignment horizontal="center" wrapText="1"/>
    </xf>
    <xf numFmtId="2" fontId="22" fillId="0" borderId="21" xfId="13" applyNumberFormat="1" applyFont="1" applyBorder="1" applyAlignment="1">
      <alignment horizontal="center" wrapText="1"/>
    </xf>
    <xf numFmtId="0" fontId="16" fillId="15" borderId="9" xfId="13" applyFont="1" applyFill="1" applyBorder="1" applyProtection="1">
      <protection locked="0"/>
    </xf>
    <xf numFmtId="0" fontId="16" fillId="15" borderId="9" xfId="13" applyFont="1" applyFill="1" applyBorder="1" applyAlignment="1">
      <alignment horizontal="left"/>
    </xf>
    <xf numFmtId="18" fontId="16" fillId="15" borderId="9" xfId="13" applyNumberFormat="1" applyFont="1" applyFill="1" applyBorder="1" applyAlignment="1" applyProtection="1">
      <protection locked="0"/>
    </xf>
    <xf numFmtId="176" fontId="16" fillId="15" borderId="9" xfId="17" applyNumberFormat="1" applyFont="1" applyFill="1" applyBorder="1" applyProtection="1">
      <protection locked="0"/>
    </xf>
    <xf numFmtId="37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>
      <alignment horizontal="right"/>
    </xf>
    <xf numFmtId="0" fontId="16" fillId="15" borderId="9" xfId="13" applyFont="1" applyFill="1" applyBorder="1" applyAlignment="1">
      <alignment horizontal="center"/>
    </xf>
    <xf numFmtId="0" fontId="16" fillId="10" borderId="9" xfId="13" applyFont="1" applyFill="1" applyBorder="1" applyProtection="1">
      <protection locked="0"/>
    </xf>
    <xf numFmtId="0" fontId="16" fillId="10" borderId="9" xfId="13" applyFont="1" applyFill="1" applyBorder="1" applyAlignment="1">
      <alignment horizontal="left"/>
    </xf>
    <xf numFmtId="18" fontId="16" fillId="10" borderId="9" xfId="13" applyNumberFormat="1" applyFont="1" applyFill="1" applyBorder="1" applyAlignment="1" applyProtection="1">
      <alignment horizontal="right"/>
      <protection locked="0"/>
    </xf>
    <xf numFmtId="18" fontId="16" fillId="10" borderId="9" xfId="13" applyNumberFormat="1" applyFont="1" applyFill="1" applyBorder="1" applyAlignment="1" applyProtection="1">
      <protection locked="0"/>
    </xf>
    <xf numFmtId="0" fontId="4" fillId="10" borderId="9" xfId="2" applyFill="1" applyBorder="1" applyAlignment="1">
      <alignment horizontal="left"/>
    </xf>
    <xf numFmtId="176" fontId="16" fillId="10" borderId="9" xfId="17" applyNumberFormat="1" applyFont="1" applyFill="1" applyBorder="1" applyProtection="1">
      <protection locked="0"/>
    </xf>
    <xf numFmtId="37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>
      <alignment horizontal="right"/>
    </xf>
    <xf numFmtId="0" fontId="16" fillId="10" borderId="9" xfId="13" applyFont="1" applyFill="1" applyBorder="1" applyAlignment="1">
      <alignment horizontal="center"/>
    </xf>
    <xf numFmtId="0" fontId="16" fillId="10" borderId="9" xfId="13" applyFont="1" applyFill="1" applyBorder="1" applyAlignment="1" applyProtection="1">
      <alignment horizontal="center"/>
      <protection locked="0"/>
    </xf>
    <xf numFmtId="11" fontId="16" fillId="10" borderId="9" xfId="13" applyNumberFormat="1" applyFont="1" applyFill="1" applyBorder="1" applyAlignment="1" applyProtection="1">
      <protection locked="0"/>
    </xf>
    <xf numFmtId="0" fontId="16" fillId="0" borderId="22" xfId="13" applyFont="1" applyFill="1" applyBorder="1" applyProtection="1">
      <protection locked="0"/>
    </xf>
    <xf numFmtId="0" fontId="16" fillId="0" borderId="22" xfId="13" applyFont="1" applyFill="1" applyBorder="1" applyAlignment="1">
      <alignment horizontal="left"/>
    </xf>
    <xf numFmtId="18" fontId="16" fillId="0" borderId="22" xfId="13" applyNumberFormat="1" applyFont="1" applyFill="1" applyBorder="1" applyAlignment="1" applyProtection="1">
      <protection locked="0"/>
    </xf>
    <xf numFmtId="165" fontId="16" fillId="0" borderId="22" xfId="17" applyFont="1" applyFill="1" applyBorder="1" applyProtection="1">
      <protection locked="0"/>
    </xf>
    <xf numFmtId="0" fontId="16" fillId="0" borderId="22" xfId="13" applyFont="1" applyFill="1" applyBorder="1" applyAlignment="1" applyProtection="1">
      <alignment horizontal="center"/>
      <protection locked="0"/>
    </xf>
    <xf numFmtId="176" fontId="16" fillId="0" borderId="22" xfId="13" applyNumberFormat="1" applyFont="1" applyFill="1" applyBorder="1" applyAlignment="1">
      <alignment horizontal="right"/>
    </xf>
    <xf numFmtId="0" fontId="16" fillId="0" borderId="22" xfId="13" applyFont="1" applyFill="1" applyBorder="1" applyAlignment="1">
      <alignment horizontal="center"/>
    </xf>
    <xf numFmtId="18" fontId="4" fillId="15" borderId="9" xfId="2" applyNumberFormat="1" applyFill="1" applyBorder="1" applyAlignment="1" applyProtection="1">
      <protection locked="0"/>
    </xf>
    <xf numFmtId="164" fontId="3" fillId="0" borderId="9" xfId="18" applyFont="1" applyFill="1" applyBorder="1">
      <alignment vertical="center" wrapText="1"/>
    </xf>
    <xf numFmtId="11" fontId="14" fillId="0" borderId="9" xfId="0" applyNumberFormat="1" applyFont="1" applyBorder="1"/>
    <xf numFmtId="179" fontId="14" fillId="0" borderId="9" xfId="12" applyNumberFormat="1" applyFont="1" applyBorder="1" applyAlignment="1" applyProtection="1"/>
    <xf numFmtId="0" fontId="14" fillId="0" borderId="9" xfId="12" applyNumberFormat="1" applyFont="1" applyBorder="1" applyAlignment="1" applyProtection="1"/>
    <xf numFmtId="0" fontId="4" fillId="0" borderId="0" xfId="2" applyBorder="1"/>
    <xf numFmtId="11" fontId="14" fillId="0" borderId="9" xfId="0" applyNumberFormat="1" applyFont="1" applyBorder="1" applyAlignment="1">
      <alignment wrapText="1"/>
    </xf>
    <xf numFmtId="0" fontId="0" fillId="0" borderId="23" xfId="0" applyBorder="1"/>
    <xf numFmtId="0" fontId="14" fillId="0" borderId="11" xfId="0" applyFont="1" applyBorder="1"/>
    <xf numFmtId="0" fontId="3" fillId="0" borderId="9" xfId="19" applyFont="1" applyFill="1" applyBorder="1"/>
    <xf numFmtId="164" fontId="3" fillId="0" borderId="9" xfId="3" applyFont="1" applyFill="1" applyBorder="1"/>
    <xf numFmtId="43" fontId="3" fillId="0" borderId="9" xfId="20" applyFont="1" applyFill="1" applyBorder="1"/>
    <xf numFmtId="11" fontId="3" fillId="0" borderId="9" xfId="19" applyNumberFormat="1" applyFont="1" applyFill="1" applyBorder="1"/>
    <xf numFmtId="166" fontId="3" fillId="0" borderId="9" xfId="20" applyNumberFormat="1" applyFont="1" applyFill="1" applyBorder="1"/>
    <xf numFmtId="2" fontId="3" fillId="0" borderId="9" xfId="3" applyNumberFormat="1" applyFont="1" applyFill="1" applyBorder="1"/>
    <xf numFmtId="11" fontId="3" fillId="0" borderId="9" xfId="20" applyNumberFormat="1" applyFont="1" applyFill="1" applyBorder="1"/>
    <xf numFmtId="0" fontId="0" fillId="0" borderId="0" xfId="0" applyAlignment="1"/>
    <xf numFmtId="0" fontId="23" fillId="0" borderId="0" xfId="0" applyFont="1" applyBorder="1"/>
    <xf numFmtId="0" fontId="3" fillId="8" borderId="24" xfId="0" applyFont="1" applyFill="1" applyBorder="1"/>
    <xf numFmtId="0" fontId="2" fillId="8" borderId="24" xfId="0" applyFont="1" applyFill="1" applyBorder="1" applyAlignment="1">
      <alignment horizontal="right"/>
    </xf>
    <xf numFmtId="167" fontId="2" fillId="8" borderId="24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5" borderId="28" xfId="0" applyFont="1" applyFill="1" applyBorder="1"/>
    <xf numFmtId="0" fontId="0" fillId="0" borderId="29" xfId="0" applyBorder="1"/>
    <xf numFmtId="0" fontId="13" fillId="0" borderId="30" xfId="0" applyFont="1" applyBorder="1"/>
    <xf numFmtId="0" fontId="2" fillId="5" borderId="31" xfId="0" applyFont="1" applyFill="1" applyBorder="1"/>
    <xf numFmtId="0" fontId="3" fillId="0" borderId="30" xfId="0" applyFont="1" applyFill="1" applyBorder="1"/>
    <xf numFmtId="0" fontId="14" fillId="0" borderId="32" xfId="0" applyFont="1" applyBorder="1"/>
    <xf numFmtId="0" fontId="0" fillId="0" borderId="29" xfId="0" applyBorder="1" applyAlignment="1"/>
    <xf numFmtId="0" fontId="2" fillId="0" borderId="30" xfId="0" applyFont="1" applyFill="1" applyBorder="1"/>
    <xf numFmtId="0" fontId="3" fillId="0" borderId="33" xfId="0" applyFont="1" applyFill="1" applyBorder="1"/>
    <xf numFmtId="0" fontId="3" fillId="0" borderId="34" xfId="0" applyFont="1" applyFill="1" applyBorder="1"/>
    <xf numFmtId="0" fontId="3" fillId="0" borderId="34" xfId="0" applyFont="1" applyFill="1" applyBorder="1" applyAlignment="1">
      <alignment horizontal="right"/>
    </xf>
    <xf numFmtId="164" fontId="3" fillId="0" borderId="34" xfId="0" applyNumberFormat="1" applyFont="1" applyFill="1" applyBorder="1"/>
    <xf numFmtId="0" fontId="2" fillId="0" borderId="34" xfId="0" applyFont="1" applyFill="1" applyBorder="1"/>
    <xf numFmtId="0" fontId="0" fillId="0" borderId="35" xfId="0" applyBorder="1"/>
    <xf numFmtId="0" fontId="3" fillId="0" borderId="9" xfId="21" applyFont="1" applyFill="1" applyBorder="1"/>
    <xf numFmtId="0" fontId="8" fillId="0" borderId="9" xfId="21" applyBorder="1"/>
    <xf numFmtId="0" fontId="0" fillId="0" borderId="9" xfId="21" applyFont="1" applyBorder="1"/>
    <xf numFmtId="0" fontId="1" fillId="0" borderId="11" xfId="12" applyNumberFormat="1" applyFont="1" applyBorder="1" applyAlignment="1">
      <alignment wrapText="1"/>
    </xf>
    <xf numFmtId="0" fontId="14" fillId="0" borderId="11" xfId="21" applyFont="1" applyBorder="1"/>
    <xf numFmtId="0" fontId="14" fillId="0" borderId="9" xfId="7" applyFont="1" applyFill="1" applyBorder="1" applyAlignment="1">
      <alignment wrapText="1"/>
    </xf>
    <xf numFmtId="0" fontId="14" fillId="0" borderId="9" xfId="19" applyNumberFormat="1" applyFont="1" applyFill="1" applyBorder="1"/>
    <xf numFmtId="0" fontId="14" fillId="0" borderId="11" xfId="12" applyNumberFormat="1" applyFont="1" applyBorder="1" applyAlignment="1">
      <alignment wrapText="1"/>
    </xf>
    <xf numFmtId="164" fontId="14" fillId="0" borderId="9" xfId="3" applyFont="1" applyFill="1" applyBorder="1"/>
    <xf numFmtId="0" fontId="14" fillId="0" borderId="9" xfId="19" applyFont="1" applyFill="1" applyBorder="1"/>
    <xf numFmtId="0" fontId="0" fillId="0" borderId="23" xfId="0" applyFont="1" applyBorder="1"/>
    <xf numFmtId="0" fontId="0" fillId="0" borderId="0" xfId="0" applyFont="1"/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87" fontId="14" fillId="0" borderId="11" xfId="0" applyNumberFormat="1" applyFont="1" applyBorder="1"/>
    <xf numFmtId="0" fontId="14" fillId="0" borderId="11" xfId="12" applyNumberFormat="1" applyFont="1" applyBorder="1" applyAlignment="1" applyProtection="1">
      <alignment vertical="center" wrapText="1"/>
    </xf>
    <xf numFmtId="39" fontId="14" fillId="0" borderId="11" xfId="12" applyNumberFormat="1" applyFont="1" applyBorder="1" applyAlignment="1" applyProtection="1"/>
    <xf numFmtId="0" fontId="2" fillId="10" borderId="28" xfId="0" applyFont="1" applyFill="1" applyBorder="1"/>
    <xf numFmtId="0" fontId="2" fillId="10" borderId="36" xfId="0" applyFont="1" applyFill="1" applyBorder="1"/>
    <xf numFmtId="0" fontId="0" fillId="0" borderId="33" xfId="0" applyBorder="1"/>
    <xf numFmtId="0" fontId="0" fillId="0" borderId="34" xfId="0" applyBorder="1"/>
    <xf numFmtId="37" fontId="14" fillId="0" borderId="2" xfId="0" applyNumberFormat="1" applyFont="1" applyBorder="1"/>
    <xf numFmtId="11" fontId="7" fillId="0" borderId="40" xfId="19" applyNumberFormat="1" applyFont="1" applyBorder="1" applyAlignment="1">
      <alignment wrapText="1"/>
    </xf>
    <xf numFmtId="0" fontId="7" fillId="0" borderId="37" xfId="19" applyFont="1" applyBorder="1" applyAlignment="1"/>
    <xf numFmtId="0" fontId="3" fillId="0" borderId="38" xfId="0" applyFont="1" applyFill="1" applyBorder="1" applyAlignment="1" applyProtection="1">
      <alignment vertical="center"/>
    </xf>
    <xf numFmtId="0" fontId="7" fillId="0" borderId="39" xfId="19" applyFont="1" applyBorder="1" applyAlignment="1"/>
    <xf numFmtId="177" fontId="7" fillId="0" borderId="40" xfId="19" applyNumberFormat="1" applyFont="1" applyBorder="1" applyAlignment="1"/>
    <xf numFmtId="188" fontId="7" fillId="0" borderId="40" xfId="19" applyNumberFormat="1" applyFont="1" applyBorder="1" applyAlignment="1"/>
    <xf numFmtId="0" fontId="7" fillId="0" borderId="40" xfId="19" applyFont="1" applyBorder="1" applyAlignment="1"/>
    <xf numFmtId="178" fontId="7" fillId="0" borderId="40" xfId="19" applyNumberFormat="1" applyFont="1" applyBorder="1" applyAlignment="1"/>
    <xf numFmtId="11" fontId="7" fillId="0" borderId="40" xfId="19" applyNumberFormat="1" applyFont="1" applyBorder="1" applyAlignment="1"/>
    <xf numFmtId="184" fontId="7" fillId="0" borderId="40" xfId="19" applyNumberFormat="1" applyFont="1" applyBorder="1" applyAlignment="1"/>
    <xf numFmtId="0" fontId="7" fillId="0" borderId="40" xfId="19" applyNumberFormat="1" applyFont="1" applyBorder="1" applyAlignment="1"/>
    <xf numFmtId="0" fontId="7" fillId="0" borderId="41" xfId="19" applyFont="1" applyBorder="1"/>
    <xf numFmtId="0" fontId="14" fillId="0" borderId="2" xfId="7" applyFont="1" applyFill="1" applyBorder="1" applyAlignment="1">
      <alignment wrapText="1"/>
    </xf>
    <xf numFmtId="0" fontId="14" fillId="0" borderId="2" xfId="21" applyFont="1" applyBorder="1" applyAlignment="1">
      <alignment wrapText="1"/>
    </xf>
    <xf numFmtId="164" fontId="14" fillId="0" borderId="2" xfId="6" applyFont="1" applyFill="1" applyBorder="1"/>
    <xf numFmtId="188" fontId="14" fillId="0" borderId="2" xfId="21" applyNumberFormat="1" applyFont="1" applyBorder="1"/>
    <xf numFmtId="0" fontId="14" fillId="0" borderId="2" xfId="21" applyFont="1" applyBorder="1"/>
    <xf numFmtId="177" fontId="14" fillId="0" borderId="2" xfId="12" applyNumberFormat="1" applyFont="1" applyBorder="1" applyAlignment="1" applyProtection="1">
      <alignment wrapText="1"/>
    </xf>
    <xf numFmtId="0" fontId="7" fillId="0" borderId="0" xfId="19" applyFont="1" applyBorder="1"/>
    <xf numFmtId="0" fontId="3" fillId="0" borderId="2" xfId="21" applyFont="1" applyFill="1" applyBorder="1"/>
    <xf numFmtId="43" fontId="3" fillId="0" borderId="2" xfId="20" applyFont="1" applyFill="1" applyBorder="1"/>
    <xf numFmtId="11" fontId="3" fillId="0" borderId="2" xfId="23" applyNumberFormat="1" applyFont="1" applyFill="1" applyBorder="1"/>
    <xf numFmtId="11" fontId="3" fillId="0" borderId="2" xfId="20" applyNumberFormat="1" applyFont="1" applyFill="1" applyBorder="1"/>
    <xf numFmtId="0" fontId="3" fillId="0" borderId="2" xfId="20" applyNumberFormat="1" applyFont="1" applyFill="1" applyBorder="1"/>
    <xf numFmtId="0" fontId="8" fillId="0" borderId="29" xfId="21" applyBorder="1" applyAlignment="1"/>
    <xf numFmtId="0" fontId="7" fillId="0" borderId="2" xfId="5" applyFont="1" applyFill="1" applyBorder="1" applyAlignment="1"/>
    <xf numFmtId="0" fontId="7" fillId="0" borderId="2" xfId="5" applyFont="1" applyFill="1" applyBorder="1" applyAlignment="1" applyProtection="1"/>
    <xf numFmtId="164" fontId="7" fillId="0" borderId="2" xfId="6" applyFont="1" applyFill="1" applyBorder="1" applyAlignment="1"/>
    <xf numFmtId="43" fontId="7" fillId="0" borderId="2" xfId="5" applyNumberFormat="1" applyFont="1" applyFill="1" applyBorder="1" applyAlignment="1"/>
    <xf numFmtId="165" fontId="7" fillId="0" borderId="2" xfId="4" applyFont="1" applyFill="1" applyBorder="1" applyAlignment="1"/>
    <xf numFmtId="11" fontId="7" fillId="0" borderId="2" xfId="5" applyNumberFormat="1" applyFont="1" applyFill="1" applyBorder="1" applyAlignment="1">
      <alignment wrapText="1"/>
    </xf>
    <xf numFmtId="0" fontId="8" fillId="0" borderId="36" xfId="21" applyBorder="1"/>
    <xf numFmtId="0" fontId="8" fillId="0" borderId="2" xfId="21" applyBorder="1" applyAlignment="1">
      <alignment wrapText="1"/>
    </xf>
    <xf numFmtId="0" fontId="8" fillId="0" borderId="2" xfId="21" applyBorder="1"/>
    <xf numFmtId="0" fontId="7" fillId="0" borderId="40" xfId="24" applyFont="1" applyBorder="1" applyAlignment="1">
      <alignment wrapText="1"/>
    </xf>
    <xf numFmtId="168" fontId="8" fillId="0" borderId="2" xfId="21" applyNumberFormat="1" applyBorder="1"/>
    <xf numFmtId="0" fontId="13" fillId="0" borderId="0" xfId="21" applyFont="1" applyBorder="1"/>
    <xf numFmtId="0" fontId="8" fillId="0" borderId="29" xfId="21" applyBorder="1"/>
    <xf numFmtId="0" fontId="3" fillId="0" borderId="36" xfId="21" applyFont="1" applyFill="1" applyBorder="1"/>
    <xf numFmtId="0" fontId="3" fillId="0" borderId="2" xfId="21" applyFont="1" applyFill="1" applyBorder="1" applyAlignment="1">
      <alignment wrapText="1"/>
    </xf>
    <xf numFmtId="1" fontId="3" fillId="0" borderId="2" xfId="21" applyNumberFormat="1" applyFont="1" applyFill="1" applyBorder="1"/>
    <xf numFmtId="0" fontId="8" fillId="0" borderId="0" xfId="21" applyBorder="1" applyAlignment="1">
      <alignment wrapText="1"/>
    </xf>
    <xf numFmtId="0" fontId="8" fillId="0" borderId="29" xfId="21" applyBorder="1" applyAlignment="1">
      <alignment wrapText="1"/>
    </xf>
    <xf numFmtId="0" fontId="8" fillId="0" borderId="0" xfId="21" applyBorder="1"/>
    <xf numFmtId="0" fontId="8" fillId="0" borderId="0" xfId="21" applyFont="1" applyBorder="1"/>
    <xf numFmtId="0" fontId="8" fillId="0" borderId="29" xfId="21" applyFont="1" applyBorder="1"/>
    <xf numFmtId="0" fontId="3" fillId="0" borderId="2" xfId="21" applyFont="1" applyFill="1" applyBorder="1" applyAlignment="1">
      <alignment horizontal="left" wrapText="1"/>
    </xf>
    <xf numFmtId="11" fontId="7" fillId="0" borderId="2" xfId="0" applyNumberFormat="1" applyFont="1" applyBorder="1" applyAlignment="1"/>
    <xf numFmtId="0" fontId="7" fillId="0" borderId="2" xfId="0" applyFont="1" applyBorder="1" applyAlignment="1"/>
    <xf numFmtId="178" fontId="7" fillId="0" borderId="2" xfId="12" applyNumberFormat="1" applyFont="1" applyBorder="1" applyAlignment="1" applyProtection="1"/>
    <xf numFmtId="11" fontId="7" fillId="0" borderId="11" xfId="12" applyNumberFormat="1" applyFont="1" applyBorder="1" applyAlignment="1" applyProtection="1"/>
    <xf numFmtId="189" fontId="7" fillId="0" borderId="11" xfId="12" applyNumberFormat="1" applyFont="1" applyBorder="1" applyAlignment="1" applyProtection="1"/>
    <xf numFmtId="0" fontId="24" fillId="0" borderId="11" xfId="0" applyFont="1" applyBorder="1" applyAlignment="1"/>
    <xf numFmtId="1" fontId="7" fillId="0" borderId="2" xfId="12" applyNumberFormat="1" applyFont="1" applyBorder="1" applyAlignment="1" applyProtection="1"/>
    <xf numFmtId="177" fontId="7" fillId="0" borderId="2" xfId="12" applyNumberFormat="1" applyFont="1" applyBorder="1" applyAlignment="1" applyProtection="1"/>
    <xf numFmtId="0" fontId="24" fillId="0" borderId="23" xfId="0" applyFont="1" applyBorder="1" applyAlignment="1"/>
    <xf numFmtId="0" fontId="7" fillId="0" borderId="2" xfId="7" applyFont="1" applyFill="1" applyBorder="1" applyAlignment="1">
      <alignment wrapText="1"/>
    </xf>
    <xf numFmtId="164" fontId="7" fillId="0" borderId="2" xfId="6" applyFont="1" applyFill="1" applyBorder="1"/>
    <xf numFmtId="0" fontId="7" fillId="0" borderId="2" xfId="5" applyFont="1" applyBorder="1"/>
    <xf numFmtId="0" fontId="7" fillId="0" borderId="2" xfId="5" applyFont="1" applyBorder="1" applyAlignment="1">
      <alignment wrapText="1"/>
    </xf>
    <xf numFmtId="11" fontId="7" fillId="0" borderId="2" xfId="5" applyNumberFormat="1" applyFont="1" applyBorder="1" applyAlignment="1">
      <alignment wrapText="1"/>
    </xf>
    <xf numFmtId="164" fontId="7" fillId="0" borderId="2" xfId="6" applyNumberFormat="1" applyFont="1" applyFill="1" applyBorder="1" applyAlignment="1"/>
    <xf numFmtId="0" fontId="24" fillId="0" borderId="0" xfId="0" applyFont="1" applyBorder="1" applyAlignment="1">
      <alignment wrapText="1"/>
    </xf>
    <xf numFmtId="0" fontId="24" fillId="0" borderId="23" xfId="0" applyFont="1" applyBorder="1" applyAlignment="1">
      <alignment wrapText="1"/>
    </xf>
    <xf numFmtId="0" fontId="7" fillId="8" borderId="2" xfId="5" applyFont="1" applyFill="1" applyBorder="1"/>
    <xf numFmtId="164" fontId="7" fillId="8" borderId="2" xfId="5" applyNumberFormat="1" applyFont="1" applyFill="1" applyBorder="1"/>
    <xf numFmtId="0" fontId="24" fillId="0" borderId="0" xfId="0" applyFont="1" applyBorder="1"/>
    <xf numFmtId="0" fontId="24" fillId="0" borderId="23" xfId="0" applyFont="1" applyBorder="1"/>
    <xf numFmtId="0" fontId="2" fillId="5" borderId="42" xfId="0" applyFont="1" applyFill="1" applyBorder="1"/>
    <xf numFmtId="0" fontId="3" fillId="0" borderId="26" xfId="0" applyFont="1" applyFill="1" applyBorder="1"/>
    <xf numFmtId="0" fontId="4" fillId="0" borderId="26" xfId="2" applyFill="1" applyBorder="1"/>
    <xf numFmtId="0" fontId="2" fillId="5" borderId="43" xfId="0" applyFont="1" applyFill="1" applyBorder="1"/>
    <xf numFmtId="0" fontId="3" fillId="0" borderId="26" xfId="0" quotePrefix="1" applyFont="1" applyFill="1" applyBorder="1" applyAlignment="1">
      <alignment horizontal="right"/>
    </xf>
    <xf numFmtId="164" fontId="3" fillId="0" borderId="26" xfId="3" applyNumberFormat="1" applyFont="1" applyFill="1" applyBorder="1"/>
    <xf numFmtId="0" fontId="2" fillId="5" borderId="36" xfId="0" applyFont="1" applyFill="1" applyBorder="1"/>
    <xf numFmtId="0" fontId="3" fillId="0" borderId="36" xfId="0" applyFont="1" applyFill="1" applyBorder="1"/>
    <xf numFmtId="0" fontId="0" fillId="0" borderId="30" xfId="0" applyBorder="1"/>
    <xf numFmtId="176" fontId="5" fillId="0" borderId="2" xfId="1" applyNumberFormat="1" applyFont="1" applyFill="1" applyBorder="1" applyAlignment="1">
      <alignment horizontal="right" wrapText="1"/>
    </xf>
    <xf numFmtId="0" fontId="6" fillId="4" borderId="44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6" fillId="4" borderId="45" xfId="0" applyFont="1" applyFill="1" applyBorder="1"/>
    <xf numFmtId="37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7" fillId="0" borderId="30" xfId="0" applyFont="1" applyBorder="1"/>
    <xf numFmtId="0" fontId="6" fillId="4" borderId="36" xfId="0" applyFont="1" applyFill="1" applyBorder="1"/>
    <xf numFmtId="0" fontId="3" fillId="0" borderId="36" xfId="5" applyFont="1" applyFill="1" applyBorder="1"/>
    <xf numFmtId="0" fontId="6" fillId="0" borderId="30" xfId="0" applyFont="1" applyBorder="1"/>
    <xf numFmtId="0" fontId="6" fillId="0" borderId="0" xfId="0" applyFont="1" applyBorder="1"/>
    <xf numFmtId="0" fontId="8" fillId="0" borderId="36" xfId="5" applyBorder="1"/>
    <xf numFmtId="2" fontId="8" fillId="0" borderId="2" xfId="5" applyNumberFormat="1" applyBorder="1"/>
    <xf numFmtId="176" fontId="1" fillId="0" borderId="2" xfId="1" applyNumberFormat="1" applyFont="1" applyBorder="1"/>
    <xf numFmtId="0" fontId="3" fillId="0" borderId="31" xfId="5" applyFont="1" applyFill="1" applyBorder="1"/>
    <xf numFmtId="0" fontId="8" fillId="0" borderId="31" xfId="5" applyBorder="1"/>
    <xf numFmtId="0" fontId="6" fillId="4" borderId="31" xfId="0" applyFont="1" applyFill="1" applyBorder="1"/>
    <xf numFmtId="164" fontId="7" fillId="0" borderId="2" xfId="10" applyFont="1" applyFill="1" applyBorder="1">
      <alignment vertical="center" wrapText="1"/>
    </xf>
    <xf numFmtId="11" fontId="0" fillId="0" borderId="2" xfId="0" applyNumberFormat="1" applyBorder="1"/>
    <xf numFmtId="11" fontId="8" fillId="0" borderId="2" xfId="5" applyNumberFormat="1" applyBorder="1"/>
    <xf numFmtId="2" fontId="0" fillId="0" borderId="2" xfId="0" applyNumberFormat="1" applyBorder="1"/>
    <xf numFmtId="170" fontId="8" fillId="0" borderId="2" xfId="5" applyNumberFormat="1" applyBorder="1"/>
    <xf numFmtId="0" fontId="8" fillId="0" borderId="2" xfId="5" applyNumberFormat="1" applyBorder="1"/>
    <xf numFmtId="0" fontId="0" fillId="0" borderId="34" xfId="0" applyFill="1" applyBorder="1"/>
    <xf numFmtId="0" fontId="7" fillId="0" borderId="0" xfId="0" applyFont="1" applyFill="1" applyBorder="1" applyAlignment="1">
      <alignment horizontal="right"/>
    </xf>
    <xf numFmtId="0" fontId="13" fillId="6" borderId="32" xfId="0" applyFont="1" applyFill="1" applyBorder="1"/>
    <xf numFmtId="0" fontId="13" fillId="6" borderId="46" xfId="0" applyFont="1" applyFill="1" applyBorder="1"/>
    <xf numFmtId="0" fontId="14" fillId="0" borderId="31" xfId="0" applyFont="1" applyBorder="1"/>
    <xf numFmtId="0" fontId="3" fillId="0" borderId="31" xfId="0" applyFont="1" applyFill="1" applyBorder="1"/>
    <xf numFmtId="0" fontId="4" fillId="4" borderId="9" xfId="2" applyFill="1" applyBorder="1"/>
    <xf numFmtId="0" fontId="7" fillId="0" borderId="0" xfId="0" applyFont="1" applyBorder="1" applyAlignment="1">
      <alignment wrapText="1"/>
    </xf>
    <xf numFmtId="0" fontId="0" fillId="0" borderId="36" xfId="0" applyBorder="1"/>
    <xf numFmtId="0" fontId="5" fillId="0" borderId="36" xfId="7" applyFont="1" applyFill="1" applyBorder="1" applyAlignment="1">
      <alignment wrapText="1"/>
    </xf>
    <xf numFmtId="0" fontId="7" fillId="0" borderId="36" xfId="0" applyFont="1" applyBorder="1"/>
  </cellXfs>
  <cellStyles count="25">
    <cellStyle name="Comma 2" xfId="17"/>
    <cellStyle name="Cost Table Plain" xfId="18"/>
    <cellStyle name="Cost_Red" xfId="10"/>
    <cellStyle name="Cost_Yellow" xfId="9"/>
    <cellStyle name="Lien hypertexte" xfId="2" builtinId="8"/>
    <cellStyle name="Milliers 2" xfId="4"/>
    <cellStyle name="Milliers 2 2" xfId="20"/>
    <cellStyle name="Milliers 3" xfId="15"/>
    <cellStyle name="Milliers 3 4" xfId="23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2 2 4 2 3" xfId="19"/>
    <cellStyle name="Normal 2 2 4 3 2" xfId="24"/>
    <cellStyle name="Normal 3" xfId="16"/>
    <cellStyle name="Normal 3 2 2" xfId="22"/>
    <cellStyle name="Normal 4" xfId="5"/>
    <cellStyle name="Normal 4 2" xfId="21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25455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155567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229600" cy="58248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367764</xdr:colOff>
      <xdr:row>13</xdr:row>
      <xdr:rowOff>129540</xdr:rowOff>
    </xdr:from>
    <xdr:to>
      <xdr:col>12</xdr:col>
      <xdr:colOff>367619</xdr:colOff>
      <xdr:row>19</xdr:row>
      <xdr:rowOff>167640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67084" y="2506980"/>
          <a:ext cx="1706735" cy="13182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30481</xdr:rowOff>
    </xdr:from>
    <xdr:to>
      <xdr:col>10</xdr:col>
      <xdr:colOff>60960</xdr:colOff>
      <xdr:row>32</xdr:row>
      <xdr:rowOff>10771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1"/>
          <a:ext cx="7985760" cy="56495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12</xdr:row>
      <xdr:rowOff>0</xdr:rowOff>
    </xdr:from>
    <xdr:to>
      <xdr:col>11</xdr:col>
      <xdr:colOff>702174</xdr:colOff>
      <xdr:row>18</xdr:row>
      <xdr:rowOff>182879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2377440"/>
          <a:ext cx="1982334" cy="14630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325325</xdr:colOff>
      <xdr:row>13</xdr:row>
      <xdr:rowOff>99061</xdr:rowOff>
    </xdr:from>
    <xdr:to>
      <xdr:col>12</xdr:col>
      <xdr:colOff>547961</xdr:colOff>
      <xdr:row>20</xdr:row>
      <xdr:rowOff>68581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63685" y="2476501"/>
          <a:ext cx="1929516" cy="16154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233082</xdr:colOff>
      <xdr:row>31</xdr:row>
      <xdr:rowOff>330074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9308" y="3908720"/>
          <a:ext cx="3903233" cy="367380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388621</xdr:colOff>
      <xdr:row>12</xdr:row>
      <xdr:rowOff>61730</xdr:rowOff>
    </xdr:from>
    <xdr:to>
      <xdr:col>12</xdr:col>
      <xdr:colOff>381001</xdr:colOff>
      <xdr:row>19</xdr:row>
      <xdr:rowOff>41551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00361" y="2256290"/>
          <a:ext cx="1607820" cy="144286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281941</xdr:colOff>
      <xdr:row>12</xdr:row>
      <xdr:rowOff>91441</xdr:rowOff>
    </xdr:from>
    <xdr:to>
      <xdr:col>12</xdr:col>
      <xdr:colOff>742950</xdr:colOff>
      <xdr:row>17</xdr:row>
      <xdr:rowOff>69650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07016" y="2263141"/>
          <a:ext cx="2070734" cy="88308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29434</xdr:colOff>
      <xdr:row>19</xdr:row>
      <xdr:rowOff>19050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5190" y="2513713"/>
          <a:ext cx="2119219" cy="943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38100</xdr:rowOff>
    </xdr:from>
    <xdr:to>
      <xdr:col>9</xdr:col>
      <xdr:colOff>190500</xdr:colOff>
      <xdr:row>28</xdr:row>
      <xdr:rowOff>128280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360" y="220980"/>
          <a:ext cx="7109460" cy="502794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206212</xdr:colOff>
      <xdr:row>13</xdr:row>
      <xdr:rowOff>91440</xdr:rowOff>
    </xdr:from>
    <xdr:to>
      <xdr:col>12</xdr:col>
      <xdr:colOff>768755</xdr:colOff>
      <xdr:row>21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42692" y="2651760"/>
          <a:ext cx="2277043" cy="140208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305537</xdr:colOff>
      <xdr:row>13</xdr:row>
      <xdr:rowOff>118110</xdr:rowOff>
    </xdr:from>
    <xdr:to>
      <xdr:col>12</xdr:col>
      <xdr:colOff>186467</xdr:colOff>
      <xdr:row>22</xdr:row>
      <xdr:rowOff>76200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78337" y="2651760"/>
          <a:ext cx="1490655" cy="158686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388621</xdr:colOff>
      <xdr:row>18</xdr:row>
      <xdr:rowOff>163830</xdr:rowOff>
    </xdr:from>
    <xdr:to>
      <xdr:col>13</xdr:col>
      <xdr:colOff>311838</xdr:colOff>
      <xdr:row>28</xdr:row>
      <xdr:rowOff>74482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59441" y="3455670"/>
          <a:ext cx="1866317" cy="17394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441961</xdr:colOff>
      <xdr:row>13</xdr:row>
      <xdr:rowOff>167641</xdr:rowOff>
    </xdr:from>
    <xdr:to>
      <xdr:col>13</xdr:col>
      <xdr:colOff>130975</xdr:colOff>
      <xdr:row>17</xdr:row>
      <xdr:rowOff>251460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1" y="2727961"/>
          <a:ext cx="2241714" cy="13639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401956</xdr:colOff>
      <xdr:row>12</xdr:row>
      <xdr:rowOff>117870</xdr:rowOff>
    </xdr:from>
    <xdr:to>
      <xdr:col>12</xdr:col>
      <xdr:colOff>653334</xdr:colOff>
      <xdr:row>19</xdr:row>
      <xdr:rowOff>57150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12756" y="2470545"/>
          <a:ext cx="1861103" cy="138708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11</xdr:row>
      <xdr:rowOff>76200</xdr:rowOff>
    </xdr:from>
    <xdr:to>
      <xdr:col>11</xdr:col>
      <xdr:colOff>356932</xdr:colOff>
      <xdr:row>16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11544300" y="2257425"/>
          <a:ext cx="1176082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306432</xdr:colOff>
      <xdr:row>12</xdr:row>
      <xdr:rowOff>126818</xdr:rowOff>
    </xdr:from>
    <xdr:to>
      <xdr:col>12</xdr:col>
      <xdr:colOff>876684</xdr:colOff>
      <xdr:row>19</xdr:row>
      <xdr:rowOff>152399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3082" y="2327093"/>
          <a:ext cx="2541927" cy="1911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76200</xdr:rowOff>
    </xdr:from>
    <xdr:to>
      <xdr:col>9</xdr:col>
      <xdr:colOff>628651</xdr:colOff>
      <xdr:row>31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" y="259080"/>
          <a:ext cx="7707631" cy="54406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1</xdr:row>
      <xdr:rowOff>76200</xdr:rowOff>
    </xdr:from>
    <xdr:to>
      <xdr:col>9</xdr:col>
      <xdr:colOff>374731</xdr:colOff>
      <xdr:row>29</xdr:row>
      <xdr:rowOff>175260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1" y="259080"/>
          <a:ext cx="7385130" cy="521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503431</xdr:colOff>
      <xdr:row>21</xdr:row>
      <xdr:rowOff>76200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33476" y="2705099"/>
          <a:ext cx="1555175" cy="15773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14</xdr:col>
      <xdr:colOff>630555</xdr:colOff>
      <xdr:row>26</xdr:row>
      <xdr:rowOff>34401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22</xdr:row>
      <xdr:rowOff>1906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24</xdr:row>
      <xdr:rowOff>106681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47885" y="2468881"/>
          <a:ext cx="2879881" cy="2943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T%20-%20Steering%20System\Cost\template_cost_steering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U%20-%20Suspension\Cost\Cost_SU_Termin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>
        <row r="3">
          <cell r="N3">
            <v>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SU A0100"/>
      <sheetName val="SU 01001"/>
      <sheetName val="dSU 01001"/>
      <sheetName val="SU 01002"/>
      <sheetName val="dSU 01002"/>
      <sheetName val="SU 01003"/>
      <sheetName val="SU 01004"/>
      <sheetName val="SU 01005"/>
      <sheetName val="dSU 01005"/>
      <sheetName val="SU 01006"/>
      <sheetName val="dSU 01006"/>
      <sheetName val="SU 01007"/>
      <sheetName val="dSU 01007"/>
      <sheetName val="SU 01008"/>
      <sheetName val="dSU 01008"/>
      <sheetName val="SU 01009"/>
      <sheetName val="dSU 01009"/>
      <sheetName val="SU 01010"/>
      <sheetName val="dSU 01010"/>
      <sheetName val="SU 01011"/>
      <sheetName val="dSU 01011"/>
      <sheetName val="SU A0200"/>
      <sheetName val="SU 02001"/>
      <sheetName val="dSU 02001"/>
      <sheetName val="SU 02002"/>
      <sheetName val="dSU 02002"/>
      <sheetName val="SU 02003"/>
      <sheetName val="SU 02004"/>
      <sheetName val="SU 02005"/>
      <sheetName val="dSU 02005"/>
      <sheetName val="SU 02006"/>
      <sheetName val="dSU 02006"/>
      <sheetName val="SU 02007"/>
      <sheetName val="dSU 02007"/>
      <sheetName val="SU 02008"/>
      <sheetName val="dSU 02008"/>
      <sheetName val="SU 02009"/>
      <sheetName val="dSU 02009"/>
      <sheetName val="SU 02010"/>
      <sheetName val="dSU 02010"/>
      <sheetName val="SU 02011"/>
      <sheetName val="dSU 02011"/>
      <sheetName val="SU A0300"/>
      <sheetName val="SU 03001"/>
      <sheetName val="dSU 03001"/>
      <sheetName val="SU 03002"/>
      <sheetName val="dSU 03002"/>
      <sheetName val="SU 03003"/>
      <sheetName val="SU 03004"/>
      <sheetName val="SU 03005"/>
      <sheetName val="dSU 03005"/>
      <sheetName val="SU 03006"/>
      <sheetName val="dSU 03006"/>
      <sheetName val="SU 03007"/>
      <sheetName val="dSU 03007"/>
      <sheetName val="SU 03008"/>
      <sheetName val="dSU 03008"/>
      <sheetName val="SU 03009"/>
      <sheetName val="dSU 03009"/>
      <sheetName val="SU 03010"/>
      <sheetName val="dSU 03010"/>
      <sheetName val="SU 03011"/>
      <sheetName val="dSU 03011"/>
      <sheetName val="SU A0400"/>
      <sheetName val="SU 04001"/>
      <sheetName val="dSU 04001"/>
      <sheetName val="SU 04002"/>
      <sheetName val="dSU 04002"/>
      <sheetName val="SU 04003"/>
      <sheetName val="SU 04004"/>
      <sheetName val="SU 04005"/>
      <sheetName val="dSU 04005"/>
      <sheetName val="SU 04006"/>
      <sheetName val="dSU 04006"/>
      <sheetName val="SU 04007"/>
      <sheetName val="dSU 04007"/>
      <sheetName val="SU 04008"/>
      <sheetName val="dSU 04008"/>
      <sheetName val="SU 04009"/>
      <sheetName val="dSU 04009"/>
      <sheetName val="SU 04010"/>
      <sheetName val="dSU 04010"/>
      <sheetName val="SU 04011"/>
      <sheetName val="dSU 04011"/>
      <sheetName val="SU A0500"/>
      <sheetName val="SU 05001"/>
      <sheetName val="dSU 05001"/>
      <sheetName val="SU A0600"/>
      <sheetName val="SU 06001"/>
      <sheetName val="SU 06002"/>
      <sheetName val="SU 06003"/>
      <sheetName val="dSU 06003"/>
      <sheetName val="SU 06004"/>
      <sheetName val="SU A0700"/>
      <sheetName val="SU 07001"/>
      <sheetName val="dSU 07001"/>
      <sheetName val="SU A0800"/>
      <sheetName val="SU 08001"/>
      <sheetName val="SU 08002"/>
      <sheetName val="dSU 08002"/>
      <sheetName val="SU 08003"/>
      <sheetName val="SU A0900"/>
      <sheetName val="SU 09001"/>
      <sheetName val="SU 09002"/>
      <sheetName val="dSU 09002"/>
      <sheetName val="SU 09003"/>
      <sheetName val="dSU 09003"/>
      <sheetName val="SU 09004"/>
      <sheetName val="dSU 09004"/>
      <sheetName val="SU A1000"/>
      <sheetName val="SU 10001"/>
      <sheetName val="dSU 10001"/>
      <sheetName val="SU 10002"/>
      <sheetName val="dSU 10002"/>
      <sheetName val="SU 10003"/>
      <sheetName val="dSU 10003"/>
      <sheetName val="SU 10004"/>
      <sheetName val="dSU 10004"/>
      <sheetName val="SU 10005"/>
      <sheetName val="dSU 10005"/>
      <sheetName val="SU A1100 "/>
      <sheetName val="SU 11001"/>
      <sheetName val="dSU 11001"/>
      <sheetName val="SU 11002"/>
      <sheetName val="dSU 11002"/>
      <sheetName val="SU 11003"/>
      <sheetName val="dSU 11003"/>
      <sheetName val="SU 11004"/>
      <sheetName val="dSU 11004"/>
      <sheetName val="SU A1200"/>
      <sheetName val="SU 12001"/>
      <sheetName val="SU 12002"/>
      <sheetName val="dSU 12002"/>
      <sheetName val="SU 12003"/>
      <sheetName val="dSU 12003"/>
      <sheetName val="SU 12004"/>
      <sheetName val="dSU 12004"/>
      <sheetName val="SU A1300"/>
      <sheetName val="SU 13001"/>
      <sheetName val="dSU 13001"/>
      <sheetName val="SU 13002"/>
      <sheetName val="dSU 13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2">
          <cell r="N2">
            <v>9.0687098494115101</v>
          </cell>
        </row>
        <row r="3">
          <cell r="N3">
            <v>1</v>
          </cell>
        </row>
      </sheetData>
      <sheetData sheetId="132">
        <row r="2">
          <cell r="N2">
            <v>1.5833945082514056</v>
          </cell>
        </row>
        <row r="3">
          <cell r="N3">
            <v>2</v>
          </cell>
        </row>
      </sheetData>
      <sheetData sheetId="133" refreshError="1"/>
      <sheetData sheetId="134">
        <row r="2">
          <cell r="N2">
            <v>0.34825628167808953</v>
          </cell>
        </row>
        <row r="3">
          <cell r="N3">
            <v>2</v>
          </cell>
        </row>
      </sheetData>
      <sheetData sheetId="135" refreshError="1"/>
      <sheetData sheetId="136">
        <row r="2">
          <cell r="N2">
            <v>0.34825628167808953</v>
          </cell>
        </row>
      </sheetData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workbookViewId="0">
      <selection activeCell="N37" sqref="N37"/>
    </sheetView>
  </sheetViews>
  <sheetFormatPr baseColWidth="10" defaultRowHeight="14.4" x14ac:dyDescent="0.3"/>
  <cols>
    <col min="2" max="2" width="19.6640625" bestFit="1" customWidth="1"/>
    <col min="3" max="3" width="10.44140625" bestFit="1" customWidth="1"/>
    <col min="5" max="5" width="20.6640625" bestFit="1" customWidth="1"/>
    <col min="6" max="6" width="22.6640625" bestFit="1" customWidth="1"/>
  </cols>
  <sheetData>
    <row r="1" spans="1:15" ht="15" thickBot="1" x14ac:dyDescent="0.35">
      <c r="A1" s="201" t="s">
        <v>0</v>
      </c>
      <c r="B1" s="202" t="s">
        <v>1</v>
      </c>
      <c r="C1" s="203"/>
      <c r="D1" s="204"/>
      <c r="E1" s="203"/>
      <c r="F1" s="205"/>
      <c r="G1" s="203"/>
      <c r="H1" s="203"/>
      <c r="I1" s="206"/>
      <c r="J1" s="206"/>
      <c r="K1" s="206"/>
      <c r="L1" s="206"/>
      <c r="M1" s="207" t="s">
        <v>316</v>
      </c>
      <c r="N1" s="208"/>
      <c r="O1" s="209" t="e">
        <f>#REF!</f>
        <v>#REF!</v>
      </c>
    </row>
    <row r="2" spans="1:15" ht="15" thickBot="1" x14ac:dyDescent="0.35">
      <c r="A2" s="210" t="s">
        <v>317</v>
      </c>
      <c r="B2" s="211" t="s">
        <v>318</v>
      </c>
      <c r="C2" s="212"/>
      <c r="D2" s="213"/>
      <c r="E2" s="213"/>
      <c r="F2" s="214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5.6" thickTop="1" thickBot="1" x14ac:dyDescent="0.35">
      <c r="A3" s="215" t="s">
        <v>319</v>
      </c>
      <c r="B3" s="216">
        <v>2018</v>
      </c>
      <c r="C3" s="212"/>
      <c r="D3" s="213"/>
      <c r="E3" s="213"/>
      <c r="F3" s="214"/>
      <c r="G3" s="213"/>
      <c r="H3" s="213"/>
      <c r="I3" s="213"/>
      <c r="J3" s="213"/>
      <c r="K3" s="213"/>
      <c r="L3" s="213"/>
      <c r="M3" s="213"/>
      <c r="N3" s="213"/>
      <c r="O3" s="213"/>
    </row>
    <row r="4" spans="1:15" ht="15.6" thickTop="1" thickBot="1" x14ac:dyDescent="0.35">
      <c r="A4" s="217" t="s">
        <v>3</v>
      </c>
      <c r="B4" s="218">
        <v>81</v>
      </c>
      <c r="C4" s="212"/>
      <c r="D4" s="204" t="s">
        <v>320</v>
      </c>
      <c r="E4" s="213"/>
      <c r="F4" s="214"/>
      <c r="G4" s="213"/>
      <c r="H4" s="213"/>
      <c r="I4" s="213"/>
      <c r="J4" s="213"/>
      <c r="K4" s="213"/>
      <c r="L4" s="213"/>
      <c r="M4" s="213"/>
      <c r="N4" s="213"/>
      <c r="O4" s="213"/>
    </row>
    <row r="5" spans="1:15" ht="15" thickTop="1" x14ac:dyDescent="0.3">
      <c r="A5" s="219"/>
      <c r="B5" s="220"/>
      <c r="C5" s="221"/>
      <c r="D5" s="222"/>
      <c r="E5" s="222"/>
      <c r="F5" s="223"/>
      <c r="G5" s="222"/>
      <c r="H5" s="222"/>
      <c r="I5" s="222"/>
      <c r="J5" s="222"/>
      <c r="K5" s="222"/>
      <c r="L5" s="222"/>
      <c r="M5" s="222"/>
      <c r="N5" s="222"/>
      <c r="O5" s="222"/>
    </row>
    <row r="6" spans="1:15" ht="42" x14ac:dyDescent="0.3">
      <c r="A6" s="224" t="s">
        <v>321</v>
      </c>
      <c r="B6" s="225" t="s">
        <v>322</v>
      </c>
      <c r="C6" s="225" t="s">
        <v>323</v>
      </c>
      <c r="D6" s="225" t="s">
        <v>324</v>
      </c>
      <c r="E6" s="225" t="s">
        <v>325</v>
      </c>
      <c r="F6" s="225" t="s">
        <v>326</v>
      </c>
      <c r="G6" s="225" t="s">
        <v>327</v>
      </c>
      <c r="H6" s="226" t="s">
        <v>328</v>
      </c>
      <c r="I6" s="225" t="s">
        <v>22</v>
      </c>
      <c r="J6" s="225" t="s">
        <v>329</v>
      </c>
      <c r="K6" s="225" t="s">
        <v>330</v>
      </c>
      <c r="L6" s="225" t="s">
        <v>331</v>
      </c>
      <c r="M6" s="225" t="s">
        <v>332</v>
      </c>
      <c r="N6" s="227" t="s">
        <v>333</v>
      </c>
      <c r="O6" s="225" t="s">
        <v>334</v>
      </c>
    </row>
    <row r="7" spans="1:15" x14ac:dyDescent="0.3">
      <c r="A7" s="228"/>
      <c r="B7" s="229" t="s">
        <v>6</v>
      </c>
      <c r="C7" s="230" t="str">
        <f>ST_A0100</f>
        <v>ST A0100</v>
      </c>
      <c r="D7" s="230" t="s">
        <v>15</v>
      </c>
      <c r="E7" s="230"/>
      <c r="F7" s="255" t="str">
        <f>'ST A0100'!B3</f>
        <v xml:space="preserve">Steering Rack </v>
      </c>
      <c r="G7" s="230"/>
      <c r="H7" s="231">
        <f>SUM(J7:M7)</f>
        <v>38.421892753566674</v>
      </c>
      <c r="I7" s="232">
        <f>ST_A0100_q</f>
        <v>1</v>
      </c>
      <c r="J7" s="233">
        <f>ST_A0100_m</f>
        <v>19.602</v>
      </c>
      <c r="K7" s="233">
        <f>ST_A0100_p</f>
        <v>17.356999999999999</v>
      </c>
      <c r="L7" s="233">
        <f>ST_A0100_f</f>
        <v>0.79622608690000551</v>
      </c>
      <c r="M7" s="233">
        <f>ST_A0100_t</f>
        <v>0.66666666666666663</v>
      </c>
      <c r="N7" s="234">
        <f>H7*I7</f>
        <v>38.421892753566674</v>
      </c>
      <c r="O7" s="235"/>
    </row>
    <row r="8" spans="1:15" x14ac:dyDescent="0.3">
      <c r="A8" s="236"/>
      <c r="B8" s="237" t="s">
        <v>6</v>
      </c>
      <c r="C8" s="238" t="str">
        <f>ST_01001</f>
        <v>ST 01001</v>
      </c>
      <c r="D8" s="239" t="s">
        <v>15</v>
      </c>
      <c r="E8" s="239" t="s">
        <v>336</v>
      </c>
      <c r="F8" s="240" t="str">
        <f>'ST 01001'!B5</f>
        <v>Rack pinion</v>
      </c>
      <c r="G8" s="239"/>
      <c r="H8" s="241">
        <f>SUM(J8:K8)</f>
        <v>7.9694600588749998</v>
      </c>
      <c r="I8" s="242">
        <f>ST_01001_q*ST_A0100_q</f>
        <v>1</v>
      </c>
      <c r="J8" s="243">
        <f>ST_01001_m</f>
        <v>1.039297354875</v>
      </c>
      <c r="K8" s="243">
        <f>ST_01001_p</f>
        <v>6.9301627039999998</v>
      </c>
      <c r="L8" s="243">
        <v>0</v>
      </c>
      <c r="M8" s="243">
        <v>0</v>
      </c>
      <c r="N8" s="244">
        <f>I8*H8</f>
        <v>7.9694600588749998</v>
      </c>
      <c r="O8" s="245"/>
    </row>
    <row r="9" spans="1:15" x14ac:dyDescent="0.3">
      <c r="A9" s="236"/>
      <c r="B9" s="237" t="s">
        <v>6</v>
      </c>
      <c r="C9" s="239" t="str">
        <f>ST_01002</f>
        <v>ST 01002</v>
      </c>
      <c r="D9" s="239" t="s">
        <v>15</v>
      </c>
      <c r="E9" s="239" t="s">
        <v>336</v>
      </c>
      <c r="F9" s="240" t="str">
        <f>'ST 01002'!B5</f>
        <v>Rack</v>
      </c>
      <c r="G9" s="239"/>
      <c r="H9" s="241">
        <f t="shared" ref="H9:H18" si="0">SUM(J9:K9)</f>
        <v>6.0399419045000009</v>
      </c>
      <c r="I9" s="246">
        <f>ST_01002_q*ST_A0100_q</f>
        <v>1</v>
      </c>
      <c r="J9" s="243">
        <f>ST_01002_m</f>
        <v>1.2228985125</v>
      </c>
      <c r="K9" s="243">
        <f>ST_01002_p</f>
        <v>4.8170433920000004</v>
      </c>
      <c r="L9" s="243">
        <v>0</v>
      </c>
      <c r="M9" s="243">
        <v>0</v>
      </c>
      <c r="N9" s="244">
        <f t="shared" ref="N9:N18" si="1">I9*H9</f>
        <v>6.0399419045000009</v>
      </c>
      <c r="O9" s="245"/>
    </row>
    <row r="10" spans="1:15" x14ac:dyDescent="0.3">
      <c r="A10" s="236"/>
      <c r="B10" s="237" t="s">
        <v>6</v>
      </c>
      <c r="C10" s="239" t="str">
        <f>ST_01003</f>
        <v>ST 01003</v>
      </c>
      <c r="D10" s="239" t="s">
        <v>15</v>
      </c>
      <c r="E10" s="239" t="s">
        <v>336</v>
      </c>
      <c r="F10" s="240" t="str">
        <f>'ST 01003'!B5</f>
        <v>Upper Pinion housing</v>
      </c>
      <c r="G10" s="239"/>
      <c r="H10" s="241">
        <f t="shared" si="0"/>
        <v>2.5686556</v>
      </c>
      <c r="I10" s="246">
        <f>ST_01003_q*ST_A0100_q</f>
        <v>1</v>
      </c>
      <c r="J10" s="243">
        <f>ST_01003_m</f>
        <v>0.25865559999999999</v>
      </c>
      <c r="K10" s="243">
        <f>ST_01003_p</f>
        <v>2.31</v>
      </c>
      <c r="L10" s="243">
        <v>0</v>
      </c>
      <c r="M10" s="243">
        <v>0</v>
      </c>
      <c r="N10" s="244">
        <f t="shared" si="1"/>
        <v>2.5686556</v>
      </c>
      <c r="O10" s="245"/>
    </row>
    <row r="11" spans="1:15" x14ac:dyDescent="0.3">
      <c r="A11" s="236"/>
      <c r="B11" s="237" t="s">
        <v>6</v>
      </c>
      <c r="C11" s="239" t="str">
        <f>ST_01004</f>
        <v>ST 01004</v>
      </c>
      <c r="D11" s="239" t="s">
        <v>15</v>
      </c>
      <c r="E11" s="239" t="s">
        <v>336</v>
      </c>
      <c r="F11" s="240" t="str">
        <f>'ST 01004'!B5</f>
        <v>Lower Pinion housing</v>
      </c>
      <c r="G11" s="239"/>
      <c r="H11" s="241">
        <f t="shared" si="0"/>
        <v>6.2552780440000006</v>
      </c>
      <c r="I11" s="246">
        <f>ST_01004_q*ST_A0100_q</f>
        <v>1</v>
      </c>
      <c r="J11" s="243">
        <f>ST_01004_m</f>
        <v>1.0518440000000002</v>
      </c>
      <c r="K11" s="243">
        <f>ST_01004_p</f>
        <v>5.2034340440000006</v>
      </c>
      <c r="L11" s="243">
        <v>0</v>
      </c>
      <c r="M11" s="243">
        <v>0</v>
      </c>
      <c r="N11" s="244">
        <f t="shared" si="1"/>
        <v>6.2552780440000006</v>
      </c>
      <c r="O11" s="245"/>
    </row>
    <row r="12" spans="1:15" x14ac:dyDescent="0.3">
      <c r="A12" s="236"/>
      <c r="B12" s="237" t="s">
        <v>6</v>
      </c>
      <c r="C12" s="239" t="str">
        <f>ST_01005</f>
        <v>ST 01005</v>
      </c>
      <c r="D12" s="239" t="s">
        <v>15</v>
      </c>
      <c r="E12" s="239" t="s">
        <v>336</v>
      </c>
      <c r="F12" s="240" t="str">
        <f>'ST 01005'!B5</f>
        <v>Rack housing support</v>
      </c>
      <c r="G12" s="239"/>
      <c r="H12" s="241">
        <f t="shared" si="0"/>
        <v>2.3507623102611204</v>
      </c>
      <c r="I12" s="246">
        <f>ST_01005_q*ST_A0100_q</f>
        <v>2</v>
      </c>
      <c r="J12" s="243">
        <f>ST_01005_m</f>
        <v>0.41960420626112005</v>
      </c>
      <c r="K12" s="243">
        <f>ST_01005_p</f>
        <v>1.9311581040000001</v>
      </c>
      <c r="L12" s="243">
        <v>0</v>
      </c>
      <c r="M12" s="243">
        <v>0</v>
      </c>
      <c r="N12" s="244">
        <f t="shared" si="1"/>
        <v>4.7015246205222407</v>
      </c>
      <c r="O12" s="245"/>
    </row>
    <row r="13" spans="1:15" x14ac:dyDescent="0.3">
      <c r="A13" s="236"/>
      <c r="B13" s="237" t="s">
        <v>6</v>
      </c>
      <c r="C13" s="239" t="str">
        <f>ST_01006</f>
        <v>ST 01006</v>
      </c>
      <c r="D13" s="239" t="s">
        <v>15</v>
      </c>
      <c r="E13" s="239" t="s">
        <v>336</v>
      </c>
      <c r="F13" s="240" t="str">
        <f>'ST 01006'!B5</f>
        <v>Tie rod Braces</v>
      </c>
      <c r="G13" s="239"/>
      <c r="H13" s="241">
        <f t="shared" si="0"/>
        <v>2.3883601172108797</v>
      </c>
      <c r="I13" s="246">
        <f>ST_01006_q*ST_A0100_q</f>
        <v>2</v>
      </c>
      <c r="J13" s="243">
        <f>ST_01006_m</f>
        <v>0.29664291401087994</v>
      </c>
      <c r="K13" s="243">
        <f>ST_01006_p</f>
        <v>2.0917172032</v>
      </c>
      <c r="L13" s="243">
        <v>0</v>
      </c>
      <c r="M13" s="243">
        <v>0</v>
      </c>
      <c r="N13" s="244">
        <f t="shared" si="1"/>
        <v>4.7767202344217594</v>
      </c>
      <c r="O13" s="245"/>
    </row>
    <row r="14" spans="1:15" x14ac:dyDescent="0.3">
      <c r="A14" s="236"/>
      <c r="B14" s="237" t="s">
        <v>6</v>
      </c>
      <c r="C14" s="239" t="str">
        <f>ST_01007</f>
        <v>ST 01007</v>
      </c>
      <c r="D14" s="239" t="s">
        <v>15</v>
      </c>
      <c r="E14" s="239" t="s">
        <v>336</v>
      </c>
      <c r="F14" s="240" t="str">
        <f>'ST 01007'!B5</f>
        <v>Rack housing</v>
      </c>
      <c r="G14" s="239"/>
      <c r="H14" s="241">
        <f t="shared" si="0"/>
        <v>65.587604384969495</v>
      </c>
      <c r="I14" s="246">
        <f>ST_01007_q*ST_A0100_q</f>
        <v>1</v>
      </c>
      <c r="J14" s="243">
        <f>ST_01007_m</f>
        <v>55.073426119972893</v>
      </c>
      <c r="K14" s="243">
        <f>ST_01007_p</f>
        <v>10.514178264996609</v>
      </c>
      <c r="L14" s="243">
        <v>0</v>
      </c>
      <c r="M14" s="243">
        <v>0</v>
      </c>
      <c r="N14" s="244">
        <f t="shared" si="1"/>
        <v>65.587604384969495</v>
      </c>
      <c r="O14" s="245"/>
    </row>
    <row r="15" spans="1:15" x14ac:dyDescent="0.3">
      <c r="A15" s="236"/>
      <c r="B15" s="237" t="s">
        <v>6</v>
      </c>
      <c r="C15" s="239" t="str">
        <f>ST_01008</f>
        <v>ST 01008</v>
      </c>
      <c r="D15" s="239" t="s">
        <v>15</v>
      </c>
      <c r="E15" s="239" t="s">
        <v>336</v>
      </c>
      <c r="F15" s="240" t="str">
        <f>'ST 01008'!B5</f>
        <v>Steering Brackets tie</v>
      </c>
      <c r="G15" s="247"/>
      <c r="H15" s="241">
        <f t="shared" si="0"/>
        <v>1.5846224319999997</v>
      </c>
      <c r="I15" s="246">
        <f>ST_01008_q*ST_A0100_q</f>
        <v>4</v>
      </c>
      <c r="J15" s="243">
        <f>ST_01008_m</f>
        <v>0.13121740800000004</v>
      </c>
      <c r="K15" s="243">
        <f>ST_01008_p</f>
        <v>1.4534050239999998</v>
      </c>
      <c r="L15" s="243">
        <v>0</v>
      </c>
      <c r="M15" s="243">
        <v>0</v>
      </c>
      <c r="N15" s="244">
        <f t="shared" si="1"/>
        <v>6.338489727999999</v>
      </c>
      <c r="O15" s="245"/>
    </row>
    <row r="16" spans="1:15" x14ac:dyDescent="0.3">
      <c r="A16" s="236"/>
      <c r="B16" s="237" t="s">
        <v>6</v>
      </c>
      <c r="C16" s="239" t="str">
        <f>ST_01009</f>
        <v>ST 01009</v>
      </c>
      <c r="D16" s="239" t="s">
        <v>15</v>
      </c>
      <c r="E16" s="239" t="s">
        <v>336</v>
      </c>
      <c r="F16" s="240" t="str">
        <f>'ST 01009'!B5</f>
        <v>Steering Brackets</v>
      </c>
      <c r="G16" s="239"/>
      <c r="H16" s="241">
        <f t="shared" si="0"/>
        <v>1.5974687499999998</v>
      </c>
      <c r="I16" s="246">
        <f>ST_01009_q*ST_A0100_q</f>
        <v>2</v>
      </c>
      <c r="J16" s="243">
        <f>ST_01009_m</f>
        <v>0.17246875</v>
      </c>
      <c r="K16" s="243">
        <f>ST_01009_p</f>
        <v>1.4249999999999998</v>
      </c>
      <c r="L16" s="243">
        <v>0</v>
      </c>
      <c r="M16" s="243">
        <v>0</v>
      </c>
      <c r="N16" s="244">
        <f t="shared" si="1"/>
        <v>3.1949374999999995</v>
      </c>
      <c r="O16" s="245"/>
    </row>
    <row r="17" spans="1:15" x14ac:dyDescent="0.3">
      <c r="A17" s="236"/>
      <c r="B17" s="237" t="s">
        <v>6</v>
      </c>
      <c r="C17" s="239" t="str">
        <f>ST_01010</f>
        <v>ST 01010</v>
      </c>
      <c r="D17" s="239" t="s">
        <v>15</v>
      </c>
      <c r="E17" s="239" t="s">
        <v>336</v>
      </c>
      <c r="F17" s="240" t="str">
        <f>'ST 01010'!B5</f>
        <v>Rack protection</v>
      </c>
      <c r="G17" s="239"/>
      <c r="H17" s="241">
        <f t="shared" si="0"/>
        <v>7.6222422399999994</v>
      </c>
      <c r="I17" s="246">
        <f>ST_01010_q*ST_A0100_q</f>
        <v>1</v>
      </c>
      <c r="J17" s="243">
        <f>ST_01010_m</f>
        <v>3.0822422399999994</v>
      </c>
      <c r="K17" s="243">
        <f>ST_01010_p</f>
        <v>4.54</v>
      </c>
      <c r="L17" s="243">
        <v>0</v>
      </c>
      <c r="M17" s="243">
        <v>0</v>
      </c>
      <c r="N17" s="244">
        <f t="shared" si="1"/>
        <v>7.6222422399999994</v>
      </c>
      <c r="O17" s="245"/>
    </row>
    <row r="18" spans="1:15" x14ac:dyDescent="0.3">
      <c r="A18" s="236"/>
      <c r="B18" s="237" t="s">
        <v>6</v>
      </c>
      <c r="C18" s="239" t="str">
        <f>ST_01011</f>
        <v>ST 01011</v>
      </c>
      <c r="D18" s="239" t="s">
        <v>15</v>
      </c>
      <c r="E18" s="239" t="s">
        <v>336</v>
      </c>
      <c r="F18" s="240" t="str">
        <f>'ST 01011'!B5</f>
        <v>Rack protection Brackets</v>
      </c>
      <c r="G18" s="239"/>
      <c r="H18" s="241">
        <f t="shared" si="0"/>
        <v>0.37972487499999996</v>
      </c>
      <c r="I18" s="246">
        <f>ST_01011_q*ST_A0100_q</f>
        <v>4</v>
      </c>
      <c r="J18" s="243">
        <f>ST_01011_m</f>
        <v>8.3688749999999996E-3</v>
      </c>
      <c r="K18" s="243">
        <f>ST_01011_p</f>
        <v>0.37135599999999996</v>
      </c>
      <c r="L18" s="243">
        <v>0</v>
      </c>
      <c r="M18" s="243">
        <v>0</v>
      </c>
      <c r="N18" s="244">
        <f t="shared" si="1"/>
        <v>1.5188994999999998</v>
      </c>
      <c r="O18" s="245"/>
    </row>
    <row r="19" spans="1:15" x14ac:dyDescent="0.3">
      <c r="A19" s="228"/>
      <c r="B19" s="229" t="s">
        <v>6</v>
      </c>
      <c r="C19" s="230" t="str">
        <f>ST_A0200</f>
        <v>ST A0200</v>
      </c>
      <c r="D19" s="230" t="s">
        <v>15</v>
      </c>
      <c r="E19" s="230"/>
      <c r="F19" s="255" t="str">
        <f>'ST A0200'!B4</f>
        <v>Steering Column assy</v>
      </c>
      <c r="G19" s="230"/>
      <c r="H19" s="231">
        <f>SUM(J19:M19)</f>
        <v>54.192063279609222</v>
      </c>
      <c r="I19" s="232">
        <f>ST_A0200_q</f>
        <v>1</v>
      </c>
      <c r="J19" s="233">
        <f>ST_A0200_m</f>
        <v>42.224311012942565</v>
      </c>
      <c r="K19" s="233">
        <f>ST_A0200_p</f>
        <v>9.1260855999999997</v>
      </c>
      <c r="L19" s="233">
        <f>ST_A0200_f</f>
        <v>0.17500000000000002</v>
      </c>
      <c r="M19" s="233">
        <f>ST_A0200_t</f>
        <v>2.6666666666666665</v>
      </c>
      <c r="N19" s="234">
        <f>H19*I19</f>
        <v>54.192063279609222</v>
      </c>
      <c r="O19" s="235"/>
    </row>
    <row r="20" spans="1:15" x14ac:dyDescent="0.3">
      <c r="A20" s="236"/>
      <c r="B20" s="237" t="s">
        <v>6</v>
      </c>
      <c r="C20" s="239" t="str">
        <f>ST_02001</f>
        <v>ST 02001</v>
      </c>
      <c r="D20" s="239" t="s">
        <v>15</v>
      </c>
      <c r="E20" s="239" t="s">
        <v>207</v>
      </c>
      <c r="F20" s="240" t="str">
        <f>'ST 02001'!B5</f>
        <v>Spline coupler</v>
      </c>
      <c r="G20" s="239"/>
      <c r="H20" s="241">
        <f>SUM(J20:K20)</f>
        <v>3.6317736866249999</v>
      </c>
      <c r="I20" s="246">
        <f>ST_02001_q*ST_A0200_q</f>
        <v>1</v>
      </c>
      <c r="J20" s="243">
        <f>ST_02001_m</f>
        <v>0.26010239062500001</v>
      </c>
      <c r="K20" s="243">
        <f>ST_02001_p</f>
        <v>3.3716712959999997</v>
      </c>
      <c r="L20" s="243">
        <v>0</v>
      </c>
      <c r="M20" s="243">
        <v>0</v>
      </c>
      <c r="N20" s="244">
        <f>H20*I20</f>
        <v>3.6317736866249999</v>
      </c>
      <c r="O20" s="245"/>
    </row>
    <row r="21" spans="1:15" x14ac:dyDescent="0.3">
      <c r="A21" s="236"/>
      <c r="B21" s="237" t="s">
        <v>6</v>
      </c>
      <c r="C21" s="239" t="str">
        <f>ST_02002</f>
        <v>ST 02002</v>
      </c>
      <c r="D21" s="239" t="s">
        <v>15</v>
      </c>
      <c r="E21" s="239" t="s">
        <v>207</v>
      </c>
      <c r="F21" s="240" t="str">
        <f>'ST 02002'!B5</f>
        <v>Steering Column tube</v>
      </c>
      <c r="G21" s="239"/>
      <c r="H21" s="241">
        <f t="shared" ref="H21:H24" si="2">SUM(J21:K21)</f>
        <v>2.1062500000000002</v>
      </c>
      <c r="I21" s="246">
        <f>ST_02002_q*ST_A0200_q</f>
        <v>1</v>
      </c>
      <c r="J21" s="243">
        <f>ST_02002_m</f>
        <v>0.50624999999999998</v>
      </c>
      <c r="K21" s="243">
        <f>ST_02002_p</f>
        <v>1.6</v>
      </c>
      <c r="L21" s="243">
        <v>0</v>
      </c>
      <c r="M21" s="243">
        <v>0</v>
      </c>
      <c r="N21" s="244">
        <f t="shared" ref="N21:N24" si="3">H21*I21</f>
        <v>2.1062500000000002</v>
      </c>
      <c r="O21" s="245"/>
    </row>
    <row r="22" spans="1:15" x14ac:dyDescent="0.3">
      <c r="A22" s="236"/>
      <c r="B22" s="237" t="s">
        <v>6</v>
      </c>
      <c r="C22" s="239" t="str">
        <f>ST_02003</f>
        <v>ST 02003</v>
      </c>
      <c r="D22" s="239" t="s">
        <v>15</v>
      </c>
      <c r="E22" s="239" t="s">
        <v>207</v>
      </c>
      <c r="F22" s="240" t="str">
        <f>'ST 02003'!B5</f>
        <v>Steering Upper Shaft Pivot</v>
      </c>
      <c r="G22" s="239"/>
      <c r="H22" s="241">
        <f t="shared" si="2"/>
        <v>6.2856945139200011</v>
      </c>
      <c r="I22" s="246">
        <f>ST_02003_q*ST_A0200_q</f>
        <v>1</v>
      </c>
      <c r="J22" s="243">
        <f>ST_02003_m</f>
        <v>0.80968833791999995</v>
      </c>
      <c r="K22" s="243">
        <f>ST_02003_p</f>
        <v>5.4760061760000012</v>
      </c>
      <c r="L22" s="243">
        <v>0</v>
      </c>
      <c r="M22" s="243">
        <v>0</v>
      </c>
      <c r="N22" s="244">
        <f t="shared" si="3"/>
        <v>6.2856945139200011</v>
      </c>
      <c r="O22" s="245"/>
    </row>
    <row r="23" spans="1:15" x14ac:dyDescent="0.3">
      <c r="A23" s="236"/>
      <c r="B23" s="237" t="s">
        <v>6</v>
      </c>
      <c r="C23" s="239" t="str">
        <f>ST_02004</f>
        <v>ST 02004</v>
      </c>
      <c r="D23" s="239" t="s">
        <v>15</v>
      </c>
      <c r="E23" s="239" t="s">
        <v>207</v>
      </c>
      <c r="F23" s="240" t="str">
        <f>'ST 02004'!B5</f>
        <v>Steering Bore</v>
      </c>
      <c r="G23" s="239"/>
      <c r="H23" s="241">
        <f t="shared" si="2"/>
        <v>9.259956002880001</v>
      </c>
      <c r="I23" s="246">
        <f>ST_02004_q*ST_A0200_q</f>
        <v>1</v>
      </c>
      <c r="J23" s="243">
        <f>ST_02004_m</f>
        <v>1.2715325068800001</v>
      </c>
      <c r="K23" s="243">
        <f>ST_02004_p</f>
        <v>7.9884234960000011</v>
      </c>
      <c r="L23" s="243">
        <v>0</v>
      </c>
      <c r="M23" s="243">
        <v>0</v>
      </c>
      <c r="N23" s="244">
        <f t="shared" si="3"/>
        <v>9.259956002880001</v>
      </c>
      <c r="O23" s="245"/>
    </row>
    <row r="24" spans="1:15" x14ac:dyDescent="0.3">
      <c r="A24" s="236"/>
      <c r="B24" s="237" t="s">
        <v>6</v>
      </c>
      <c r="C24" s="239" t="str">
        <f>ST_02005</f>
        <v>ST 02005</v>
      </c>
      <c r="D24" s="239" t="s">
        <v>15</v>
      </c>
      <c r="E24" s="239" t="s">
        <v>207</v>
      </c>
      <c r="F24" s="240" t="str">
        <f>'ST 02005'!B5</f>
        <v>Steering Bore Support</v>
      </c>
      <c r="G24" s="239"/>
      <c r="H24" s="241">
        <f t="shared" si="2"/>
        <v>1.4644404506699999</v>
      </c>
      <c r="I24" s="246">
        <f>ST_02005_q*ST_A0200_q</f>
        <v>2</v>
      </c>
      <c r="J24" s="243">
        <f>ST_02005_m</f>
        <v>0.34619045066999998</v>
      </c>
      <c r="K24" s="243">
        <f>ST_02005_p</f>
        <v>1.11825</v>
      </c>
      <c r="L24" s="243">
        <v>0</v>
      </c>
      <c r="M24" s="243">
        <v>0</v>
      </c>
      <c r="N24" s="244">
        <f t="shared" si="3"/>
        <v>2.9288809013399999</v>
      </c>
      <c r="O24" s="245"/>
    </row>
    <row r="25" spans="1:15" x14ac:dyDescent="0.3">
      <c r="A25" s="228"/>
      <c r="B25" s="229" t="s">
        <v>6</v>
      </c>
      <c r="C25" s="230" t="str">
        <f>ST_A0300</f>
        <v>ST A0300</v>
      </c>
      <c r="D25" s="230" t="s">
        <v>15</v>
      </c>
      <c r="E25" s="230"/>
      <c r="F25" s="255" t="str">
        <f>'ST A0300'!B4</f>
        <v xml:space="preserve">Quick Release </v>
      </c>
      <c r="G25" s="230"/>
      <c r="H25" s="231">
        <f>SUM(J25:M25)</f>
        <v>1.7350000000000001</v>
      </c>
      <c r="I25" s="232">
        <f>ST_A0300_q</f>
        <v>1</v>
      </c>
      <c r="J25" s="233">
        <f>ST_A0300_m</f>
        <v>1.24</v>
      </c>
      <c r="K25" s="233">
        <f>ST_A0300_p</f>
        <v>0.32</v>
      </c>
      <c r="L25" s="233">
        <f>ST_A0300_f</f>
        <v>0.17500000000000002</v>
      </c>
      <c r="M25" s="233">
        <v>0</v>
      </c>
      <c r="N25" s="234">
        <f>H25*I25</f>
        <v>1.7350000000000001</v>
      </c>
      <c r="O25" s="235"/>
    </row>
    <row r="26" spans="1:15" x14ac:dyDescent="0.3">
      <c r="A26" s="236"/>
      <c r="B26" s="237" t="s">
        <v>6</v>
      </c>
      <c r="C26" s="239" t="str">
        <f>ST_03001</f>
        <v>ST 03001</v>
      </c>
      <c r="D26" s="239" t="s">
        <v>15</v>
      </c>
      <c r="E26" s="239" t="s">
        <v>302</v>
      </c>
      <c r="F26" s="240" t="str">
        <f>'ST 03001'!B5</f>
        <v>Quick Release Steel Sleeve</v>
      </c>
      <c r="G26" s="239"/>
      <c r="H26" s="241">
        <f>SUM(J26:K26)</f>
        <v>12.884957426641209</v>
      </c>
      <c r="I26" s="246">
        <f>ST_03001_q*ST_A0300_q</f>
        <v>1</v>
      </c>
      <c r="J26" s="243">
        <f>ST_03001_m</f>
        <v>1.0837574266412056</v>
      </c>
      <c r="K26" s="243">
        <f>ST_03001_p</f>
        <v>11.801200000000003</v>
      </c>
      <c r="L26" s="243">
        <v>0</v>
      </c>
      <c r="M26" s="243">
        <v>0</v>
      </c>
      <c r="N26" s="244">
        <f>H26*I26</f>
        <v>12.884957426641209</v>
      </c>
      <c r="O26" s="245"/>
    </row>
    <row r="27" spans="1:15" x14ac:dyDescent="0.3">
      <c r="A27" s="236"/>
      <c r="B27" s="237" t="s">
        <v>6</v>
      </c>
      <c r="C27" s="239" t="str">
        <f>ST_03002</f>
        <v>ST 03002</v>
      </c>
      <c r="D27" s="239" t="s">
        <v>15</v>
      </c>
      <c r="E27" s="239" t="s">
        <v>302</v>
      </c>
      <c r="F27" s="240" t="str">
        <f>'ST 03002'!B5</f>
        <v>Quick Release Fixed Part</v>
      </c>
      <c r="G27" s="239"/>
      <c r="H27" s="241">
        <f>SUM(J27:K27)</f>
        <v>15.469065601320001</v>
      </c>
      <c r="I27" s="246">
        <f>ST_03002_q*ST_A0300_q</f>
        <v>1</v>
      </c>
      <c r="J27" s="243">
        <f>ST_03002_m</f>
        <v>2.4790656013199994</v>
      </c>
      <c r="K27" s="243">
        <f>ST_03002_p</f>
        <v>12.990000000000002</v>
      </c>
      <c r="L27" s="243">
        <v>0</v>
      </c>
      <c r="M27" s="243">
        <v>0</v>
      </c>
      <c r="N27" s="244">
        <f t="shared" ref="N27:N28" si="4">H27*I27</f>
        <v>15.469065601320001</v>
      </c>
      <c r="O27" s="245"/>
    </row>
    <row r="28" spans="1:15" x14ac:dyDescent="0.3">
      <c r="A28" s="236"/>
      <c r="B28" s="237" t="s">
        <v>6</v>
      </c>
      <c r="C28" s="239" t="str">
        <f>ST_03003</f>
        <v>ST 03003</v>
      </c>
      <c r="D28" s="239" t="s">
        <v>15</v>
      </c>
      <c r="E28" s="239" t="s">
        <v>302</v>
      </c>
      <c r="F28" s="240" t="str">
        <f>'ST 03003'!B5</f>
        <v>Quick Release Sliding Part</v>
      </c>
      <c r="G28" s="239"/>
      <c r="H28" s="241">
        <f>SUM(J28:K28)</f>
        <v>12.940409872</v>
      </c>
      <c r="I28" s="246">
        <f>ST_03003_q*ST_A0300_q</f>
        <v>1</v>
      </c>
      <c r="J28" s="243">
        <f>ST_03003_m</f>
        <v>1.7704098720000001</v>
      </c>
      <c r="K28" s="243">
        <f>ST_03003_p</f>
        <v>11.17</v>
      </c>
      <c r="L28" s="243">
        <v>0</v>
      </c>
      <c r="M28" s="243">
        <v>0</v>
      </c>
      <c r="N28" s="244">
        <f t="shared" si="4"/>
        <v>12.940409872</v>
      </c>
      <c r="O28" s="245"/>
    </row>
    <row r="29" spans="1:15" x14ac:dyDescent="0.3">
      <c r="A29" s="228"/>
      <c r="B29" s="229" t="s">
        <v>6</v>
      </c>
      <c r="C29" s="230" t="str">
        <f>ST_A0400</f>
        <v>ST A0400</v>
      </c>
      <c r="D29" s="230" t="s">
        <v>15</v>
      </c>
      <c r="E29" s="230"/>
      <c r="F29" s="255" t="str">
        <f>'ST A0400'!B4</f>
        <v>Steering Wheel Assy</v>
      </c>
      <c r="G29" s="230"/>
      <c r="H29" s="231">
        <f>SUM(J29:M29)</f>
        <v>2.6911624234581666</v>
      </c>
      <c r="I29" s="232">
        <f>ST_A0400_q</f>
        <v>1</v>
      </c>
      <c r="J29" s="233">
        <v>0</v>
      </c>
      <c r="K29" s="233">
        <f>ST_A0400_p</f>
        <v>2.25</v>
      </c>
      <c r="L29" s="233">
        <f>ST_A0400_f</f>
        <v>0.44116242345816659</v>
      </c>
      <c r="M29" s="233">
        <v>0</v>
      </c>
      <c r="N29" s="234">
        <f>H29*I29</f>
        <v>2.6911624234581666</v>
      </c>
      <c r="O29" s="235"/>
    </row>
    <row r="30" spans="1:15" x14ac:dyDescent="0.3">
      <c r="A30" s="236"/>
      <c r="B30" s="237" t="s">
        <v>6</v>
      </c>
      <c r="C30" s="239" t="str">
        <f>ST_04001</f>
        <v>ST 04001</v>
      </c>
      <c r="D30" s="239" t="s">
        <v>15</v>
      </c>
      <c r="E30" s="239" t="s">
        <v>293</v>
      </c>
      <c r="F30" s="240" t="str">
        <f>'ST 04001'!B5</f>
        <v>Steering Wheel</v>
      </c>
      <c r="G30" s="239"/>
      <c r="H30" s="241">
        <f>SUM(J30:K30)</f>
        <v>16.336187500000001</v>
      </c>
      <c r="I30" s="246">
        <f>ST_04001_q*ST_A0400_q</f>
        <v>1</v>
      </c>
      <c r="J30" s="243">
        <f>ST_04001_m</f>
        <v>3.7811875000000001</v>
      </c>
      <c r="K30" s="243">
        <f>ST_04001_p</f>
        <v>12.555000000000001</v>
      </c>
      <c r="L30" s="243">
        <v>0</v>
      </c>
      <c r="M30" s="243">
        <v>0</v>
      </c>
      <c r="N30" s="244">
        <f>H30*I30</f>
        <v>16.336187500000001</v>
      </c>
      <c r="O30" s="245"/>
    </row>
    <row r="31" spans="1:15" x14ac:dyDescent="0.3">
      <c r="A31" s="236"/>
      <c r="B31" s="237" t="s">
        <v>6</v>
      </c>
      <c r="C31" s="239" t="str">
        <f>ST_04002</f>
        <v>ST 04002</v>
      </c>
      <c r="D31" s="239" t="s">
        <v>15</v>
      </c>
      <c r="E31" s="239" t="s">
        <v>293</v>
      </c>
      <c r="F31" s="240" t="str">
        <f>'ST 04002'!B5</f>
        <v>Aluminium spacer</v>
      </c>
      <c r="G31" s="239"/>
      <c r="H31" s="241">
        <f>SUM(J31:K31)</f>
        <v>3.0722072799999998</v>
      </c>
      <c r="I31" s="246">
        <f>ST_04001_q*ST_A0400_q</f>
        <v>1</v>
      </c>
      <c r="J31" s="243">
        <f>ST_04002_m</f>
        <v>0.62020728000000003</v>
      </c>
      <c r="K31" s="243">
        <f>ST_04002_p</f>
        <v>2.452</v>
      </c>
      <c r="L31" s="243">
        <v>0</v>
      </c>
      <c r="M31" s="243">
        <v>0</v>
      </c>
      <c r="N31" s="244">
        <f>H31*I31</f>
        <v>3.0722072799999998</v>
      </c>
      <c r="O31" s="245"/>
    </row>
    <row r="32" spans="1:15" x14ac:dyDescent="0.3">
      <c r="A32" s="228"/>
      <c r="B32" s="229" t="s">
        <v>6</v>
      </c>
      <c r="C32" s="230" t="str">
        <f>ST_A0300</f>
        <v>ST A0300</v>
      </c>
      <c r="D32" s="230" t="s">
        <v>15</v>
      </c>
      <c r="E32" s="230"/>
      <c r="F32" s="255" t="str">
        <f>'ST A0500'!B4</f>
        <v>Steering rod</v>
      </c>
      <c r="G32" s="230"/>
      <c r="H32" s="231">
        <f>SUM(J32:M32)</f>
        <v>8.5517973221409793</v>
      </c>
      <c r="I32" s="232">
        <f>ST_A0500_q</f>
        <v>2</v>
      </c>
      <c r="J32" s="233">
        <f>ST_A0500_m</f>
        <v>3.88</v>
      </c>
      <c r="K32" s="233">
        <f>ST_A0500_p</f>
        <v>4.3660000000000005</v>
      </c>
      <c r="L32" s="233">
        <f>ST_A0500_f</f>
        <v>0.30579732214097893</v>
      </c>
      <c r="M32" s="233">
        <v>0</v>
      </c>
      <c r="N32" s="234">
        <f>H32*I32</f>
        <v>17.103594644281959</v>
      </c>
      <c r="O32" s="235"/>
    </row>
    <row r="33" spans="1:15" x14ac:dyDescent="0.3">
      <c r="A33" s="236"/>
      <c r="B33" s="237" t="s">
        <v>6</v>
      </c>
      <c r="C33" s="239" t="str">
        <f>ST_03001</f>
        <v>ST 03001</v>
      </c>
      <c r="D33" s="239" t="s">
        <v>15</v>
      </c>
      <c r="E33" s="239" t="str">
        <f>$F$32</f>
        <v>Steering rod</v>
      </c>
      <c r="F33" s="240" t="str">
        <f>'ST 05001'!B5</f>
        <v>Steering rod tube</v>
      </c>
      <c r="G33" s="239"/>
      <c r="H33" s="241">
        <f>SUM(J33:K33)</f>
        <v>9.787952354709665</v>
      </c>
      <c r="I33" s="246">
        <f>ST_05001_q*ST_A0500_q</f>
        <v>2</v>
      </c>
      <c r="J33" s="243">
        <f>ST_05001_m</f>
        <v>8.7004020930752581</v>
      </c>
      <c r="K33" s="243">
        <f>ST_05001_p</f>
        <v>1.0875502616344073</v>
      </c>
      <c r="L33" s="243">
        <v>0</v>
      </c>
      <c r="M33" s="243">
        <v>0</v>
      </c>
      <c r="N33" s="244">
        <f>H33*I33</f>
        <v>19.57590470941933</v>
      </c>
      <c r="O33" s="245"/>
    </row>
    <row r="34" spans="1:15" x14ac:dyDescent="0.3">
      <c r="A34" s="236"/>
      <c r="B34" s="237" t="s">
        <v>6</v>
      </c>
      <c r="C34" s="239" t="str">
        <f>ST_03002</f>
        <v>ST 03002</v>
      </c>
      <c r="D34" s="239" t="s">
        <v>15</v>
      </c>
      <c r="E34" s="239" t="str">
        <f t="shared" ref="E34:E35" si="5">$F$32</f>
        <v>Steering rod</v>
      </c>
      <c r="F34" s="240" t="str">
        <f>'ST 05002'!B5</f>
        <v>Steering rod insert</v>
      </c>
      <c r="G34" s="239"/>
      <c r="H34" s="241">
        <f>SUM(J34:K34)</f>
        <v>2.3146445082514053</v>
      </c>
      <c r="I34" s="246">
        <f>ST_05002_q*ST_A0500_q</f>
        <v>2</v>
      </c>
      <c r="J34" s="243">
        <f>ST_05002_m</f>
        <v>0.29364450825140531</v>
      </c>
      <c r="K34" s="243">
        <f>ST_05002_p</f>
        <v>2.0209999999999999</v>
      </c>
      <c r="L34" s="243">
        <v>0</v>
      </c>
      <c r="M34" s="243">
        <v>0</v>
      </c>
      <c r="N34" s="244">
        <f t="shared" ref="N34:N35" si="6">H34*I34</f>
        <v>4.6292890165028107</v>
      </c>
      <c r="O34" s="245"/>
    </row>
    <row r="35" spans="1:15" ht="15" thickBot="1" x14ac:dyDescent="0.35">
      <c r="A35" s="236"/>
      <c r="B35" s="237" t="s">
        <v>6</v>
      </c>
      <c r="C35" s="239" t="str">
        <f>ST_03003</f>
        <v>ST 03003</v>
      </c>
      <c r="D35" s="239" t="s">
        <v>15</v>
      </c>
      <c r="E35" s="239" t="str">
        <f t="shared" si="5"/>
        <v>Steering rod</v>
      </c>
      <c r="F35" s="240" t="str">
        <f>'ST 05003'!B5</f>
        <v>Spacer</v>
      </c>
      <c r="G35" s="239"/>
      <c r="H35" s="241">
        <f>SUM(J35:K35)</f>
        <v>0.33667037599999999</v>
      </c>
      <c r="I35" s="246">
        <f>ST_05003_q*ST_A0500_q</f>
        <v>8</v>
      </c>
      <c r="J35" s="243">
        <f>ST_05003_m</f>
        <v>3.0170376000000002E-2</v>
      </c>
      <c r="K35" s="243">
        <f>ST_05003_p</f>
        <v>0.30649999999999999</v>
      </c>
      <c r="L35" s="243">
        <v>0</v>
      </c>
      <c r="M35" s="243">
        <v>0</v>
      </c>
      <c r="N35" s="244">
        <f t="shared" si="6"/>
        <v>2.6933630079999999</v>
      </c>
      <c r="O35" s="245"/>
    </row>
    <row r="36" spans="1:15" ht="15.6" thickTop="1" thickBot="1" x14ac:dyDescent="0.35">
      <c r="A36" s="248"/>
      <c r="B36" s="249" t="str">
        <f>'[1]ST Assembly'!B3</f>
        <v>Steering System</v>
      </c>
      <c r="C36" s="250"/>
      <c r="D36" s="250"/>
      <c r="E36" s="250"/>
      <c r="F36" s="249" t="s">
        <v>335</v>
      </c>
      <c r="G36" s="250"/>
      <c r="H36" s="251"/>
      <c r="I36" s="252"/>
      <c r="J36" s="253">
        <f>SUMPRODUCT(I7:I35,J7:J35)</f>
        <v>166.39448974021391</v>
      </c>
      <c r="K36" s="253">
        <f>SUMPRODUCT(I7:I35,K7:K35)</f>
        <v>170.6046002066654</v>
      </c>
      <c r="L36" s="253">
        <f>SUMPRODUCT(I7:I35,L7:L35)</f>
        <v>2.1989831546401302</v>
      </c>
      <c r="M36" s="253">
        <f>SUMPRODUCT(I7:I35,M7:M35)</f>
        <v>3.333333333333333</v>
      </c>
      <c r="N36" s="253">
        <f>SUM(N7:N35)</f>
        <v>342.53140643485278</v>
      </c>
      <c r="O36" s="254"/>
    </row>
    <row r="37" spans="1:15" ht="15" thickTop="1" x14ac:dyDescent="0.3"/>
  </sheetData>
  <hyperlinks>
    <hyperlink ref="F7" location="'ST A0100'!A1" display="'ST A0100'!A1"/>
    <hyperlink ref="F8" location="'ST 01001'!A1" display="'ST 01001'!A1"/>
    <hyperlink ref="F9" location="'ST 01002'!A1" display="'ST 01002'!A1"/>
    <hyperlink ref="F10" location="'ST 01003'!A1" display="'ST 01003'!A1"/>
    <hyperlink ref="F11" location="'ST 01004'!A1" display="'ST 01004'!A1"/>
    <hyperlink ref="F12" location="'ST 01005'!A1" display="'ST 01005'!A1"/>
    <hyperlink ref="F13" location="'ST 01006'!A1" display="'ST 01006'!A1"/>
    <hyperlink ref="F14" location="'ST 01007'!A1" display="'ST 01007'!A1"/>
    <hyperlink ref="F15" location="'ST 01008'!A1" display="'ST 01008'!A1"/>
    <hyperlink ref="F16" location="'ST 01009'!A1" display="'ST 01009'!A1"/>
    <hyperlink ref="F17" location="'ST 01010'!A1" display="'ST 01010'!A1"/>
    <hyperlink ref="F18" location="'ST 01011'!A1" display="'ST 01011'!A1"/>
    <hyperlink ref="F19" location="'ST A0200'!A1" display="'ST A0200'!A1"/>
    <hyperlink ref="F20" location="'ST 02001'!A1" display="'ST 02001'!A1"/>
    <hyperlink ref="F21" location="'ST 02002'!A1" display="'ST 02002'!A1"/>
    <hyperlink ref="F22" location="'ST 02003'!A1" display="'ST 02003'!A1"/>
    <hyperlink ref="F23" location="'ST 02004'!A1" display="'ST 02004'!A1"/>
    <hyperlink ref="F24" location="'ST 02005'!A1" display="'ST 02005'!A1"/>
    <hyperlink ref="F25" location="'ST A0300'!A1" display="'ST A0300'!A1"/>
    <hyperlink ref="F26" location="'ST 03001'!A1" display="'ST 03001'!A1"/>
    <hyperlink ref="F27" location="'ST 03002'!A1" display="'ST 03002'!A1"/>
    <hyperlink ref="F28" location="'ST 03003'!A1" display="'ST 03003'!A1"/>
    <hyperlink ref="F30" location="'ST A0400'!A1" display="'ST A0400'!A1"/>
    <hyperlink ref="F31" location="'ST 04002'!A1" display="'ST 04002'!A1"/>
    <hyperlink ref="F32" location="'ST A0300'!A1" display="'ST A0300'!A1"/>
    <hyperlink ref="F33" location="'ST 03001'!A1" display="'ST 03001'!A1"/>
    <hyperlink ref="F34" location="'ST 03002'!A1" display="'ST 03002'!A1"/>
    <hyperlink ref="F35" location="'ST 03003'!A1" display="'ST 03003'!A1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5.5546875" bestFit="1" customWidth="1"/>
    <col min="3" max="3" width="22.88671875" bestFit="1" customWidth="1"/>
    <col min="4" max="4" width="8.88671875" bestFit="1" customWidth="1"/>
    <col min="5" max="5" width="5.554687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N12+I19</f>
        <v>1.5846224319999997</v>
      </c>
      <c r="O2" s="280"/>
    </row>
    <row r="3" spans="1:15" x14ac:dyDescent="0.3">
      <c r="A3" s="397" t="s">
        <v>5</v>
      </c>
      <c r="B3" s="394" t="s">
        <v>6</v>
      </c>
      <c r="C3" s="395" t="s">
        <v>126</v>
      </c>
      <c r="D3" s="71" t="s">
        <v>10</v>
      </c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4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107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6.338489727999999</v>
      </c>
      <c r="O5" s="280"/>
    </row>
    <row r="6" spans="1:15" x14ac:dyDescent="0.3">
      <c r="A6" s="397" t="s">
        <v>11</v>
      </c>
      <c r="B6" s="399" t="s">
        <v>344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128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3.1242240000000004E-2</v>
      </c>
      <c r="F11" s="10" t="s">
        <v>41</v>
      </c>
      <c r="G11" s="10"/>
      <c r="H11" s="15"/>
      <c r="I11" s="16" t="s">
        <v>118</v>
      </c>
      <c r="J11" s="17">
        <f>2.56*10^-4</f>
        <v>2.5600000000000004E-4</v>
      </c>
      <c r="K11" s="152">
        <v>4.4999999999999998E-2</v>
      </c>
      <c r="L11" s="18">
        <v>2712</v>
      </c>
      <c r="M11" s="18">
        <v>1</v>
      </c>
      <c r="N11" s="19">
        <f>IF(J11="",D11*M11,D11*J11*K11*L11*M11)</f>
        <v>0.13121740800000004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0.13121740800000004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ht="28.8" x14ac:dyDescent="0.3">
      <c r="A15" s="409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74">
        <v>1</v>
      </c>
      <c r="G15" s="109" t="s">
        <v>112</v>
      </c>
      <c r="H15" s="109">
        <v>0.25</v>
      </c>
      <c r="I15" s="114">
        <f>H15*D15</f>
        <v>0.32500000000000001</v>
      </c>
      <c r="J15" s="394"/>
      <c r="K15" s="394"/>
      <c r="L15" s="394"/>
      <c r="M15" s="394"/>
      <c r="N15" s="394"/>
      <c r="O15" s="280"/>
    </row>
    <row r="16" spans="1:15" x14ac:dyDescent="0.3">
      <c r="A16" s="408">
        <v>20</v>
      </c>
      <c r="B16" s="75" t="s">
        <v>47</v>
      </c>
      <c r="C16" s="38" t="s">
        <v>113</v>
      </c>
      <c r="D16" s="13">
        <v>0.04</v>
      </c>
      <c r="E16" s="75" t="s">
        <v>48</v>
      </c>
      <c r="F16" s="118">
        <f>1.6*1.15^2*3.1416</f>
        <v>6.6476255999999987</v>
      </c>
      <c r="G16" s="75" t="s">
        <v>81</v>
      </c>
      <c r="H16" s="109">
        <v>1</v>
      </c>
      <c r="I16" s="114">
        <f>D16*F16*H16</f>
        <v>0.26590502399999993</v>
      </c>
      <c r="J16" s="394"/>
      <c r="K16" s="394"/>
      <c r="L16" s="394"/>
      <c r="M16" s="394"/>
      <c r="N16" s="394"/>
      <c r="O16" s="280"/>
    </row>
    <row r="17" spans="1:15" x14ac:dyDescent="0.3">
      <c r="A17" s="408">
        <v>30</v>
      </c>
      <c r="B17" s="75" t="s">
        <v>52</v>
      </c>
      <c r="C17" s="10" t="s">
        <v>114</v>
      </c>
      <c r="D17" s="13">
        <v>0.65</v>
      </c>
      <c r="E17" s="108" t="s">
        <v>43</v>
      </c>
      <c r="F17" s="109">
        <v>1</v>
      </c>
      <c r="G17" s="109" t="s">
        <v>112</v>
      </c>
      <c r="H17" s="109">
        <v>0.25</v>
      </c>
      <c r="I17" s="114">
        <f>IF(H17="",D17*F17,D17*F17*H17)</f>
        <v>0.16250000000000001</v>
      </c>
      <c r="J17" s="394"/>
      <c r="K17" s="394"/>
      <c r="L17" s="394"/>
      <c r="M17" s="394"/>
      <c r="N17" s="394"/>
      <c r="O17" s="280"/>
    </row>
    <row r="18" spans="1:15" x14ac:dyDescent="0.3">
      <c r="A18" s="408">
        <v>40</v>
      </c>
      <c r="B18" s="75" t="s">
        <v>98</v>
      </c>
      <c r="C18" s="38" t="s">
        <v>100</v>
      </c>
      <c r="D18" s="13">
        <v>0.35</v>
      </c>
      <c r="E18" s="75" t="s">
        <v>99</v>
      </c>
      <c r="F18" s="118">
        <v>2</v>
      </c>
      <c r="G18" s="75"/>
      <c r="H18" s="109"/>
      <c r="I18" s="114">
        <f>IF(H18="",D18*F18,D18*F18*H18)</f>
        <v>0.7</v>
      </c>
      <c r="J18" s="394"/>
      <c r="K18" s="394"/>
      <c r="L18" s="394"/>
      <c r="M18" s="394"/>
      <c r="N18" s="394"/>
      <c r="O18" s="280"/>
    </row>
    <row r="19" spans="1:15" x14ac:dyDescent="0.3">
      <c r="A19" s="403"/>
      <c r="B19" s="404"/>
      <c r="C19" s="404"/>
      <c r="D19" s="404"/>
      <c r="E19" s="404"/>
      <c r="F19" s="404"/>
      <c r="G19" s="404"/>
      <c r="H19" s="57" t="s">
        <v>23</v>
      </c>
      <c r="I19" s="58">
        <f>SUM(I15:I18)</f>
        <v>1.4534050239999998</v>
      </c>
      <c r="J19" s="404"/>
      <c r="K19" s="404"/>
      <c r="L19" s="404"/>
      <c r="M19" s="404"/>
      <c r="N19" s="404"/>
      <c r="O19" s="280"/>
    </row>
    <row r="20" spans="1:15" x14ac:dyDescent="0.3">
      <c r="A20" s="391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x14ac:dyDescent="0.3">
      <c r="A21" s="391"/>
      <c r="B21" s="98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3">
      <c r="A22" s="391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3">
      <c r="A23" s="391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ht="15" thickBot="1" x14ac:dyDescent="0.35">
      <c r="A24" s="312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292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109</v>
      </c>
    </row>
  </sheetData>
  <hyperlinks>
    <hyperlink ref="A1" location="'ST 01008'!A1" display="ST_01008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2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9.44140625" bestFit="1" customWidth="1"/>
    <col min="3" max="3" width="18.5546875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N13+I20</f>
        <v>1.5974687499999998</v>
      </c>
      <c r="O2" s="280"/>
    </row>
    <row r="3" spans="1:15" x14ac:dyDescent="0.3">
      <c r="A3" s="397" t="s">
        <v>5</v>
      </c>
      <c r="B3" s="394" t="s">
        <v>6</v>
      </c>
      <c r="C3" s="395" t="s">
        <v>126</v>
      </c>
      <c r="D3" s="71" t="s">
        <v>10</v>
      </c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2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108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3.1949374999999995</v>
      </c>
      <c r="O5" s="280"/>
    </row>
    <row r="6" spans="1:15" x14ac:dyDescent="0.3">
      <c r="A6" s="397" t="s">
        <v>11</v>
      </c>
      <c r="B6" s="399" t="s">
        <v>345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127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1" t="s">
        <v>39</v>
      </c>
      <c r="C11" s="12" t="s">
        <v>76</v>
      </c>
      <c r="D11" s="13">
        <v>2.25</v>
      </c>
      <c r="E11" s="14">
        <f>J11*K11*L11</f>
        <v>5.8875000000000004E-2</v>
      </c>
      <c r="F11" s="10" t="s">
        <v>41</v>
      </c>
      <c r="G11" s="10"/>
      <c r="H11" s="15"/>
      <c r="I11" s="16" t="s">
        <v>118</v>
      </c>
      <c r="J11" s="17">
        <f>100*50*10^-6</f>
        <v>5.0000000000000001E-3</v>
      </c>
      <c r="K11" s="17">
        <v>1.5E-3</v>
      </c>
      <c r="L11" s="18">
        <v>7850</v>
      </c>
      <c r="M11" s="18">
        <v>1</v>
      </c>
      <c r="N11" s="19">
        <f>IF(J11="",D11*M11,D11*J11*K11*L11*M11)</f>
        <v>0.13246875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2">
        <f>F19</f>
        <v>4.0000000000000001E-3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0.04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0.17246875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ht="28.8" x14ac:dyDescent="0.3">
      <c r="A16" s="409">
        <v>10</v>
      </c>
      <c r="B16" s="108" t="s">
        <v>46</v>
      </c>
      <c r="C16" s="153" t="s">
        <v>119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4"/>
      <c r="K16" s="394"/>
      <c r="L16" s="394"/>
      <c r="M16" s="394"/>
      <c r="N16" s="394"/>
      <c r="O16" s="280"/>
    </row>
    <row r="17" spans="1:15" x14ac:dyDescent="0.3">
      <c r="A17" s="408">
        <v>20</v>
      </c>
      <c r="B17" s="20" t="s">
        <v>120</v>
      </c>
      <c r="C17" s="23"/>
      <c r="D17" s="28">
        <v>0.01</v>
      </c>
      <c r="E17" s="20" t="s">
        <v>49</v>
      </c>
      <c r="F17" s="29">
        <f xml:space="preserve"> (6.9 + 3.6*2+ 0.7*2 + 2.2*2 + 5.5)</f>
        <v>25.400000000000002</v>
      </c>
      <c r="G17" s="22"/>
      <c r="H17" s="24"/>
      <c r="I17" s="25">
        <f>IF(H17="",D17*F17,D17*F17*H17)</f>
        <v>0.254</v>
      </c>
      <c r="J17" s="394"/>
      <c r="K17" s="394"/>
      <c r="L17" s="394"/>
      <c r="M17" s="394"/>
      <c r="N17" s="394"/>
      <c r="O17" s="280"/>
    </row>
    <row r="18" spans="1:15" x14ac:dyDescent="0.3">
      <c r="A18" s="408">
        <v>30</v>
      </c>
      <c r="B18" s="20" t="s">
        <v>122</v>
      </c>
      <c r="C18" s="21"/>
      <c r="D18" s="50">
        <v>0.25</v>
      </c>
      <c r="E18" s="20" t="s">
        <v>123</v>
      </c>
      <c r="F18" s="24">
        <v>2</v>
      </c>
      <c r="G18" s="24"/>
      <c r="H18" s="24"/>
      <c r="I18" s="25">
        <f>F18*D18</f>
        <v>0.5</v>
      </c>
      <c r="J18" s="394"/>
      <c r="K18" s="394"/>
      <c r="L18" s="394"/>
      <c r="M18" s="394"/>
      <c r="N18" s="394"/>
      <c r="O18" s="280"/>
    </row>
    <row r="19" spans="1:15" x14ac:dyDescent="0.3">
      <c r="A19" s="408">
        <v>40</v>
      </c>
      <c r="B19" s="22" t="s">
        <v>115</v>
      </c>
      <c r="C19" s="23" t="s">
        <v>163</v>
      </c>
      <c r="D19" s="76">
        <v>5.25</v>
      </c>
      <c r="E19" s="22" t="s">
        <v>117</v>
      </c>
      <c r="F19" s="413">
        <f>J11*0.8</f>
        <v>4.0000000000000001E-3</v>
      </c>
      <c r="G19" s="22"/>
      <c r="H19" s="24"/>
      <c r="I19" s="25">
        <f>D19*F19</f>
        <v>2.1000000000000001E-2</v>
      </c>
      <c r="J19" s="394"/>
      <c r="K19" s="394"/>
      <c r="L19" s="394"/>
      <c r="M19" s="394"/>
      <c r="N19" s="394"/>
      <c r="O19" s="280"/>
    </row>
    <row r="20" spans="1:15" x14ac:dyDescent="0.3">
      <c r="A20" s="403"/>
      <c r="B20" s="404"/>
      <c r="C20" s="404"/>
      <c r="D20" s="404"/>
      <c r="E20" s="404"/>
      <c r="F20" s="404"/>
      <c r="G20" s="404"/>
      <c r="H20" s="57" t="s">
        <v>23</v>
      </c>
      <c r="I20" s="58">
        <f>SUM(I16:I19)</f>
        <v>1.4249999999999998</v>
      </c>
      <c r="J20" s="404"/>
      <c r="K20" s="404"/>
      <c r="L20" s="404"/>
      <c r="M20" s="404"/>
      <c r="N20" s="404"/>
      <c r="O20" s="280"/>
    </row>
    <row r="21" spans="1:15" x14ac:dyDescent="0.3">
      <c r="A21" s="391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ht="15" thickBot="1" x14ac:dyDescent="0.35">
      <c r="A22" s="312"/>
      <c r="B22" s="417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292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110</v>
      </c>
    </row>
  </sheetData>
  <hyperlinks>
    <hyperlink ref="A1" location="'ST 01009'!A1" display="ST_01009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tabSelected="1" workbookViewId="0">
      <selection activeCell="N37" sqref="N37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N12+I18</f>
        <v>7.6222422399999994</v>
      </c>
      <c r="O2" s="280"/>
    </row>
    <row r="3" spans="1:15" x14ac:dyDescent="0.3">
      <c r="A3" s="397" t="s">
        <v>5</v>
      </c>
      <c r="B3" s="394" t="s">
        <v>6</v>
      </c>
      <c r="C3" s="418"/>
      <c r="D3" s="9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152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7.6222422399999994</v>
      </c>
      <c r="O5" s="280"/>
    </row>
    <row r="6" spans="1:15" x14ac:dyDescent="0.3">
      <c r="A6" s="397" t="s">
        <v>11</v>
      </c>
      <c r="B6" s="399" t="s">
        <v>154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0.73386719999999994</v>
      </c>
      <c r="F11" s="10" t="s">
        <v>41</v>
      </c>
      <c r="G11" s="10"/>
      <c r="H11" s="15"/>
      <c r="I11" s="16" t="s">
        <v>118</v>
      </c>
      <c r="J11" s="17">
        <f>0.44*0.41</f>
        <v>0.18039999999999998</v>
      </c>
      <c r="K11" s="17">
        <v>1.5E-3</v>
      </c>
      <c r="L11" s="18">
        <v>2712</v>
      </c>
      <c r="M11" s="18">
        <v>1</v>
      </c>
      <c r="N11" s="19">
        <f>IF(J11="",D11*M11,D11*J11*K11*L11*M11)</f>
        <v>3.0822422399999994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3.0822422399999994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ht="28.8" x14ac:dyDescent="0.3">
      <c r="A15" s="409">
        <v>10</v>
      </c>
      <c r="B15" s="108" t="s">
        <v>46</v>
      </c>
      <c r="C15" s="153" t="s">
        <v>119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394"/>
      <c r="K15" s="394"/>
      <c r="L15" s="394"/>
      <c r="M15" s="394"/>
      <c r="N15" s="394"/>
      <c r="O15" s="280"/>
    </row>
    <row r="16" spans="1:15" x14ac:dyDescent="0.3">
      <c r="A16" s="408">
        <v>20</v>
      </c>
      <c r="B16" s="75" t="s">
        <v>120</v>
      </c>
      <c r="C16" s="38"/>
      <c r="D16" s="13">
        <v>0.01</v>
      </c>
      <c r="E16" s="75" t="s">
        <v>49</v>
      </c>
      <c r="F16" s="118">
        <f>2*(1.9+12.6+5.5+19+2.8+15 +21.5) + 3.8 +33 + 1.4*4</f>
        <v>199</v>
      </c>
      <c r="G16" s="75"/>
      <c r="H16" s="109"/>
      <c r="I16" s="114">
        <f>IF(H16="",D16*F16,D16*F16*H16)</f>
        <v>1.99</v>
      </c>
      <c r="J16" s="394"/>
      <c r="K16" s="394"/>
      <c r="L16" s="394"/>
      <c r="M16" s="394"/>
      <c r="N16" s="394"/>
      <c r="O16" s="280"/>
    </row>
    <row r="17" spans="1:15" x14ac:dyDescent="0.3">
      <c r="A17" s="408">
        <v>30</v>
      </c>
      <c r="B17" s="75" t="s">
        <v>122</v>
      </c>
      <c r="C17" s="10"/>
      <c r="D17" s="189">
        <v>0.25</v>
      </c>
      <c r="E17" s="75" t="s">
        <v>123</v>
      </c>
      <c r="F17" s="109">
        <v>5</v>
      </c>
      <c r="G17" s="109"/>
      <c r="H17" s="109"/>
      <c r="I17" s="114">
        <f>F17*D17</f>
        <v>1.25</v>
      </c>
      <c r="J17" s="394"/>
      <c r="K17" s="394"/>
      <c r="L17" s="394"/>
      <c r="M17" s="394"/>
      <c r="N17" s="394"/>
      <c r="O17" s="280"/>
    </row>
    <row r="18" spans="1:15" x14ac:dyDescent="0.3">
      <c r="A18" s="403"/>
      <c r="B18" s="404"/>
      <c r="C18" s="404"/>
      <c r="D18" s="404"/>
      <c r="E18" s="404"/>
      <c r="F18" s="404"/>
      <c r="G18" s="404"/>
      <c r="H18" s="57" t="s">
        <v>23</v>
      </c>
      <c r="I18" s="58">
        <f>SUM(I15:I17)</f>
        <v>4.54</v>
      </c>
      <c r="J18" s="404"/>
      <c r="K18" s="404"/>
      <c r="L18" s="404"/>
      <c r="M18" s="404"/>
      <c r="N18" s="404"/>
      <c r="O18" s="280"/>
    </row>
    <row r="19" spans="1:15" x14ac:dyDescent="0.3">
      <c r="A19" s="391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280"/>
    </row>
    <row r="20" spans="1:15" ht="15" thickBot="1" x14ac:dyDescent="0.35">
      <c r="A20" s="312"/>
      <c r="B20" s="417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0.109375" bestFit="1" customWidth="1"/>
    <col min="3" max="3" width="17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N13+I19</f>
        <v>0.37972487499999996</v>
      </c>
      <c r="O2" s="280"/>
    </row>
    <row r="3" spans="1:15" x14ac:dyDescent="0.3">
      <c r="A3" s="397" t="s">
        <v>5</v>
      </c>
      <c r="B3" s="394" t="s">
        <v>6</v>
      </c>
      <c r="C3" s="395" t="s">
        <v>126</v>
      </c>
      <c r="D3" s="71" t="s">
        <v>10</v>
      </c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4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153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1.5188994999999998</v>
      </c>
      <c r="O5" s="280"/>
    </row>
    <row r="6" spans="1:15" x14ac:dyDescent="0.3">
      <c r="A6" s="397" t="s">
        <v>11</v>
      </c>
      <c r="B6" s="399" t="s">
        <v>155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171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1" t="s">
        <v>39</v>
      </c>
      <c r="C11" s="12" t="s">
        <v>76</v>
      </c>
      <c r="D11" s="13">
        <v>2.25</v>
      </c>
      <c r="E11" s="14">
        <f>J11*K11*L11</f>
        <v>2.1194999999999999E-3</v>
      </c>
      <c r="F11" s="10" t="s">
        <v>41</v>
      </c>
      <c r="G11" s="10"/>
      <c r="H11" s="15"/>
      <c r="I11" s="16" t="s">
        <v>118</v>
      </c>
      <c r="J11" s="17">
        <f>15*12*10^-6</f>
        <v>1.7999999999999998E-4</v>
      </c>
      <c r="K11" s="17">
        <v>1.5E-3</v>
      </c>
      <c r="L11" s="18">
        <v>7850</v>
      </c>
      <c r="M11" s="18">
        <v>1</v>
      </c>
      <c r="N11" s="19">
        <f>IF(J11="",D11*M11,D11*J11*K11*L11*M11)</f>
        <v>4.7688749999999997E-3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2">
        <f>J11*2</f>
        <v>3.5999999999999997E-4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3.5999999999999999E-3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8.3688749999999996E-3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ht="43.2" x14ac:dyDescent="0.3">
      <c r="A16" s="409">
        <v>10</v>
      </c>
      <c r="B16" s="108" t="s">
        <v>46</v>
      </c>
      <c r="C16" s="153" t="s">
        <v>119</v>
      </c>
      <c r="D16" s="13">
        <v>1.3</v>
      </c>
      <c r="E16" s="108" t="s">
        <v>43</v>
      </c>
      <c r="F16" s="74">
        <v>1</v>
      </c>
      <c r="G16" s="109" t="s">
        <v>112</v>
      </c>
      <c r="H16" s="109">
        <v>0.25</v>
      </c>
      <c r="I16" s="114">
        <f>H16*D16</f>
        <v>0.32500000000000001</v>
      </c>
      <c r="J16" s="394"/>
      <c r="K16" s="394"/>
      <c r="L16" s="394"/>
      <c r="M16" s="394"/>
      <c r="N16" s="394"/>
      <c r="O16" s="280"/>
    </row>
    <row r="17" spans="1:15" x14ac:dyDescent="0.3">
      <c r="A17" s="408">
        <v>20</v>
      </c>
      <c r="B17" s="20" t="s">
        <v>120</v>
      </c>
      <c r="C17" s="23"/>
      <c r="D17" s="28">
        <v>0.01</v>
      </c>
      <c r="E17" s="20" t="s">
        <v>49</v>
      </c>
      <c r="F17" s="29">
        <f xml:space="preserve"> 0.9*2 + 1.5 + 1.26</f>
        <v>4.5599999999999996</v>
      </c>
      <c r="G17" s="22"/>
      <c r="H17" s="24"/>
      <c r="I17" s="25">
        <f>IF(H17="",D17*F17,D17*F17*H17)</f>
        <v>4.5599999999999995E-2</v>
      </c>
      <c r="J17" s="394"/>
      <c r="K17" s="394"/>
      <c r="L17" s="394"/>
      <c r="M17" s="394"/>
      <c r="N17" s="394"/>
      <c r="O17" s="280"/>
    </row>
    <row r="18" spans="1:15" x14ac:dyDescent="0.3">
      <c r="A18" s="408">
        <v>30</v>
      </c>
      <c r="B18" s="22" t="s">
        <v>115</v>
      </c>
      <c r="C18" s="23" t="s">
        <v>163</v>
      </c>
      <c r="D18" s="30">
        <v>5.25</v>
      </c>
      <c r="E18" s="22" t="s">
        <v>117</v>
      </c>
      <c r="F18" s="51">
        <f>J11*0.8</f>
        <v>1.44E-4</v>
      </c>
      <c r="G18" s="22"/>
      <c r="H18" s="24"/>
      <c r="I18" s="25">
        <f>D18*F18</f>
        <v>7.5600000000000005E-4</v>
      </c>
      <c r="J18" s="394"/>
      <c r="K18" s="394"/>
      <c r="L18" s="394"/>
      <c r="M18" s="394"/>
      <c r="N18" s="394"/>
      <c r="O18" s="280"/>
    </row>
    <row r="19" spans="1:15" x14ac:dyDescent="0.3">
      <c r="A19" s="403"/>
      <c r="B19" s="404"/>
      <c r="C19" s="404"/>
      <c r="D19" s="404"/>
      <c r="E19" s="404"/>
      <c r="F19" s="404"/>
      <c r="G19" s="404"/>
      <c r="H19" s="57" t="s">
        <v>23</v>
      </c>
      <c r="I19" s="58">
        <f>SUM(I16:I18)</f>
        <v>0.37135599999999996</v>
      </c>
      <c r="J19" s="404"/>
      <c r="K19" s="404"/>
      <c r="L19" s="404"/>
      <c r="M19" s="404"/>
      <c r="N19" s="404"/>
      <c r="O19" s="280"/>
    </row>
    <row r="20" spans="1:15" x14ac:dyDescent="0.3">
      <c r="A20" s="391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ht="15" thickBot="1" x14ac:dyDescent="0.35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155</v>
      </c>
    </row>
  </sheetData>
  <hyperlinks>
    <hyperlink ref="A1" location="'ST 01011'!A1" display="ST 01011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50"/>
  <sheetViews>
    <sheetView tabSelected="1" zoomScale="60" zoomScaleNormal="60" workbookViewId="0">
      <selection activeCell="N37" sqref="N37"/>
    </sheetView>
  </sheetViews>
  <sheetFormatPr baseColWidth="10" defaultRowHeight="14.4" x14ac:dyDescent="0.3"/>
  <cols>
    <col min="2" max="2" width="28.6640625" bestFit="1" customWidth="1"/>
    <col min="3" max="3" width="33.44140625" bestFit="1" customWidth="1"/>
    <col min="7" max="7" width="9.664062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419" t="s">
        <v>0</v>
      </c>
      <c r="B2" s="86" t="s">
        <v>1</v>
      </c>
      <c r="C2" s="74"/>
      <c r="D2" s="74"/>
      <c r="E2" s="260" t="s">
        <v>2</v>
      </c>
      <c r="F2" s="74"/>
      <c r="G2" s="74"/>
      <c r="H2" s="74"/>
      <c r="I2" s="74"/>
      <c r="J2" s="85" t="s">
        <v>3</v>
      </c>
      <c r="K2" s="87">
        <v>81</v>
      </c>
      <c r="L2" s="74"/>
      <c r="M2" s="85" t="s">
        <v>4</v>
      </c>
      <c r="N2" s="88">
        <f>E15+N20+I35+J39+I48</f>
        <v>78.404618384374231</v>
      </c>
      <c r="O2" s="280"/>
    </row>
    <row r="3" spans="1:15" x14ac:dyDescent="0.3">
      <c r="A3" s="419" t="s">
        <v>5</v>
      </c>
      <c r="B3" s="86" t="s">
        <v>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85" t="s">
        <v>7</v>
      </c>
      <c r="N3" s="89">
        <v>1</v>
      </c>
      <c r="O3" s="280"/>
    </row>
    <row r="4" spans="1:15" x14ac:dyDescent="0.3">
      <c r="A4" s="419" t="s">
        <v>8</v>
      </c>
      <c r="B4" s="90" t="s">
        <v>175</v>
      </c>
      <c r="C4" s="74"/>
      <c r="D4" s="74"/>
      <c r="E4" s="74"/>
      <c r="F4" s="74"/>
      <c r="G4" s="74"/>
      <c r="H4" s="74"/>
      <c r="I4" s="74"/>
      <c r="J4" s="91" t="s">
        <v>10</v>
      </c>
      <c r="K4" s="74"/>
      <c r="L4" s="74"/>
      <c r="M4" s="74"/>
      <c r="N4" s="74"/>
      <c r="O4" s="280"/>
    </row>
    <row r="5" spans="1:15" x14ac:dyDescent="0.3">
      <c r="A5" s="419" t="s">
        <v>11</v>
      </c>
      <c r="B5" s="92" t="s">
        <v>173</v>
      </c>
      <c r="C5" s="74"/>
      <c r="D5" s="74"/>
      <c r="E5" s="74"/>
      <c r="F5" s="74"/>
      <c r="G5" s="74"/>
      <c r="H5" s="74"/>
      <c r="I5" s="74"/>
      <c r="J5" s="91" t="s">
        <v>12</v>
      </c>
      <c r="K5" s="74"/>
      <c r="L5" s="74"/>
      <c r="M5" s="85" t="s">
        <v>13</v>
      </c>
      <c r="N5" s="93">
        <f>N2*N3</f>
        <v>78.404618384374231</v>
      </c>
      <c r="O5" s="280"/>
    </row>
    <row r="6" spans="1:15" x14ac:dyDescent="0.3">
      <c r="A6" s="419" t="s">
        <v>14</v>
      </c>
      <c r="B6" s="86" t="s">
        <v>15</v>
      </c>
      <c r="C6" s="74"/>
      <c r="D6" s="74"/>
      <c r="E6" s="74"/>
      <c r="F6" s="74"/>
      <c r="G6" s="74"/>
      <c r="H6" s="74"/>
      <c r="I6" s="74"/>
      <c r="J6" s="91" t="s">
        <v>16</v>
      </c>
      <c r="K6" s="74"/>
      <c r="L6" s="74"/>
      <c r="M6" s="74"/>
      <c r="N6" s="74"/>
      <c r="O6" s="280"/>
    </row>
    <row r="7" spans="1:15" x14ac:dyDescent="0.3">
      <c r="A7" s="419" t="s">
        <v>17</v>
      </c>
      <c r="B7" s="86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3">
      <c r="A8" s="391"/>
      <c r="B8" s="74"/>
      <c r="C8" s="98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3">
      <c r="A9" s="420" t="s">
        <v>19</v>
      </c>
      <c r="B9" s="116" t="s">
        <v>20</v>
      </c>
      <c r="C9" s="116" t="s">
        <v>21</v>
      </c>
      <c r="D9" s="116" t="s">
        <v>22</v>
      </c>
      <c r="E9" s="116" t="s">
        <v>23</v>
      </c>
      <c r="F9" s="74"/>
      <c r="G9" s="74"/>
      <c r="H9" s="74"/>
      <c r="I9" s="74"/>
      <c r="J9" s="74"/>
      <c r="K9" s="74"/>
      <c r="L9" s="74"/>
      <c r="M9" s="74"/>
      <c r="N9" s="74"/>
      <c r="O9" s="280"/>
    </row>
    <row r="10" spans="1:15" x14ac:dyDescent="0.3">
      <c r="A10" s="421">
        <v>10</v>
      </c>
      <c r="B10" s="127" t="s">
        <v>174</v>
      </c>
      <c r="C10" s="102">
        <f>'ST 02001'!N2</f>
        <v>3.6317736866249999</v>
      </c>
      <c r="D10" s="128">
        <v>1</v>
      </c>
      <c r="E10" s="102">
        <f>C10*D10</f>
        <v>3.6317736866249999</v>
      </c>
      <c r="F10" s="74"/>
      <c r="G10" s="74"/>
      <c r="H10" s="74"/>
      <c r="I10" s="74"/>
      <c r="J10" s="74"/>
      <c r="K10" s="74"/>
      <c r="L10" s="74"/>
      <c r="M10" s="74"/>
      <c r="N10" s="74"/>
      <c r="O10" s="280"/>
    </row>
    <row r="11" spans="1:15" x14ac:dyDescent="0.3">
      <c r="A11" s="421">
        <v>20</v>
      </c>
      <c r="B11" s="127" t="s">
        <v>176</v>
      </c>
      <c r="C11" s="102">
        <f>'ST 02002'!N2</f>
        <v>2.1062500000000002</v>
      </c>
      <c r="D11" s="129">
        <v>1</v>
      </c>
      <c r="E11" s="102">
        <f>C11*D11</f>
        <v>2.1062500000000002</v>
      </c>
      <c r="F11" s="90"/>
      <c r="G11" s="90"/>
      <c r="H11" s="90"/>
      <c r="I11" s="90"/>
      <c r="J11" s="90"/>
      <c r="K11" s="90"/>
      <c r="L11" s="90"/>
      <c r="M11" s="90"/>
      <c r="N11" s="90"/>
      <c r="O11" s="280"/>
    </row>
    <row r="12" spans="1:15" x14ac:dyDescent="0.3">
      <c r="A12" s="421">
        <v>30</v>
      </c>
      <c r="B12" s="127" t="s">
        <v>200</v>
      </c>
      <c r="C12" s="102">
        <f>'ST 02003'!N2</f>
        <v>6.2856945139200011</v>
      </c>
      <c r="D12" s="129">
        <v>1</v>
      </c>
      <c r="E12" s="102">
        <f>C12*D12</f>
        <v>6.2856945139200011</v>
      </c>
      <c r="F12" s="90"/>
      <c r="G12" s="90"/>
      <c r="H12" s="90"/>
      <c r="I12" s="90"/>
      <c r="J12" s="90"/>
      <c r="K12" s="90"/>
      <c r="L12" s="90"/>
      <c r="M12" s="90"/>
      <c r="N12" s="90"/>
      <c r="O12" s="280"/>
    </row>
    <row r="13" spans="1:15" x14ac:dyDescent="0.3">
      <c r="A13" s="421">
        <v>40</v>
      </c>
      <c r="B13" s="127" t="s">
        <v>206</v>
      </c>
      <c r="C13" s="102">
        <f>'ST 02004'!N2</f>
        <v>9.259956002880001</v>
      </c>
      <c r="D13" s="129">
        <v>1</v>
      </c>
      <c r="E13" s="102">
        <f>C13*D13</f>
        <v>9.259956002880001</v>
      </c>
      <c r="F13" s="90"/>
      <c r="G13" s="90"/>
      <c r="H13" s="90"/>
      <c r="I13" s="90"/>
      <c r="J13" s="90"/>
      <c r="K13" s="90"/>
      <c r="L13" s="90"/>
      <c r="M13" s="90"/>
      <c r="N13" s="90"/>
      <c r="O13" s="280"/>
    </row>
    <row r="14" spans="1:15" x14ac:dyDescent="0.3">
      <c r="A14" s="421">
        <v>50</v>
      </c>
      <c r="B14" s="127" t="s">
        <v>213</v>
      </c>
      <c r="C14" s="102">
        <f>'ST 02005'!N2</f>
        <v>1.4644404506699999</v>
      </c>
      <c r="D14" s="129">
        <v>2</v>
      </c>
      <c r="E14" s="102">
        <f>C14*D14</f>
        <v>2.9288809013399999</v>
      </c>
      <c r="F14" s="90"/>
      <c r="G14" s="90"/>
      <c r="H14" s="90"/>
      <c r="I14" s="90"/>
      <c r="J14" s="90"/>
      <c r="K14" s="90"/>
      <c r="L14" s="90"/>
      <c r="M14" s="90"/>
      <c r="N14" s="90"/>
      <c r="O14" s="280"/>
    </row>
    <row r="15" spans="1:15" x14ac:dyDescent="0.3">
      <c r="A15" s="391"/>
      <c r="B15" s="74"/>
      <c r="C15" s="74"/>
      <c r="D15" s="96" t="s">
        <v>23</v>
      </c>
      <c r="E15" s="97">
        <f>SUM(E10:E14)</f>
        <v>24.212555104765002</v>
      </c>
      <c r="F15" s="90"/>
      <c r="G15" s="90"/>
      <c r="H15" s="90"/>
      <c r="I15" s="90"/>
      <c r="J15" s="90"/>
      <c r="K15" s="90"/>
      <c r="L15" s="90"/>
      <c r="M15" s="90"/>
      <c r="N15" s="90"/>
      <c r="O15" s="280"/>
    </row>
    <row r="16" spans="1:15" x14ac:dyDescent="0.3">
      <c r="A16" s="391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280"/>
    </row>
    <row r="17" spans="1:15" x14ac:dyDescent="0.3">
      <c r="A17" s="420" t="s">
        <v>19</v>
      </c>
      <c r="B17" s="116" t="s">
        <v>28</v>
      </c>
      <c r="C17" s="116" t="s">
        <v>29</v>
      </c>
      <c r="D17" s="116" t="s">
        <v>30</v>
      </c>
      <c r="E17" s="116" t="s">
        <v>31</v>
      </c>
      <c r="F17" s="116" t="s">
        <v>32</v>
      </c>
      <c r="G17" s="116" t="s">
        <v>33</v>
      </c>
      <c r="H17" s="116" t="s">
        <v>34</v>
      </c>
      <c r="I17" s="116" t="s">
        <v>35</v>
      </c>
      <c r="J17" s="116" t="s">
        <v>36</v>
      </c>
      <c r="K17" s="116" t="s">
        <v>37</v>
      </c>
      <c r="L17" s="116" t="s">
        <v>38</v>
      </c>
      <c r="M17" s="116" t="s">
        <v>22</v>
      </c>
      <c r="N17" s="116" t="s">
        <v>23</v>
      </c>
      <c r="O17" s="280"/>
    </row>
    <row r="18" spans="1:15" x14ac:dyDescent="0.3">
      <c r="A18" s="421">
        <v>10</v>
      </c>
      <c r="B18" s="101" t="s">
        <v>193</v>
      </c>
      <c r="C18" s="101"/>
      <c r="D18" s="102">
        <v>20</v>
      </c>
      <c r="E18" s="101"/>
      <c r="F18" s="101"/>
      <c r="G18" s="101"/>
      <c r="H18" s="104"/>
      <c r="I18" s="257"/>
      <c r="J18" s="258"/>
      <c r="K18" s="104"/>
      <c r="L18" s="104"/>
      <c r="M18" s="259">
        <v>1</v>
      </c>
      <c r="N18" s="102">
        <f>M18*D18</f>
        <v>20</v>
      </c>
      <c r="O18" s="280"/>
    </row>
    <row r="19" spans="1:15" x14ac:dyDescent="0.3">
      <c r="A19" s="421">
        <v>20</v>
      </c>
      <c r="B19" s="49" t="s">
        <v>350</v>
      </c>
      <c r="C19" s="101" t="s">
        <v>349</v>
      </c>
      <c r="D19" s="256">
        <f>0.1*((E19^2*G19))^(0.5)</f>
        <v>11.112155506471282</v>
      </c>
      <c r="E19" s="101">
        <v>42</v>
      </c>
      <c r="F19" s="101" t="s">
        <v>62</v>
      </c>
      <c r="G19" s="101">
        <v>7</v>
      </c>
      <c r="H19" s="104" t="s">
        <v>62</v>
      </c>
      <c r="I19" s="257"/>
      <c r="J19" s="258"/>
      <c r="K19" s="104"/>
      <c r="L19" s="104"/>
      <c r="M19" s="259">
        <v>2</v>
      </c>
      <c r="N19" s="102">
        <f>D19*M19</f>
        <v>22.224311012942565</v>
      </c>
      <c r="O19" s="280"/>
    </row>
    <row r="20" spans="1:15" x14ac:dyDescent="0.3">
      <c r="A20" s="281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117" t="s">
        <v>23</v>
      </c>
      <c r="N20" s="97">
        <f>SUM(N18:N19)</f>
        <v>42.224311012942565</v>
      </c>
      <c r="O20" s="280"/>
    </row>
    <row r="21" spans="1:15" x14ac:dyDescent="0.3">
      <c r="A21" s="391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3">
      <c r="A22" s="420" t="s">
        <v>19</v>
      </c>
      <c r="B22" s="116" t="s">
        <v>42</v>
      </c>
      <c r="C22" s="116" t="s">
        <v>29</v>
      </c>
      <c r="D22" s="116" t="s">
        <v>30</v>
      </c>
      <c r="E22" s="116" t="s">
        <v>43</v>
      </c>
      <c r="F22" s="116" t="s">
        <v>22</v>
      </c>
      <c r="G22" s="116" t="s">
        <v>44</v>
      </c>
      <c r="H22" s="116" t="s">
        <v>45</v>
      </c>
      <c r="I22" s="116" t="s">
        <v>23</v>
      </c>
      <c r="J22" s="94"/>
      <c r="K22" s="94"/>
      <c r="L22" s="94"/>
      <c r="M22" s="94"/>
      <c r="N22" s="94"/>
      <c r="O22" s="280"/>
    </row>
    <row r="23" spans="1:15" ht="28.8" x14ac:dyDescent="0.3">
      <c r="A23" s="409">
        <v>10</v>
      </c>
      <c r="B23" s="26" t="s">
        <v>46</v>
      </c>
      <c r="C23" s="120" t="s">
        <v>194</v>
      </c>
      <c r="D23" s="28">
        <v>1.3</v>
      </c>
      <c r="E23" s="26" t="s">
        <v>129</v>
      </c>
      <c r="F23" s="24">
        <v>1</v>
      </c>
      <c r="G23" s="24"/>
      <c r="H23" s="24"/>
      <c r="I23" s="25">
        <f>D23*F23</f>
        <v>1.3</v>
      </c>
      <c r="J23" s="74"/>
      <c r="K23" s="74"/>
      <c r="L23" s="74"/>
      <c r="M23" s="74"/>
      <c r="N23" s="74"/>
      <c r="O23" s="280"/>
    </row>
    <row r="24" spans="1:15" ht="28.8" x14ac:dyDescent="0.3">
      <c r="A24" s="421">
        <v>20</v>
      </c>
      <c r="B24" s="22" t="s">
        <v>47</v>
      </c>
      <c r="C24" s="23" t="s">
        <v>195</v>
      </c>
      <c r="D24" s="28">
        <v>0.04</v>
      </c>
      <c r="E24" s="22" t="s">
        <v>48</v>
      </c>
      <c r="F24" s="29">
        <f>(1^2 - 0.8^2)*3.1416*5</f>
        <v>5.6548799999999977</v>
      </c>
      <c r="G24" s="22" t="s">
        <v>60</v>
      </c>
      <c r="H24" s="24">
        <v>3</v>
      </c>
      <c r="I24" s="25">
        <f>D24*F24*H24</f>
        <v>0.67858559999999968</v>
      </c>
      <c r="J24" s="74"/>
      <c r="K24" s="74"/>
      <c r="L24" s="74"/>
      <c r="M24" s="74"/>
      <c r="N24" s="74"/>
      <c r="O24" s="280"/>
    </row>
    <row r="25" spans="1:15" ht="28.8" x14ac:dyDescent="0.3">
      <c r="A25" s="421">
        <v>30</v>
      </c>
      <c r="B25" s="26" t="s">
        <v>124</v>
      </c>
      <c r="C25" s="120" t="s">
        <v>196</v>
      </c>
      <c r="D25" s="28">
        <v>0.15</v>
      </c>
      <c r="E25" s="26" t="s">
        <v>49</v>
      </c>
      <c r="F25" s="24">
        <v>6.2</v>
      </c>
      <c r="G25" s="24"/>
      <c r="H25" s="24"/>
      <c r="I25" s="25">
        <f>6.2*D25</f>
        <v>0.92999999999999994</v>
      </c>
      <c r="J25" s="74"/>
      <c r="K25" s="74"/>
      <c r="L25" s="74"/>
      <c r="M25" s="74"/>
      <c r="N25" s="74"/>
      <c r="O25" s="280"/>
    </row>
    <row r="26" spans="1:15" ht="28.8" x14ac:dyDescent="0.3">
      <c r="A26" s="421">
        <v>40</v>
      </c>
      <c r="B26" s="26" t="s">
        <v>124</v>
      </c>
      <c r="C26" s="120" t="s">
        <v>197</v>
      </c>
      <c r="D26" s="28">
        <v>0.15</v>
      </c>
      <c r="E26" s="26" t="s">
        <v>49</v>
      </c>
      <c r="F26" s="24">
        <v>6.2</v>
      </c>
      <c r="G26" s="24"/>
      <c r="H26" s="24"/>
      <c r="I26" s="25">
        <f>6.2*D26</f>
        <v>0.92999999999999994</v>
      </c>
      <c r="J26" s="90"/>
      <c r="K26" s="90"/>
      <c r="L26" s="90"/>
      <c r="M26" s="90"/>
      <c r="N26" s="90"/>
      <c r="O26" s="280"/>
    </row>
    <row r="27" spans="1:15" ht="28.8" x14ac:dyDescent="0.3">
      <c r="A27" s="409">
        <v>50</v>
      </c>
      <c r="B27" s="26" t="s">
        <v>124</v>
      </c>
      <c r="C27" s="120" t="s">
        <v>225</v>
      </c>
      <c r="D27" s="28">
        <v>0.15</v>
      </c>
      <c r="E27" s="26" t="s">
        <v>49</v>
      </c>
      <c r="F27" s="24">
        <v>10</v>
      </c>
      <c r="G27" s="24"/>
      <c r="H27" s="24"/>
      <c r="I27" s="25">
        <f>F27*D27</f>
        <v>1.5</v>
      </c>
      <c r="J27" s="90"/>
      <c r="K27" s="90"/>
      <c r="L27" s="90"/>
      <c r="M27" s="90"/>
      <c r="N27" s="90"/>
      <c r="O27" s="280"/>
    </row>
    <row r="28" spans="1:15" ht="28.8" x14ac:dyDescent="0.3">
      <c r="A28" s="421">
        <v>60</v>
      </c>
      <c r="B28" s="26" t="s">
        <v>124</v>
      </c>
      <c r="C28" s="120" t="s">
        <v>219</v>
      </c>
      <c r="D28" s="28">
        <v>0.15</v>
      </c>
      <c r="E28" s="26" t="s">
        <v>49</v>
      </c>
      <c r="F28" s="24">
        <v>6.4</v>
      </c>
      <c r="G28" s="24"/>
      <c r="H28" s="24"/>
      <c r="I28" s="25">
        <f>D28*F28</f>
        <v>0.96</v>
      </c>
      <c r="J28" s="90"/>
      <c r="K28" s="90"/>
      <c r="L28" s="90"/>
      <c r="M28" s="90"/>
      <c r="N28" s="90"/>
      <c r="O28" s="280"/>
    </row>
    <row r="29" spans="1:15" ht="28.8" x14ac:dyDescent="0.3">
      <c r="A29" s="421">
        <v>70</v>
      </c>
      <c r="B29" s="26" t="s">
        <v>222</v>
      </c>
      <c r="C29" s="120" t="s">
        <v>223</v>
      </c>
      <c r="D29" s="28">
        <v>0.15</v>
      </c>
      <c r="E29" s="26" t="s">
        <v>49</v>
      </c>
      <c r="F29" s="24">
        <v>6.4</v>
      </c>
      <c r="G29" s="24"/>
      <c r="H29" s="24"/>
      <c r="I29" s="25">
        <f>D29*F29</f>
        <v>0.96</v>
      </c>
      <c r="J29" s="90"/>
      <c r="K29" s="90"/>
      <c r="L29" s="90"/>
      <c r="M29" s="90"/>
      <c r="N29" s="90"/>
      <c r="O29" s="280"/>
    </row>
    <row r="30" spans="1:15" ht="28.8" x14ac:dyDescent="0.3">
      <c r="A30" s="409">
        <v>80</v>
      </c>
      <c r="B30" s="26" t="s">
        <v>222</v>
      </c>
      <c r="C30" s="120" t="s">
        <v>232</v>
      </c>
      <c r="D30" s="28">
        <v>0.15</v>
      </c>
      <c r="E30" s="26" t="s">
        <v>49</v>
      </c>
      <c r="F30" s="24">
        <v>8</v>
      </c>
      <c r="G30" s="24"/>
      <c r="H30" s="24"/>
      <c r="I30" s="25">
        <f>D30*F30</f>
        <v>1.2</v>
      </c>
      <c r="J30" s="90"/>
      <c r="K30" s="90"/>
      <c r="L30" s="90"/>
      <c r="M30" s="90"/>
      <c r="N30" s="90"/>
      <c r="O30" s="280"/>
    </row>
    <row r="31" spans="1:15" ht="28.8" x14ac:dyDescent="0.3">
      <c r="A31" s="421">
        <v>90</v>
      </c>
      <c r="B31" s="22" t="s">
        <v>227</v>
      </c>
      <c r="C31" s="120" t="s">
        <v>228</v>
      </c>
      <c r="D31" s="121">
        <v>0.1875</v>
      </c>
      <c r="E31" s="22" t="s">
        <v>129</v>
      </c>
      <c r="F31" s="24">
        <v>1</v>
      </c>
      <c r="G31" s="24"/>
      <c r="H31" s="24"/>
      <c r="I31" s="25">
        <f>F31*D31</f>
        <v>0.1875</v>
      </c>
      <c r="J31" s="90"/>
      <c r="K31" s="90"/>
      <c r="L31" s="90"/>
      <c r="M31" s="90"/>
      <c r="N31" s="90"/>
      <c r="O31" s="280"/>
    </row>
    <row r="32" spans="1:15" ht="43.2" x14ac:dyDescent="0.3">
      <c r="A32" s="421">
        <v>100</v>
      </c>
      <c r="B32" s="22" t="s">
        <v>229</v>
      </c>
      <c r="C32" s="120" t="s">
        <v>230</v>
      </c>
      <c r="D32" s="121">
        <v>0.13</v>
      </c>
      <c r="E32" s="22" t="s">
        <v>129</v>
      </c>
      <c r="F32" s="24">
        <v>1</v>
      </c>
      <c r="G32" s="22" t="s">
        <v>233</v>
      </c>
      <c r="H32" s="23">
        <v>1.25</v>
      </c>
      <c r="I32" s="25">
        <f>F32*D32*H32</f>
        <v>0.16250000000000001</v>
      </c>
      <c r="J32" s="90"/>
      <c r="K32" s="90"/>
      <c r="L32" s="90"/>
      <c r="M32" s="90"/>
      <c r="N32" s="90"/>
      <c r="O32" s="280"/>
    </row>
    <row r="33" spans="1:15" ht="28.8" x14ac:dyDescent="0.3">
      <c r="A33" s="421">
        <v>110</v>
      </c>
      <c r="B33" s="22" t="s">
        <v>227</v>
      </c>
      <c r="C33" s="120" t="s">
        <v>231</v>
      </c>
      <c r="D33" s="121">
        <v>0.1875</v>
      </c>
      <c r="E33" s="22" t="s">
        <v>129</v>
      </c>
      <c r="F33" s="24">
        <v>1</v>
      </c>
      <c r="G33" s="24"/>
      <c r="H33" s="24"/>
      <c r="I33" s="25">
        <f>F33*D33</f>
        <v>0.1875</v>
      </c>
      <c r="J33" s="90"/>
      <c r="K33" s="90"/>
      <c r="L33" s="90"/>
      <c r="M33" s="90"/>
      <c r="N33" s="90"/>
      <c r="O33" s="280"/>
    </row>
    <row r="34" spans="1:15" x14ac:dyDescent="0.3">
      <c r="A34" s="421">
        <v>120</v>
      </c>
      <c r="B34" s="22" t="s">
        <v>229</v>
      </c>
      <c r="C34" s="120" t="s">
        <v>237</v>
      </c>
      <c r="D34" s="121">
        <v>0.13</v>
      </c>
      <c r="E34" s="22" t="s">
        <v>129</v>
      </c>
      <c r="F34" s="24">
        <v>1</v>
      </c>
      <c r="G34" s="22"/>
      <c r="H34" s="23"/>
      <c r="I34" s="25">
        <f>F34*D34</f>
        <v>0.13</v>
      </c>
      <c r="J34" s="90"/>
      <c r="K34" s="90"/>
      <c r="L34" s="90"/>
      <c r="M34" s="90"/>
      <c r="N34" s="90"/>
      <c r="O34" s="280"/>
    </row>
    <row r="35" spans="1:15" x14ac:dyDescent="0.3">
      <c r="A35" s="281"/>
      <c r="B35" s="94"/>
      <c r="C35" s="94"/>
      <c r="D35" s="94"/>
      <c r="E35" s="94"/>
      <c r="F35" s="94"/>
      <c r="G35" s="94"/>
      <c r="H35" s="96" t="s">
        <v>23</v>
      </c>
      <c r="I35" s="97">
        <f>SUM(I23:I34)</f>
        <v>9.1260855999999997</v>
      </c>
      <c r="J35" s="74"/>
      <c r="K35" s="74"/>
      <c r="L35" s="74"/>
      <c r="M35" s="74"/>
      <c r="N35" s="74"/>
      <c r="O35" s="280"/>
    </row>
    <row r="36" spans="1:15" x14ac:dyDescent="0.3">
      <c r="A36" s="391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280"/>
    </row>
    <row r="37" spans="1:15" x14ac:dyDescent="0.3">
      <c r="A37" s="420" t="s">
        <v>19</v>
      </c>
      <c r="B37" s="116" t="s">
        <v>63</v>
      </c>
      <c r="C37" s="116" t="s">
        <v>29</v>
      </c>
      <c r="D37" s="116" t="s">
        <v>30</v>
      </c>
      <c r="E37" s="116" t="s">
        <v>31</v>
      </c>
      <c r="F37" s="116" t="s">
        <v>32</v>
      </c>
      <c r="G37" s="116" t="s">
        <v>33</v>
      </c>
      <c r="H37" s="116" t="s">
        <v>34</v>
      </c>
      <c r="I37" s="116" t="s">
        <v>22</v>
      </c>
      <c r="J37" s="116" t="s">
        <v>23</v>
      </c>
      <c r="K37" s="74"/>
      <c r="L37" s="74"/>
      <c r="M37" s="74"/>
      <c r="N37" s="74"/>
      <c r="O37" s="280"/>
    </row>
    <row r="38" spans="1:15" x14ac:dyDescent="0.3">
      <c r="A38" s="421">
        <v>10</v>
      </c>
      <c r="B38" s="49" t="s">
        <v>235</v>
      </c>
      <c r="C38" s="122" t="s">
        <v>236</v>
      </c>
      <c r="D38" s="123">
        <f>0.00018*(E38^2)+0.013</f>
        <v>0.17500000000000002</v>
      </c>
      <c r="E38" s="124">
        <v>30</v>
      </c>
      <c r="F38" s="125" t="s">
        <v>62</v>
      </c>
      <c r="G38" s="124"/>
      <c r="H38" s="124"/>
      <c r="I38" s="126">
        <v>1</v>
      </c>
      <c r="J38" s="102">
        <f>I38*D38</f>
        <v>0.17500000000000002</v>
      </c>
      <c r="K38" s="95"/>
      <c r="L38" s="95"/>
      <c r="M38" s="95"/>
      <c r="N38" s="95"/>
      <c r="O38" s="280"/>
    </row>
    <row r="39" spans="1:15" x14ac:dyDescent="0.3">
      <c r="A39" s="281"/>
      <c r="B39" s="94"/>
      <c r="C39" s="94"/>
      <c r="D39" s="94"/>
      <c r="E39" s="94"/>
      <c r="F39" s="94"/>
      <c r="G39" s="94"/>
      <c r="H39" s="94"/>
      <c r="I39" s="96" t="s">
        <v>23</v>
      </c>
      <c r="J39" s="97">
        <f>SUM(J38:J38)</f>
        <v>0.17500000000000002</v>
      </c>
      <c r="K39" s="74"/>
      <c r="L39" s="74"/>
      <c r="M39" s="74"/>
      <c r="N39" s="74"/>
      <c r="O39" s="280"/>
    </row>
    <row r="40" spans="1:15" x14ac:dyDescent="0.3">
      <c r="A40" s="391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280"/>
    </row>
    <row r="41" spans="1:15" x14ac:dyDescent="0.3">
      <c r="A41" s="420" t="s">
        <v>19</v>
      </c>
      <c r="B41" s="116" t="s">
        <v>64</v>
      </c>
      <c r="C41" s="116" t="s">
        <v>29</v>
      </c>
      <c r="D41" s="116" t="s">
        <v>30</v>
      </c>
      <c r="E41" s="116" t="s">
        <v>43</v>
      </c>
      <c r="F41" s="116" t="s">
        <v>22</v>
      </c>
      <c r="G41" s="116" t="s">
        <v>65</v>
      </c>
      <c r="H41" s="116" t="s">
        <v>66</v>
      </c>
      <c r="I41" s="116" t="s">
        <v>23</v>
      </c>
      <c r="J41" s="94"/>
      <c r="K41" s="74"/>
      <c r="L41" s="74"/>
      <c r="M41" s="74"/>
      <c r="N41" s="74"/>
      <c r="O41" s="280"/>
    </row>
    <row r="42" spans="1:15" x14ac:dyDescent="0.3">
      <c r="A42" s="422">
        <v>10</v>
      </c>
      <c r="B42" s="23" t="s">
        <v>146</v>
      </c>
      <c r="C42" s="67" t="s">
        <v>198</v>
      </c>
      <c r="D42" s="73">
        <v>500</v>
      </c>
      <c r="E42" s="31">
        <v>1</v>
      </c>
      <c r="F42" s="31">
        <v>2</v>
      </c>
      <c r="G42" s="31">
        <v>3000</v>
      </c>
      <c r="H42" s="31">
        <v>1</v>
      </c>
      <c r="I42" s="45">
        <f t="shared" ref="I42:I47" si="0">F42*D42/G42</f>
        <v>0.33333333333333331</v>
      </c>
      <c r="J42" s="94"/>
      <c r="K42" s="74"/>
      <c r="L42" s="74"/>
      <c r="M42" s="74"/>
      <c r="N42" s="74"/>
      <c r="O42" s="280"/>
    </row>
    <row r="43" spans="1:15" x14ac:dyDescent="0.3">
      <c r="A43" s="422">
        <v>20</v>
      </c>
      <c r="B43" s="23" t="s">
        <v>146</v>
      </c>
      <c r="C43" s="67" t="s">
        <v>199</v>
      </c>
      <c r="D43" s="73">
        <v>500</v>
      </c>
      <c r="E43" s="31">
        <v>1</v>
      </c>
      <c r="F43" s="31">
        <v>2</v>
      </c>
      <c r="G43" s="31">
        <v>3000</v>
      </c>
      <c r="H43" s="31">
        <v>1</v>
      </c>
      <c r="I43" s="45">
        <f t="shared" si="0"/>
        <v>0.33333333333333331</v>
      </c>
      <c r="J43" s="90"/>
      <c r="K43" s="74"/>
      <c r="L43" s="74"/>
      <c r="M43" s="74"/>
      <c r="N43" s="74"/>
      <c r="O43" s="280"/>
    </row>
    <row r="44" spans="1:15" x14ac:dyDescent="0.3">
      <c r="A44" s="422">
        <v>30</v>
      </c>
      <c r="B44" s="23" t="s">
        <v>146</v>
      </c>
      <c r="C44" s="67" t="s">
        <v>220</v>
      </c>
      <c r="D44" s="73">
        <v>500</v>
      </c>
      <c r="E44" s="31">
        <v>1</v>
      </c>
      <c r="F44" s="31">
        <v>2</v>
      </c>
      <c r="G44" s="31">
        <v>3000</v>
      </c>
      <c r="H44" s="31">
        <v>1</v>
      </c>
      <c r="I44" s="45">
        <f t="shared" si="0"/>
        <v>0.33333333333333331</v>
      </c>
      <c r="J44" s="90"/>
      <c r="K44" s="74"/>
      <c r="L44" s="74"/>
      <c r="M44" s="74"/>
      <c r="N44" s="74"/>
      <c r="O44" s="280"/>
    </row>
    <row r="45" spans="1:15" x14ac:dyDescent="0.3">
      <c r="A45" s="422">
        <v>40</v>
      </c>
      <c r="B45" s="23" t="s">
        <v>146</v>
      </c>
      <c r="C45" s="67" t="s">
        <v>224</v>
      </c>
      <c r="D45" s="73">
        <v>500</v>
      </c>
      <c r="E45" s="31">
        <v>1</v>
      </c>
      <c r="F45" s="31">
        <v>4</v>
      </c>
      <c r="G45" s="31">
        <v>3000</v>
      </c>
      <c r="H45" s="31">
        <v>1</v>
      </c>
      <c r="I45" s="45">
        <f t="shared" si="0"/>
        <v>0.66666666666666663</v>
      </c>
      <c r="J45" s="90"/>
      <c r="K45" s="74"/>
      <c r="L45" s="74"/>
      <c r="M45" s="74"/>
      <c r="N45" s="74"/>
      <c r="O45" s="280"/>
    </row>
    <row r="46" spans="1:15" x14ac:dyDescent="0.3">
      <c r="A46" s="422">
        <v>50</v>
      </c>
      <c r="B46" s="23" t="s">
        <v>146</v>
      </c>
      <c r="C46" s="67" t="s">
        <v>226</v>
      </c>
      <c r="D46" s="73">
        <v>500</v>
      </c>
      <c r="E46" s="31">
        <v>1</v>
      </c>
      <c r="F46" s="31">
        <v>4</v>
      </c>
      <c r="G46" s="31">
        <v>3000</v>
      </c>
      <c r="H46" s="31">
        <v>1</v>
      </c>
      <c r="I46" s="45">
        <f t="shared" si="0"/>
        <v>0.66666666666666663</v>
      </c>
      <c r="J46" s="90"/>
      <c r="K46" s="74"/>
      <c r="L46" s="74"/>
      <c r="M46" s="74"/>
      <c r="N46" s="74"/>
      <c r="O46" s="280"/>
    </row>
    <row r="47" spans="1:15" x14ac:dyDescent="0.3">
      <c r="A47" s="422">
        <v>60</v>
      </c>
      <c r="B47" s="23" t="s">
        <v>146</v>
      </c>
      <c r="C47" s="67" t="s">
        <v>234</v>
      </c>
      <c r="D47" s="73">
        <v>500</v>
      </c>
      <c r="E47" s="31">
        <v>1</v>
      </c>
      <c r="F47" s="31">
        <v>2</v>
      </c>
      <c r="G47" s="31">
        <v>3000</v>
      </c>
      <c r="H47" s="31">
        <v>1</v>
      </c>
      <c r="I47" s="45">
        <f t="shared" si="0"/>
        <v>0.33333333333333331</v>
      </c>
      <c r="J47" s="90"/>
      <c r="K47" s="74"/>
      <c r="L47" s="74"/>
      <c r="M47" s="74"/>
      <c r="N47" s="74"/>
      <c r="O47" s="280"/>
    </row>
    <row r="48" spans="1:15" x14ac:dyDescent="0.3">
      <c r="A48" s="281"/>
      <c r="B48" s="74"/>
      <c r="C48" s="94"/>
      <c r="D48" s="94"/>
      <c r="E48" s="94"/>
      <c r="F48" s="94"/>
      <c r="G48" s="94"/>
      <c r="H48" s="96" t="s">
        <v>23</v>
      </c>
      <c r="I48" s="97">
        <f>SUM(I42:I47)</f>
        <v>2.6666666666666665</v>
      </c>
      <c r="J48" s="94"/>
      <c r="K48" s="74"/>
      <c r="L48" s="74"/>
      <c r="M48" s="74"/>
      <c r="N48" s="74"/>
      <c r="O48" s="280"/>
    </row>
    <row r="49" spans="1:15" x14ac:dyDescent="0.3">
      <c r="A49" s="391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280"/>
    </row>
    <row r="50" spans="1:15" ht="15" thickBot="1" x14ac:dyDescent="0.35">
      <c r="A50" s="312"/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292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  <hyperlink ref="E2" location="BOM!A1" display="Back to BOM"/>
  </hyperlinks>
  <pageMargins left="0.31496062992125984" right="0.31496062992125984" top="0.31496062992125984" bottom="0.39370078740157483" header="0.51181102362204722" footer="0.31496062992125984"/>
  <pageSetup paperSize="9" scale="68" fitToHeight="99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tabSelected="1" zoomScale="90" zoomScaleNormal="9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27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N12+I19</f>
        <v>3.6317736866249999</v>
      </c>
      <c r="O2" s="280"/>
    </row>
    <row r="3" spans="1:15" x14ac:dyDescent="0.3">
      <c r="A3" s="397" t="s">
        <v>5</v>
      </c>
      <c r="B3" s="394" t="s">
        <v>6</v>
      </c>
      <c r="C3" s="395"/>
      <c r="D3" s="9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175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177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3.6317736866249999</v>
      </c>
      <c r="O5" s="280"/>
    </row>
    <row r="6" spans="1:15" x14ac:dyDescent="0.3">
      <c r="A6" s="397" t="s">
        <v>11</v>
      </c>
      <c r="B6" s="399" t="s">
        <v>346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00" t="s">
        <v>179</v>
      </c>
      <c r="C11" s="101" t="s">
        <v>180</v>
      </c>
      <c r="D11" s="102">
        <v>2.25</v>
      </c>
      <c r="E11" s="191">
        <f>J11*K11*L11</f>
        <v>0.1156010625</v>
      </c>
      <c r="F11" s="103" t="s">
        <v>41</v>
      </c>
      <c r="G11" s="103"/>
      <c r="H11" s="104"/>
      <c r="I11" s="105" t="s">
        <v>216</v>
      </c>
      <c r="J11" s="119">
        <f xml:space="preserve"> 3.1416*12.5^2*10^-6</f>
        <v>4.9087499999999999E-4</v>
      </c>
      <c r="K11" s="106">
        <v>0.03</v>
      </c>
      <c r="L11" s="100">
        <v>7850</v>
      </c>
      <c r="M11" s="192">
        <v>1</v>
      </c>
      <c r="N11" s="102">
        <f>D11*E11</f>
        <v>0.26010239062500001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0.26010239062500001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193" t="s">
        <v>42</v>
      </c>
      <c r="C14" s="193" t="s">
        <v>29</v>
      </c>
      <c r="D14" s="193" t="s">
        <v>30</v>
      </c>
      <c r="E14" s="193" t="s">
        <v>43</v>
      </c>
      <c r="F14" s="193" t="s">
        <v>22</v>
      </c>
      <c r="G14" s="193" t="s">
        <v>44</v>
      </c>
      <c r="H14" s="193" t="s">
        <v>45</v>
      </c>
      <c r="I14" s="193" t="s">
        <v>23</v>
      </c>
      <c r="J14" s="404"/>
      <c r="K14" s="404"/>
      <c r="L14" s="404"/>
      <c r="M14" s="404"/>
      <c r="N14" s="404"/>
      <c r="O14" s="280"/>
    </row>
    <row r="15" spans="1:15" x14ac:dyDescent="0.3">
      <c r="A15" s="409">
        <v>10</v>
      </c>
      <c r="B15" s="26" t="s">
        <v>46</v>
      </c>
      <c r="C15" s="120" t="s">
        <v>182</v>
      </c>
      <c r="D15" s="28">
        <v>1.3</v>
      </c>
      <c r="E15" s="26" t="s">
        <v>129</v>
      </c>
      <c r="F15" s="24">
        <v>1</v>
      </c>
      <c r="G15" s="24"/>
      <c r="H15" s="24"/>
      <c r="I15" s="25">
        <f>D15*F15</f>
        <v>1.3</v>
      </c>
      <c r="J15" s="394"/>
      <c r="K15" s="394"/>
      <c r="L15" s="394"/>
      <c r="M15" s="394"/>
      <c r="N15" s="394"/>
      <c r="O15" s="280"/>
    </row>
    <row r="16" spans="1:15" x14ac:dyDescent="0.3">
      <c r="A16" s="409">
        <v>20</v>
      </c>
      <c r="B16" s="26" t="s">
        <v>98</v>
      </c>
      <c r="C16" s="23" t="s">
        <v>183</v>
      </c>
      <c r="D16" s="28">
        <v>0.35</v>
      </c>
      <c r="E16" s="23" t="s">
        <v>99</v>
      </c>
      <c r="F16" s="23">
        <v>1</v>
      </c>
      <c r="G16" s="23"/>
      <c r="H16" s="23"/>
      <c r="I16" s="25">
        <f>D16*F16</f>
        <v>0.35</v>
      </c>
      <c r="J16" s="394"/>
      <c r="K16" s="394"/>
      <c r="L16" s="394"/>
      <c r="M16" s="394"/>
      <c r="N16" s="394"/>
      <c r="O16" s="280"/>
    </row>
    <row r="17" spans="1:15" x14ac:dyDescent="0.3">
      <c r="A17" s="408">
        <v>30</v>
      </c>
      <c r="B17" s="22" t="s">
        <v>47</v>
      </c>
      <c r="C17" s="23" t="s">
        <v>186</v>
      </c>
      <c r="D17" s="28">
        <v>0.04</v>
      </c>
      <c r="E17" s="22" t="s">
        <v>48</v>
      </c>
      <c r="F17" s="29">
        <f>(J11 - 0.012^2*3.1416)*4.8*10^4</f>
        <v>1.8472607999999984</v>
      </c>
      <c r="G17" s="22" t="s">
        <v>60</v>
      </c>
      <c r="H17" s="24">
        <v>3</v>
      </c>
      <c r="I17" s="25">
        <f>D17*F17*H17</f>
        <v>0.2216712959999998</v>
      </c>
      <c r="J17" s="394"/>
      <c r="K17" s="394"/>
      <c r="L17" s="394"/>
      <c r="M17" s="394"/>
      <c r="N17" s="394"/>
      <c r="O17" s="280"/>
    </row>
    <row r="18" spans="1:15" ht="28.8" x14ac:dyDescent="0.3">
      <c r="A18" s="409">
        <v>40</v>
      </c>
      <c r="B18" s="26" t="s">
        <v>184</v>
      </c>
      <c r="C18" s="120" t="s">
        <v>185</v>
      </c>
      <c r="D18" s="28">
        <v>0.5</v>
      </c>
      <c r="E18" s="26" t="s">
        <v>49</v>
      </c>
      <c r="F18" s="24">
        <v>1</v>
      </c>
      <c r="G18" s="24"/>
      <c r="H18" s="24"/>
      <c r="I18" s="25">
        <f>D18*K11*100</f>
        <v>1.5</v>
      </c>
      <c r="J18" s="394"/>
      <c r="K18" s="394"/>
      <c r="L18" s="394"/>
      <c r="M18" s="394"/>
      <c r="N18" s="394"/>
      <c r="O18" s="280"/>
    </row>
    <row r="19" spans="1:15" x14ac:dyDescent="0.3">
      <c r="A19" s="403"/>
      <c r="B19" s="404"/>
      <c r="C19" s="404"/>
      <c r="D19" s="404"/>
      <c r="E19" s="404"/>
      <c r="F19" s="404"/>
      <c r="G19" s="404"/>
      <c r="H19" s="57" t="s">
        <v>23</v>
      </c>
      <c r="I19" s="58">
        <f>SUM(I15:I18)</f>
        <v>3.3716712959999997</v>
      </c>
      <c r="J19" s="404"/>
      <c r="K19" s="404"/>
      <c r="L19" s="404"/>
      <c r="M19" s="404"/>
      <c r="N19" s="404"/>
      <c r="O19" s="280"/>
    </row>
    <row r="20" spans="1:15" ht="15" thickBot="1" x14ac:dyDescent="0.35">
      <c r="A20" s="312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BOM!A1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8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0" bestFit="1" customWidth="1"/>
    <col min="8" max="8" width="9.6640625" bestFit="1" customWidth="1"/>
    <col min="9" max="9" width="23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N12+I17</f>
        <v>2.1062500000000002</v>
      </c>
      <c r="O2" s="280"/>
    </row>
    <row r="3" spans="1:15" x14ac:dyDescent="0.3">
      <c r="A3" s="397" t="s">
        <v>5</v>
      </c>
      <c r="B3" s="394" t="s">
        <v>6</v>
      </c>
      <c r="C3" s="395"/>
      <c r="D3" s="9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175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178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2.1062500000000002</v>
      </c>
      <c r="O5" s="280"/>
    </row>
    <row r="6" spans="1:15" x14ac:dyDescent="0.3">
      <c r="A6" s="397" t="s">
        <v>11</v>
      </c>
      <c r="B6" s="399" t="s">
        <v>347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189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00" t="s">
        <v>179</v>
      </c>
      <c r="C11" s="101" t="s">
        <v>187</v>
      </c>
      <c r="D11" s="102">
        <v>2.25</v>
      </c>
      <c r="E11" s="191">
        <v>0.22500000000000001</v>
      </c>
      <c r="F11" s="103" t="s">
        <v>41</v>
      </c>
      <c r="G11" s="103"/>
      <c r="H11" s="104"/>
      <c r="I11" s="105" t="s">
        <v>188</v>
      </c>
      <c r="J11" s="119">
        <f>(20^2-17^2)*3.1416*10^-6</f>
        <v>3.487176E-4</v>
      </c>
      <c r="K11" s="106">
        <v>0.33500000000000002</v>
      </c>
      <c r="L11" s="100">
        <v>7850</v>
      </c>
      <c r="M11" s="192">
        <v>1</v>
      </c>
      <c r="N11" s="102">
        <f>E11*D11*M11</f>
        <v>0.50624999999999998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0.50624999999999998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x14ac:dyDescent="0.3">
      <c r="A15" s="409">
        <v>10</v>
      </c>
      <c r="B15" s="26" t="s">
        <v>46</v>
      </c>
      <c r="C15" s="27" t="s">
        <v>190</v>
      </c>
      <c r="D15" s="28">
        <v>1.3</v>
      </c>
      <c r="E15" s="26" t="s">
        <v>43</v>
      </c>
      <c r="F15" s="24">
        <v>1</v>
      </c>
      <c r="G15" s="22"/>
      <c r="H15" s="23"/>
      <c r="I15" s="25">
        <f>D15*F15</f>
        <v>1.3</v>
      </c>
      <c r="J15" s="394"/>
      <c r="K15" s="394"/>
      <c r="L15" s="394"/>
      <c r="M15" s="394"/>
      <c r="N15" s="394"/>
      <c r="O15" s="280"/>
    </row>
    <row r="16" spans="1:15" x14ac:dyDescent="0.3">
      <c r="A16" s="408">
        <v>20</v>
      </c>
      <c r="B16" s="22" t="s">
        <v>191</v>
      </c>
      <c r="C16" s="23" t="s">
        <v>192</v>
      </c>
      <c r="D16" s="115">
        <v>0.15</v>
      </c>
      <c r="E16" s="22" t="s">
        <v>49</v>
      </c>
      <c r="F16" s="46">
        <v>2</v>
      </c>
      <c r="G16" s="22"/>
      <c r="H16" s="24"/>
      <c r="I16" s="25">
        <f>D16*F16</f>
        <v>0.3</v>
      </c>
      <c r="J16" s="394"/>
      <c r="K16" s="394"/>
      <c r="L16" s="394"/>
      <c r="M16" s="394"/>
      <c r="N16" s="394"/>
      <c r="O16" s="280"/>
    </row>
    <row r="17" spans="1:15" x14ac:dyDescent="0.3">
      <c r="A17" s="403"/>
      <c r="B17" s="404"/>
      <c r="C17" s="404"/>
      <c r="D17" s="404"/>
      <c r="E17" s="404"/>
      <c r="F17" s="404"/>
      <c r="G17" s="404"/>
      <c r="H17" s="57" t="s">
        <v>23</v>
      </c>
      <c r="I17" s="58">
        <f>SUM(I15:I16)</f>
        <v>1.6</v>
      </c>
      <c r="J17" s="404"/>
      <c r="K17" s="404"/>
      <c r="L17" s="404"/>
      <c r="M17" s="404"/>
      <c r="N17" s="404"/>
      <c r="O17" s="280"/>
    </row>
    <row r="18" spans="1:15" ht="15" thickBot="1" x14ac:dyDescent="0.35">
      <c r="A18" s="312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292"/>
    </row>
  </sheetData>
  <hyperlinks>
    <hyperlink ref="F2" location="BOM!A1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67"/>
  <sheetViews>
    <sheetView tabSelected="1" zoomScale="40" zoomScaleNormal="40" workbookViewId="0">
      <selection activeCell="N37" sqref="N37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664062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5" x14ac:dyDescent="0.3">
      <c r="A1" s="383" t="s">
        <v>0</v>
      </c>
      <c r="B1" s="384" t="s">
        <v>1</v>
      </c>
      <c r="C1" s="384"/>
      <c r="D1" s="385" t="s">
        <v>2</v>
      </c>
      <c r="E1" s="384"/>
      <c r="F1" s="384"/>
      <c r="G1" s="384"/>
      <c r="H1" s="384"/>
      <c r="I1" s="384"/>
      <c r="J1" s="386" t="s">
        <v>3</v>
      </c>
      <c r="K1" s="387">
        <v>81</v>
      </c>
      <c r="L1" s="384"/>
      <c r="M1" s="386" t="s">
        <v>4</v>
      </c>
      <c r="N1" s="388">
        <f>E20+N26+I49+J61+I66</f>
        <v>154.99564656885514</v>
      </c>
      <c r="O1" s="278"/>
    </row>
    <row r="2" spans="1:15" x14ac:dyDescent="0.3">
      <c r="A2" s="279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60" t="s">
        <v>7</v>
      </c>
      <c r="N2" s="5">
        <v>1</v>
      </c>
      <c r="O2" s="280"/>
    </row>
    <row r="3" spans="1:15" x14ac:dyDescent="0.3">
      <c r="A3" s="279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60" t="s">
        <v>10</v>
      </c>
      <c r="K3" s="1"/>
      <c r="L3" s="1"/>
      <c r="M3" s="1"/>
      <c r="N3" s="1"/>
      <c r="O3" s="280"/>
    </row>
    <row r="4" spans="1:15" x14ac:dyDescent="0.3">
      <c r="A4" s="279" t="s">
        <v>11</v>
      </c>
      <c r="B4" s="6" t="s">
        <v>172</v>
      </c>
      <c r="C4" s="1"/>
      <c r="D4" s="1"/>
      <c r="E4" s="1"/>
      <c r="F4" s="1"/>
      <c r="G4" s="1"/>
      <c r="H4" s="1"/>
      <c r="I4" s="1"/>
      <c r="J4" s="60" t="s">
        <v>12</v>
      </c>
      <c r="K4" s="1"/>
      <c r="L4" s="1"/>
      <c r="M4" s="60" t="s">
        <v>13</v>
      </c>
      <c r="N4" s="4">
        <f>N1*N2</f>
        <v>154.99564656885514</v>
      </c>
      <c r="O4" s="280"/>
    </row>
    <row r="5" spans="1:15" x14ac:dyDescent="0.3">
      <c r="A5" s="279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60" t="s">
        <v>16</v>
      </c>
      <c r="K5" s="1"/>
      <c r="L5" s="1"/>
      <c r="M5" s="1"/>
      <c r="N5" s="1"/>
      <c r="O5" s="280"/>
    </row>
    <row r="6" spans="1:15" x14ac:dyDescent="0.3">
      <c r="A6" s="279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80"/>
    </row>
    <row r="7" spans="1:15" x14ac:dyDescent="0.3">
      <c r="A7" s="28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89" t="s">
        <v>19</v>
      </c>
      <c r="B8" s="61" t="s">
        <v>20</v>
      </c>
      <c r="C8" s="61" t="s">
        <v>21</v>
      </c>
      <c r="D8" s="61" t="s">
        <v>22</v>
      </c>
      <c r="E8" s="61" t="s">
        <v>23</v>
      </c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390">
        <v>10</v>
      </c>
      <c r="B9" s="78" t="s">
        <v>26</v>
      </c>
      <c r="C9" s="8">
        <f>'ST 01001'!N5</f>
        <v>7.9694600588749998</v>
      </c>
      <c r="D9" s="18">
        <v>1</v>
      </c>
      <c r="E9" s="79">
        <f>C9*D9</f>
        <v>7.9694600588749998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90">
        <v>20</v>
      </c>
      <c r="B10" s="78" t="s">
        <v>24</v>
      </c>
      <c r="C10" s="8">
        <f>'ST 01002'!N5</f>
        <v>6.0399419045000009</v>
      </c>
      <c r="D10" s="18">
        <v>1</v>
      </c>
      <c r="E10" s="79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3">
      <c r="A11" s="390">
        <v>30</v>
      </c>
      <c r="B11" s="78" t="s">
        <v>78</v>
      </c>
      <c r="C11" s="8">
        <f>'ST 01003'!N5</f>
        <v>2.5686556</v>
      </c>
      <c r="D11" s="18">
        <f>'ST 01003'!N3</f>
        <v>1</v>
      </c>
      <c r="E11" s="79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3">
      <c r="A12" s="390">
        <v>40</v>
      </c>
      <c r="B12" s="78" t="s">
        <v>74</v>
      </c>
      <c r="C12" s="8">
        <f>'ST 01004'!N5</f>
        <v>6.2552780440000006</v>
      </c>
      <c r="D12" s="18">
        <v>1</v>
      </c>
      <c r="E12" s="79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3">
      <c r="A13" s="390">
        <v>50</v>
      </c>
      <c r="B13" s="78" t="s">
        <v>87</v>
      </c>
      <c r="C13" s="8">
        <f>'ST 01005'!N2</f>
        <v>2.3507623102611204</v>
      </c>
      <c r="D13" s="18">
        <f>'ST 01005'!N3</f>
        <v>2</v>
      </c>
      <c r="E13" s="79">
        <f t="shared" ref="E13:E19" si="0">C13*D13</f>
        <v>4.7015246205222407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90">
        <v>60</v>
      </c>
      <c r="B14" s="78" t="s">
        <v>92</v>
      </c>
      <c r="C14" s="8">
        <f>'ST 01006'!N2</f>
        <v>2.3883601172108797</v>
      </c>
      <c r="D14" s="18">
        <f>'ST 01006'!N3</f>
        <v>2</v>
      </c>
      <c r="E14" s="79">
        <f t="shared" si="0"/>
        <v>4.7767202344217594</v>
      </c>
      <c r="F14" s="1"/>
      <c r="G14" s="1"/>
      <c r="H14" s="1"/>
      <c r="I14" s="1"/>
      <c r="J14" s="1"/>
      <c r="K14" s="1"/>
      <c r="L14" s="1"/>
      <c r="M14" s="1"/>
      <c r="N14" s="1"/>
      <c r="O14" s="280"/>
    </row>
    <row r="15" spans="1:15" x14ac:dyDescent="0.3">
      <c r="A15" s="390">
        <v>70</v>
      </c>
      <c r="B15" s="78" t="s">
        <v>105</v>
      </c>
      <c r="C15" s="8">
        <f>'ST 01007'!N5</f>
        <v>65.587604384969495</v>
      </c>
      <c r="D15" s="18">
        <v>1</v>
      </c>
      <c r="E15" s="79">
        <f t="shared" si="0"/>
        <v>65.587604384969495</v>
      </c>
      <c r="F15" s="1"/>
      <c r="G15" s="1"/>
      <c r="H15" s="1"/>
      <c r="I15" s="1"/>
      <c r="J15" s="1"/>
      <c r="K15" s="1"/>
      <c r="L15" s="1"/>
      <c r="M15" s="1"/>
      <c r="N15" s="1"/>
      <c r="O15" s="280"/>
    </row>
    <row r="16" spans="1:15" x14ac:dyDescent="0.3">
      <c r="A16" s="390">
        <v>80</v>
      </c>
      <c r="B16" s="78" t="s">
        <v>107</v>
      </c>
      <c r="C16" s="8">
        <f>'ST 01008'!N2</f>
        <v>1.5846224319999997</v>
      </c>
      <c r="D16" s="18">
        <v>4</v>
      </c>
      <c r="E16" s="79">
        <f t="shared" si="0"/>
        <v>6.338489727999999</v>
      </c>
      <c r="F16" s="1"/>
      <c r="G16" s="1"/>
      <c r="H16" s="1"/>
      <c r="I16" s="1"/>
      <c r="J16" s="1"/>
      <c r="K16" s="1"/>
      <c r="L16" s="1"/>
      <c r="M16" s="1"/>
      <c r="N16" s="1"/>
      <c r="O16" s="280"/>
    </row>
    <row r="17" spans="1:15" x14ac:dyDescent="0.3">
      <c r="A17" s="390">
        <v>90</v>
      </c>
      <c r="B17" s="78" t="s">
        <v>108</v>
      </c>
      <c r="C17" s="8">
        <f>'ST 01009'!N2</f>
        <v>1.5974687499999998</v>
      </c>
      <c r="D17" s="18">
        <v>2</v>
      </c>
      <c r="E17" s="79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  <c r="O17" s="280"/>
    </row>
    <row r="18" spans="1:15" x14ac:dyDescent="0.3">
      <c r="A18" s="390">
        <v>100</v>
      </c>
      <c r="B18" s="78" t="s">
        <v>152</v>
      </c>
      <c r="C18" s="8">
        <f>'ST 01010'!N2</f>
        <v>7.6222422399999994</v>
      </c>
      <c r="D18" s="18">
        <v>1</v>
      </c>
      <c r="E18" s="79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  <c r="O18" s="280"/>
    </row>
    <row r="19" spans="1:15" x14ac:dyDescent="0.3">
      <c r="A19" s="390">
        <v>110</v>
      </c>
      <c r="B19" s="78" t="s">
        <v>153</v>
      </c>
      <c r="C19" s="8">
        <f>'ST 01011'!N2</f>
        <v>0.37972487499999996</v>
      </c>
      <c r="D19" s="18">
        <v>4</v>
      </c>
      <c r="E19" s="79">
        <f t="shared" si="0"/>
        <v>1.5188994999999998</v>
      </c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3">
      <c r="A20" s="283"/>
      <c r="B20" s="1"/>
      <c r="C20" s="1"/>
      <c r="D20" s="62" t="s">
        <v>23</v>
      </c>
      <c r="E20" s="63">
        <f>SUM(E9:E19)</f>
        <v>116.5737538152885</v>
      </c>
      <c r="F20" s="1"/>
      <c r="G20" s="1"/>
      <c r="H20" s="1"/>
      <c r="I20" s="1"/>
      <c r="J20" s="1"/>
      <c r="K20" s="1"/>
      <c r="L20" s="1"/>
      <c r="M20" s="1"/>
      <c r="N20" s="1"/>
      <c r="O20" s="280"/>
    </row>
    <row r="21" spans="1:15" x14ac:dyDescent="0.3">
      <c r="A21" s="391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280"/>
    </row>
    <row r="22" spans="1:15" x14ac:dyDescent="0.3">
      <c r="A22" s="391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3">
      <c r="A23" s="389" t="s">
        <v>19</v>
      </c>
      <c r="B23" s="61" t="s">
        <v>28</v>
      </c>
      <c r="C23" s="61" t="s">
        <v>29</v>
      </c>
      <c r="D23" s="61" t="s">
        <v>30</v>
      </c>
      <c r="E23" s="61" t="s">
        <v>31</v>
      </c>
      <c r="F23" s="61" t="s">
        <v>32</v>
      </c>
      <c r="G23" s="61" t="s">
        <v>33</v>
      </c>
      <c r="H23" s="61" t="s">
        <v>34</v>
      </c>
      <c r="I23" s="61" t="s">
        <v>35</v>
      </c>
      <c r="J23" s="61" t="s">
        <v>36</v>
      </c>
      <c r="K23" s="61" t="s">
        <v>37</v>
      </c>
      <c r="L23" s="61" t="s">
        <v>38</v>
      </c>
      <c r="M23" s="61" t="s">
        <v>22</v>
      </c>
      <c r="N23" s="61" t="s">
        <v>23</v>
      </c>
      <c r="O23" s="280"/>
    </row>
    <row r="24" spans="1:15" x14ac:dyDescent="0.3">
      <c r="A24" s="390">
        <v>10</v>
      </c>
      <c r="B24" s="7" t="s">
        <v>85</v>
      </c>
      <c r="C24" s="7" t="s">
        <v>86</v>
      </c>
      <c r="D24" s="80">
        <f xml:space="preserve"> 0.0045*E24*G24+3.6</f>
        <v>5.5125000000000002</v>
      </c>
      <c r="E24" s="7">
        <v>17</v>
      </c>
      <c r="F24" s="7" t="s">
        <v>62</v>
      </c>
      <c r="G24" s="7">
        <v>25</v>
      </c>
      <c r="H24" s="15" t="s">
        <v>62</v>
      </c>
      <c r="I24" s="32"/>
      <c r="J24" s="9"/>
      <c r="K24" s="15"/>
      <c r="L24" s="15"/>
      <c r="M24" s="18">
        <v>2</v>
      </c>
      <c r="N24" s="19">
        <f>M24*D24</f>
        <v>11.025</v>
      </c>
      <c r="O24" s="280"/>
    </row>
    <row r="25" spans="1:15" x14ac:dyDescent="0.3">
      <c r="A25" s="390">
        <v>20</v>
      </c>
      <c r="B25" s="7" t="s">
        <v>85</v>
      </c>
      <c r="C25" s="7" t="s">
        <v>135</v>
      </c>
      <c r="D25" s="80">
        <f xml:space="preserve"> 0.0045*E25*G25+3.6</f>
        <v>4.2885</v>
      </c>
      <c r="E25" s="7">
        <v>17</v>
      </c>
      <c r="F25" s="7" t="s">
        <v>62</v>
      </c>
      <c r="G25" s="7">
        <v>9</v>
      </c>
      <c r="H25" s="15" t="s">
        <v>62</v>
      </c>
      <c r="I25" s="32"/>
      <c r="J25" s="9"/>
      <c r="K25" s="15"/>
      <c r="L25" s="15"/>
      <c r="M25" s="18">
        <v>2</v>
      </c>
      <c r="N25" s="19">
        <f>M25*D25</f>
        <v>8.577</v>
      </c>
      <c r="O25" s="280"/>
    </row>
    <row r="26" spans="1:15" x14ac:dyDescent="0.3">
      <c r="A26" s="286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62" t="s">
        <v>23</v>
      </c>
      <c r="N26" s="63">
        <f>SUM(N24:N25)</f>
        <v>19.602</v>
      </c>
      <c r="O26" s="280"/>
    </row>
    <row r="27" spans="1:15" x14ac:dyDescent="0.3">
      <c r="A27" s="391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280"/>
    </row>
    <row r="28" spans="1:15" x14ac:dyDescent="0.3">
      <c r="A28" s="389" t="s">
        <v>19</v>
      </c>
      <c r="B28" s="61" t="s">
        <v>42</v>
      </c>
      <c r="C28" s="61" t="s">
        <v>29</v>
      </c>
      <c r="D28" s="61" t="s">
        <v>30</v>
      </c>
      <c r="E28" s="61" t="s">
        <v>43</v>
      </c>
      <c r="F28" s="61" t="s">
        <v>22</v>
      </c>
      <c r="G28" s="61" t="s">
        <v>44</v>
      </c>
      <c r="H28" s="61" t="s">
        <v>45</v>
      </c>
      <c r="I28" s="61" t="s">
        <v>23</v>
      </c>
      <c r="J28" s="74"/>
      <c r="K28" s="74"/>
      <c r="L28" s="74"/>
      <c r="M28" s="74"/>
      <c r="N28" s="74"/>
      <c r="O28" s="280"/>
    </row>
    <row r="29" spans="1:15" x14ac:dyDescent="0.3">
      <c r="A29" s="390">
        <v>10</v>
      </c>
      <c r="B29" s="36" t="s">
        <v>124</v>
      </c>
      <c r="C29" s="33" t="s">
        <v>125</v>
      </c>
      <c r="D29" s="8">
        <v>0.15</v>
      </c>
      <c r="E29" s="7" t="s">
        <v>49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  <c r="J29" s="74"/>
      <c r="K29" s="74"/>
      <c r="L29" s="74"/>
      <c r="M29" s="74"/>
      <c r="N29" s="74"/>
      <c r="O29" s="280"/>
    </row>
    <row r="30" spans="1:15" x14ac:dyDescent="0.3">
      <c r="A30" s="390">
        <v>20</v>
      </c>
      <c r="B30" s="75" t="s">
        <v>133</v>
      </c>
      <c r="C30" s="33" t="s">
        <v>134</v>
      </c>
      <c r="D30" s="76">
        <v>6.25E-2</v>
      </c>
      <c r="E30" s="75" t="s">
        <v>129</v>
      </c>
      <c r="F30" s="7">
        <v>1</v>
      </c>
      <c r="G30" s="7"/>
      <c r="H30" s="7"/>
      <c r="I30" s="8">
        <f t="shared" si="1"/>
        <v>6.25E-2</v>
      </c>
      <c r="J30" s="74"/>
      <c r="K30" s="74"/>
      <c r="L30" s="74"/>
      <c r="M30" s="74"/>
      <c r="N30" s="74"/>
      <c r="O30" s="280"/>
    </row>
    <row r="31" spans="1:15" x14ac:dyDescent="0.3">
      <c r="A31" s="390">
        <v>30</v>
      </c>
      <c r="B31" s="75" t="s">
        <v>133</v>
      </c>
      <c r="C31" s="33" t="s">
        <v>136</v>
      </c>
      <c r="D31" s="76">
        <v>6.25E-2</v>
      </c>
      <c r="E31" s="75" t="s">
        <v>129</v>
      </c>
      <c r="F31" s="7">
        <v>2</v>
      </c>
      <c r="G31" s="7"/>
      <c r="H31" s="7"/>
      <c r="I31" s="8">
        <f t="shared" si="1"/>
        <v>0.125</v>
      </c>
      <c r="J31" s="74"/>
      <c r="K31" s="74"/>
      <c r="L31" s="74"/>
      <c r="M31" s="74"/>
      <c r="N31" s="74"/>
      <c r="O31" s="280"/>
    </row>
    <row r="32" spans="1:15" x14ac:dyDescent="0.3">
      <c r="A32" s="390">
        <v>40</v>
      </c>
      <c r="B32" s="75" t="s">
        <v>133</v>
      </c>
      <c r="C32" s="33" t="s">
        <v>137</v>
      </c>
      <c r="D32" s="76">
        <v>6.25E-2</v>
      </c>
      <c r="E32" s="75" t="s">
        <v>129</v>
      </c>
      <c r="F32" s="7">
        <v>1</v>
      </c>
      <c r="G32" s="7"/>
      <c r="H32" s="7"/>
      <c r="I32" s="8">
        <f t="shared" si="1"/>
        <v>6.25E-2</v>
      </c>
      <c r="J32" s="74"/>
      <c r="K32" s="74"/>
      <c r="L32" s="74"/>
      <c r="M32" s="74"/>
      <c r="N32" s="74"/>
      <c r="O32" s="280"/>
    </row>
    <row r="33" spans="1:15" x14ac:dyDescent="0.3">
      <c r="A33" s="390">
        <v>50</v>
      </c>
      <c r="B33" s="75" t="s">
        <v>133</v>
      </c>
      <c r="C33" s="33" t="s">
        <v>138</v>
      </c>
      <c r="D33" s="76">
        <v>6.25E-2</v>
      </c>
      <c r="E33" s="75" t="s">
        <v>129</v>
      </c>
      <c r="F33" s="7">
        <v>1</v>
      </c>
      <c r="G33" s="7"/>
      <c r="H33" s="7"/>
      <c r="I33" s="8">
        <f t="shared" si="1"/>
        <v>6.25E-2</v>
      </c>
      <c r="J33" s="74"/>
      <c r="K33" s="74"/>
      <c r="L33" s="74"/>
      <c r="M33" s="74"/>
      <c r="N33" s="74"/>
      <c r="O33" s="280"/>
    </row>
    <row r="34" spans="1:15" x14ac:dyDescent="0.3">
      <c r="A34" s="390">
        <v>60</v>
      </c>
      <c r="B34" s="75" t="s">
        <v>133</v>
      </c>
      <c r="C34" s="33" t="s">
        <v>139</v>
      </c>
      <c r="D34" s="76">
        <v>6.25E-2</v>
      </c>
      <c r="E34" s="75" t="s">
        <v>129</v>
      </c>
      <c r="F34" s="7">
        <v>1</v>
      </c>
      <c r="G34" s="7"/>
      <c r="H34" s="7"/>
      <c r="I34" s="8">
        <f t="shared" si="1"/>
        <v>6.25E-2</v>
      </c>
      <c r="J34" s="74"/>
      <c r="K34" s="74"/>
      <c r="L34" s="74"/>
      <c r="M34" s="74"/>
      <c r="N34" s="74"/>
      <c r="O34" s="280"/>
    </row>
    <row r="35" spans="1:15" x14ac:dyDescent="0.3">
      <c r="A35" s="390">
        <v>70</v>
      </c>
      <c r="B35" s="75" t="s">
        <v>142</v>
      </c>
      <c r="C35" s="33" t="s">
        <v>143</v>
      </c>
      <c r="D35" s="8">
        <v>0.5</v>
      </c>
      <c r="E35" s="75" t="s">
        <v>129</v>
      </c>
      <c r="F35" s="7">
        <v>4</v>
      </c>
      <c r="G35" s="38"/>
      <c r="H35" s="38"/>
      <c r="I35" s="8">
        <f t="shared" si="1"/>
        <v>2</v>
      </c>
      <c r="J35" s="74"/>
      <c r="K35" s="74"/>
      <c r="L35" s="74"/>
      <c r="M35" s="74"/>
      <c r="N35" s="74"/>
      <c r="O35" s="280"/>
    </row>
    <row r="36" spans="1:15" x14ac:dyDescent="0.3">
      <c r="A36" s="390">
        <v>80</v>
      </c>
      <c r="B36" s="75" t="s">
        <v>145</v>
      </c>
      <c r="C36" s="33" t="s">
        <v>144</v>
      </c>
      <c r="D36" s="8">
        <v>0.75</v>
      </c>
      <c r="E36" s="75" t="s">
        <v>129</v>
      </c>
      <c r="F36" s="7">
        <v>1</v>
      </c>
      <c r="G36" s="38"/>
      <c r="H36" s="38"/>
      <c r="I36" s="8">
        <f t="shared" si="1"/>
        <v>0.75</v>
      </c>
      <c r="J36" s="74"/>
      <c r="K36" s="74"/>
      <c r="L36" s="74"/>
      <c r="M36" s="74"/>
      <c r="N36" s="74"/>
      <c r="O36" s="280"/>
    </row>
    <row r="37" spans="1:15" x14ac:dyDescent="0.3">
      <c r="A37" s="390">
        <v>90</v>
      </c>
      <c r="B37" s="75" t="s">
        <v>147</v>
      </c>
      <c r="C37" s="33" t="s">
        <v>148</v>
      </c>
      <c r="D37" s="8">
        <v>0.1</v>
      </c>
      <c r="E37" s="75" t="s">
        <v>129</v>
      </c>
      <c r="F37" s="7">
        <v>6</v>
      </c>
      <c r="G37" s="38"/>
      <c r="H37" s="38"/>
      <c r="I37" s="8">
        <f t="shared" si="1"/>
        <v>0.60000000000000009</v>
      </c>
      <c r="J37" s="74"/>
      <c r="K37" s="74"/>
      <c r="L37" s="74"/>
      <c r="M37" s="74"/>
      <c r="N37" s="74"/>
      <c r="O37" s="280"/>
    </row>
    <row r="38" spans="1:15" x14ac:dyDescent="0.3">
      <c r="A38" s="390">
        <v>100</v>
      </c>
      <c r="B38" s="75" t="s">
        <v>149</v>
      </c>
      <c r="C38" s="33" t="s">
        <v>148</v>
      </c>
      <c r="D38" s="77">
        <v>0.02</v>
      </c>
      <c r="E38" s="75" t="s">
        <v>150</v>
      </c>
      <c r="F38" s="7">
        <v>8</v>
      </c>
      <c r="G38" s="38"/>
      <c r="H38" s="38"/>
      <c r="I38" s="8">
        <f t="shared" si="1"/>
        <v>0.16</v>
      </c>
      <c r="J38" s="74"/>
      <c r="K38" s="74"/>
      <c r="L38" s="74"/>
      <c r="M38" s="74"/>
      <c r="N38" s="74"/>
      <c r="O38" s="280"/>
    </row>
    <row r="39" spans="1:15" x14ac:dyDescent="0.3">
      <c r="A39" s="390">
        <v>110</v>
      </c>
      <c r="B39" s="75" t="s">
        <v>133</v>
      </c>
      <c r="C39" s="33" t="s">
        <v>170</v>
      </c>
      <c r="D39" s="76">
        <v>6.25E-2</v>
      </c>
      <c r="E39" s="75" t="s">
        <v>129</v>
      </c>
      <c r="F39" s="7">
        <v>1</v>
      </c>
      <c r="G39" s="7"/>
      <c r="H39" s="7"/>
      <c r="I39" s="8">
        <f t="shared" si="1"/>
        <v>6.25E-2</v>
      </c>
      <c r="J39" s="74"/>
      <c r="K39" s="74"/>
      <c r="L39" s="74"/>
      <c r="M39" s="74"/>
      <c r="N39" s="74"/>
      <c r="O39" s="280"/>
    </row>
    <row r="40" spans="1:15" x14ac:dyDescent="0.3">
      <c r="A40" s="390">
        <v>120</v>
      </c>
      <c r="B40" s="75" t="s">
        <v>133</v>
      </c>
      <c r="C40" s="33" t="s">
        <v>156</v>
      </c>
      <c r="D40" s="76">
        <v>6.25E-2</v>
      </c>
      <c r="E40" s="75" t="s">
        <v>129</v>
      </c>
      <c r="F40" s="7">
        <v>2</v>
      </c>
      <c r="G40" s="38"/>
      <c r="H40" s="38"/>
      <c r="I40" s="8">
        <f t="shared" si="1"/>
        <v>0.125</v>
      </c>
      <c r="J40" s="74"/>
      <c r="K40" s="74"/>
      <c r="L40" s="74"/>
      <c r="M40" s="74"/>
      <c r="N40" s="74"/>
      <c r="O40" s="280"/>
    </row>
    <row r="41" spans="1:15" x14ac:dyDescent="0.3">
      <c r="A41" s="390">
        <v>130</v>
      </c>
      <c r="B41" s="75" t="s">
        <v>158</v>
      </c>
      <c r="C41" s="33" t="s">
        <v>157</v>
      </c>
      <c r="D41" s="8">
        <v>1.5</v>
      </c>
      <c r="E41" s="75" t="s">
        <v>129</v>
      </c>
      <c r="F41" s="7">
        <v>2</v>
      </c>
      <c r="G41" s="38"/>
      <c r="H41" s="38"/>
      <c r="I41" s="8">
        <f t="shared" si="1"/>
        <v>3</v>
      </c>
      <c r="J41" s="74"/>
      <c r="K41" s="74"/>
      <c r="L41" s="74"/>
      <c r="M41" s="74"/>
      <c r="N41" s="74"/>
      <c r="O41" s="280"/>
    </row>
    <row r="42" spans="1:15" x14ac:dyDescent="0.3">
      <c r="A42" s="390">
        <v>140</v>
      </c>
      <c r="B42" s="75" t="s">
        <v>133</v>
      </c>
      <c r="C42" s="33" t="s">
        <v>159</v>
      </c>
      <c r="D42" s="76">
        <v>6.25E-2</v>
      </c>
      <c r="E42" s="75" t="s">
        <v>129</v>
      </c>
      <c r="F42" s="7">
        <v>4</v>
      </c>
      <c r="G42" s="38"/>
      <c r="H42" s="38"/>
      <c r="I42" s="8">
        <f t="shared" si="1"/>
        <v>0.25</v>
      </c>
      <c r="J42" s="74"/>
      <c r="K42" s="74"/>
      <c r="L42" s="74"/>
      <c r="M42" s="74"/>
      <c r="N42" s="74"/>
      <c r="O42" s="280"/>
    </row>
    <row r="43" spans="1:15" x14ac:dyDescent="0.3">
      <c r="A43" s="390">
        <v>150</v>
      </c>
      <c r="B43" s="36" t="s">
        <v>140</v>
      </c>
      <c r="C43" s="33" t="s">
        <v>161</v>
      </c>
      <c r="D43" s="8">
        <v>0.5</v>
      </c>
      <c r="E43" s="75" t="s">
        <v>129</v>
      </c>
      <c r="F43" s="7">
        <v>4</v>
      </c>
      <c r="G43" s="7"/>
      <c r="H43" s="7"/>
      <c r="I43" s="8">
        <f t="shared" si="1"/>
        <v>2</v>
      </c>
      <c r="J43" s="74"/>
      <c r="K43" s="74"/>
      <c r="L43" s="74"/>
      <c r="M43" s="74"/>
      <c r="N43" s="74"/>
      <c r="O43" s="280"/>
    </row>
    <row r="44" spans="1:15" x14ac:dyDescent="0.3">
      <c r="A44" s="390">
        <v>160</v>
      </c>
      <c r="B44" s="75" t="s">
        <v>141</v>
      </c>
      <c r="C44" s="33" t="s">
        <v>160</v>
      </c>
      <c r="D44" s="8">
        <v>0.25</v>
      </c>
      <c r="E44" s="75" t="s">
        <v>129</v>
      </c>
      <c r="F44" s="7">
        <v>4</v>
      </c>
      <c r="G44" s="7"/>
      <c r="H44" s="7"/>
      <c r="I44" s="8">
        <f t="shared" si="1"/>
        <v>1</v>
      </c>
      <c r="J44" s="74"/>
      <c r="K44" s="74"/>
      <c r="L44" s="74"/>
      <c r="M44" s="74"/>
      <c r="N44" s="74"/>
      <c r="O44" s="280"/>
    </row>
    <row r="45" spans="1:15" x14ac:dyDescent="0.3">
      <c r="A45" s="390">
        <v>170</v>
      </c>
      <c r="B45" s="36" t="s">
        <v>124</v>
      </c>
      <c r="C45" s="33" t="s">
        <v>162</v>
      </c>
      <c r="D45" s="8">
        <v>0.15</v>
      </c>
      <c r="E45" s="7" t="s">
        <v>49</v>
      </c>
      <c r="F45" s="38">
        <f>1.5*4</f>
        <v>6</v>
      </c>
      <c r="G45" s="38"/>
      <c r="H45" s="38"/>
      <c r="I45" s="8">
        <f t="shared" si="1"/>
        <v>0.89999999999999991</v>
      </c>
      <c r="J45" s="74"/>
      <c r="K45" s="74"/>
      <c r="L45" s="74"/>
      <c r="M45" s="74"/>
      <c r="N45" s="74"/>
      <c r="O45" s="280"/>
    </row>
    <row r="46" spans="1:15" x14ac:dyDescent="0.3">
      <c r="A46" s="390">
        <v>180</v>
      </c>
      <c r="B46" s="75" t="s">
        <v>133</v>
      </c>
      <c r="C46" s="33" t="s">
        <v>166</v>
      </c>
      <c r="D46" s="76">
        <v>6.25E-2</v>
      </c>
      <c r="E46" s="75" t="s">
        <v>129</v>
      </c>
      <c r="F46" s="7">
        <v>1</v>
      </c>
      <c r="G46" s="7"/>
      <c r="H46" s="7"/>
      <c r="I46" s="8">
        <f t="shared" si="1"/>
        <v>6.25E-2</v>
      </c>
      <c r="J46" s="74"/>
      <c r="K46" s="74"/>
      <c r="L46" s="74"/>
      <c r="M46" s="74"/>
      <c r="N46" s="74"/>
      <c r="O46" s="280"/>
    </row>
    <row r="47" spans="1:15" x14ac:dyDescent="0.3">
      <c r="A47" s="390">
        <v>190</v>
      </c>
      <c r="B47" s="36" t="s">
        <v>140</v>
      </c>
      <c r="C47" s="33" t="s">
        <v>168</v>
      </c>
      <c r="D47" s="8">
        <v>0.5</v>
      </c>
      <c r="E47" s="75" t="s">
        <v>129</v>
      </c>
      <c r="F47" s="7">
        <v>4</v>
      </c>
      <c r="G47" s="38"/>
      <c r="H47" s="38"/>
      <c r="I47" s="8">
        <f t="shared" si="1"/>
        <v>2</v>
      </c>
      <c r="J47" s="74"/>
      <c r="K47" s="74"/>
      <c r="L47" s="74"/>
      <c r="M47" s="74"/>
      <c r="N47" s="74"/>
      <c r="O47" s="280"/>
    </row>
    <row r="48" spans="1:15" x14ac:dyDescent="0.3">
      <c r="A48" s="390">
        <v>200</v>
      </c>
      <c r="B48" s="75" t="s">
        <v>141</v>
      </c>
      <c r="C48" s="33" t="s">
        <v>169</v>
      </c>
      <c r="D48" s="8">
        <v>0.25</v>
      </c>
      <c r="E48" s="75" t="s">
        <v>129</v>
      </c>
      <c r="F48" s="7">
        <v>4</v>
      </c>
      <c r="G48" s="7"/>
      <c r="H48" s="7"/>
      <c r="I48" s="8">
        <f t="shared" si="1"/>
        <v>1</v>
      </c>
      <c r="J48" s="74"/>
      <c r="K48" s="74"/>
      <c r="L48" s="74"/>
      <c r="M48" s="74"/>
      <c r="N48" s="74"/>
      <c r="O48" s="280"/>
    </row>
    <row r="49" spans="1:15" x14ac:dyDescent="0.3">
      <c r="A49" s="286"/>
      <c r="B49" s="34"/>
      <c r="C49" s="34"/>
      <c r="D49" s="34"/>
      <c r="E49" s="34"/>
      <c r="F49" s="34"/>
      <c r="G49" s="34"/>
      <c r="H49" s="62" t="s">
        <v>23</v>
      </c>
      <c r="I49" s="72">
        <f>SUM(I29:I48)</f>
        <v>17.356999999999999</v>
      </c>
      <c r="J49" s="74"/>
      <c r="K49" s="74"/>
      <c r="L49" s="74"/>
      <c r="M49" s="74"/>
      <c r="N49" s="74"/>
      <c r="O49" s="280"/>
    </row>
    <row r="50" spans="1:15" x14ac:dyDescent="0.3">
      <c r="A50" s="391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280"/>
    </row>
    <row r="51" spans="1:15" x14ac:dyDescent="0.3">
      <c r="A51" s="389" t="s">
        <v>19</v>
      </c>
      <c r="B51" s="61" t="s">
        <v>63</v>
      </c>
      <c r="C51" s="61" t="s">
        <v>29</v>
      </c>
      <c r="D51" s="61" t="s">
        <v>30</v>
      </c>
      <c r="E51" s="61" t="s">
        <v>31</v>
      </c>
      <c r="F51" s="61" t="s">
        <v>32</v>
      </c>
      <c r="G51" s="61" t="s">
        <v>33</v>
      </c>
      <c r="H51" s="61" t="s">
        <v>34</v>
      </c>
      <c r="I51" s="61" t="s">
        <v>22</v>
      </c>
      <c r="J51" s="61" t="s">
        <v>23</v>
      </c>
      <c r="K51" s="74"/>
      <c r="L51" s="74"/>
      <c r="M51" s="74"/>
      <c r="N51" s="74"/>
      <c r="O51" s="280"/>
    </row>
    <row r="52" spans="1:15" x14ac:dyDescent="0.3">
      <c r="A52" s="390">
        <v>10</v>
      </c>
      <c r="B52" s="81" t="s">
        <v>131</v>
      </c>
      <c r="C52" s="7" t="s">
        <v>67</v>
      </c>
      <c r="D52" s="8">
        <f>0.8/105154*E52^2*G52*SQRT(G52)+(0.003*EXP(0.319*E52))</f>
        <v>1.7936900299868521E-2</v>
      </c>
      <c r="E52" s="7">
        <v>5</v>
      </c>
      <c r="F52" s="35" t="s">
        <v>62</v>
      </c>
      <c r="G52" s="7">
        <v>6.5</v>
      </c>
      <c r="H52" s="36" t="s">
        <v>62</v>
      </c>
      <c r="I52" s="37">
        <v>4</v>
      </c>
      <c r="J52" s="8">
        <f>D52*I52</f>
        <v>7.1747601199474084E-2</v>
      </c>
      <c r="K52" s="74"/>
      <c r="L52" s="74"/>
      <c r="M52" s="74"/>
      <c r="N52" s="74"/>
      <c r="O52" s="280"/>
    </row>
    <row r="53" spans="1:15" x14ac:dyDescent="0.3">
      <c r="A53" s="390">
        <v>20</v>
      </c>
      <c r="B53" s="81" t="s">
        <v>131</v>
      </c>
      <c r="C53" s="7" t="s">
        <v>68</v>
      </c>
      <c r="D53" s="8">
        <f>0.8/105154*E53^2*G53*SQRT(G53)+(0.003*EXP(0.319*E53))</f>
        <v>5.6261921089642758E-2</v>
      </c>
      <c r="E53" s="7">
        <v>8</v>
      </c>
      <c r="F53" s="35" t="s">
        <v>62</v>
      </c>
      <c r="G53" s="7">
        <v>11</v>
      </c>
      <c r="H53" s="36" t="s">
        <v>62</v>
      </c>
      <c r="I53" s="37">
        <v>1</v>
      </c>
      <c r="J53" s="8">
        <f t="shared" ref="J53:J60" si="2">I53*D53</f>
        <v>5.6261921089642758E-2</v>
      </c>
      <c r="K53" s="74"/>
      <c r="L53" s="74"/>
      <c r="M53" s="74"/>
      <c r="N53" s="74"/>
      <c r="O53" s="280"/>
    </row>
    <row r="54" spans="1:15" x14ac:dyDescent="0.3">
      <c r="A54" s="390">
        <v>30</v>
      </c>
      <c r="B54" s="81" t="s">
        <v>131</v>
      </c>
      <c r="C54" s="7" t="s">
        <v>111</v>
      </c>
      <c r="D54" s="8">
        <f>0.8/105154*E54^2*G54*SQRT(G54)+(0.003*EXP(0.319*E54))</f>
        <v>0.11717308884809327</v>
      </c>
      <c r="E54" s="7">
        <v>6</v>
      </c>
      <c r="F54" s="35" t="s">
        <v>62</v>
      </c>
      <c r="G54" s="7">
        <v>50</v>
      </c>
      <c r="H54" s="36" t="s">
        <v>62</v>
      </c>
      <c r="I54" s="37">
        <v>4</v>
      </c>
      <c r="J54" s="8">
        <f t="shared" si="2"/>
        <v>0.46869235539237308</v>
      </c>
      <c r="K54" s="74"/>
      <c r="L54" s="74"/>
      <c r="M54" s="74"/>
      <c r="N54" s="74"/>
      <c r="O54" s="280"/>
    </row>
    <row r="55" spans="1:15" x14ac:dyDescent="0.3">
      <c r="A55" s="390">
        <v>40</v>
      </c>
      <c r="B55" s="82" t="s">
        <v>130</v>
      </c>
      <c r="C55" s="7" t="s">
        <v>111</v>
      </c>
      <c r="D55" s="83">
        <v>0.01</v>
      </c>
      <c r="E55" s="38"/>
      <c r="F55" s="81" t="s">
        <v>129</v>
      </c>
      <c r="G55" s="7"/>
      <c r="H55" s="36"/>
      <c r="I55" s="37">
        <v>8</v>
      </c>
      <c r="J55" s="8">
        <f t="shared" si="2"/>
        <v>0.08</v>
      </c>
      <c r="K55" s="74"/>
      <c r="L55" s="74"/>
      <c r="M55" s="74"/>
      <c r="N55" s="74"/>
      <c r="O55" s="280"/>
    </row>
    <row r="56" spans="1:15" x14ac:dyDescent="0.3">
      <c r="A56" s="390">
        <v>50</v>
      </c>
      <c r="B56" s="82" t="s">
        <v>132</v>
      </c>
      <c r="C56" s="7" t="s">
        <v>111</v>
      </c>
      <c r="D56" s="84">
        <f>(0.009*EXP(0.2*E56))</f>
        <v>2.9881052304628931E-2</v>
      </c>
      <c r="E56" s="7">
        <v>6</v>
      </c>
      <c r="F56" s="81" t="s">
        <v>62</v>
      </c>
      <c r="G56" s="7"/>
      <c r="H56" s="81"/>
      <c r="I56" s="37">
        <v>4</v>
      </c>
      <c r="J56" s="8">
        <f t="shared" si="2"/>
        <v>0.11952420921851573</v>
      </c>
      <c r="K56" s="74"/>
      <c r="L56" s="74"/>
      <c r="M56" s="74"/>
      <c r="N56" s="74"/>
      <c r="O56" s="280"/>
    </row>
    <row r="57" spans="1:15" x14ac:dyDescent="0.3">
      <c r="A57" s="390">
        <v>60</v>
      </c>
      <c r="B57" s="81" t="s">
        <v>131</v>
      </c>
      <c r="C57" s="7" t="s">
        <v>151</v>
      </c>
      <c r="D57" s="84">
        <f>0.8/105154*E57^2*G57*SQRT(G57)+(0.003*EXP(0.319*E57))</f>
        <v>9.9361345914868976E-2</v>
      </c>
      <c r="E57" s="7">
        <v>8</v>
      </c>
      <c r="F57" s="81" t="s">
        <v>62</v>
      </c>
      <c r="G57" s="7">
        <v>25</v>
      </c>
      <c r="H57" s="81" t="s">
        <v>62</v>
      </c>
      <c r="I57" s="37">
        <v>2</v>
      </c>
      <c r="J57" s="8">
        <f t="shared" si="2"/>
        <v>0.19872269182973795</v>
      </c>
      <c r="K57" s="74"/>
      <c r="L57" s="74"/>
      <c r="M57" s="74"/>
      <c r="N57" s="74"/>
      <c r="O57" s="280"/>
    </row>
    <row r="58" spans="1:15" x14ac:dyDescent="0.3">
      <c r="A58" s="390">
        <v>70</v>
      </c>
      <c r="B58" s="81" t="s">
        <v>131</v>
      </c>
      <c r="C58" s="7" t="s">
        <v>167</v>
      </c>
      <c r="D58" s="8">
        <f>0.8/105154*E58^2*G58*SQRT(G58)+(0.003*EXP(0.319*E58))</f>
        <v>1.8537324430816272E-2</v>
      </c>
      <c r="E58" s="7">
        <v>4</v>
      </c>
      <c r="F58" s="35" t="s">
        <v>62</v>
      </c>
      <c r="G58" s="7">
        <v>16</v>
      </c>
      <c r="H58" s="36" t="s">
        <v>62</v>
      </c>
      <c r="I58" s="37">
        <v>4</v>
      </c>
      <c r="J58" s="8">
        <f t="shared" si="2"/>
        <v>7.414929772326509E-2</v>
      </c>
      <c r="K58" s="74"/>
      <c r="L58" s="74"/>
      <c r="M58" s="74"/>
      <c r="N58" s="74"/>
      <c r="O58" s="280"/>
    </row>
    <row r="59" spans="1:15" x14ac:dyDescent="0.3">
      <c r="A59" s="390">
        <v>80</v>
      </c>
      <c r="B59" s="82" t="s">
        <v>130</v>
      </c>
      <c r="C59" s="7" t="s">
        <v>167</v>
      </c>
      <c r="D59" s="83">
        <v>0.01</v>
      </c>
      <c r="E59" s="38"/>
      <c r="F59" s="81" t="s">
        <v>129</v>
      </c>
      <c r="G59" s="7"/>
      <c r="H59" s="36"/>
      <c r="I59" s="37">
        <v>8</v>
      </c>
      <c r="J59" s="8">
        <f t="shared" si="2"/>
        <v>0.08</v>
      </c>
      <c r="K59" s="74"/>
      <c r="L59" s="74"/>
      <c r="M59" s="74"/>
      <c r="N59" s="74"/>
      <c r="O59" s="280"/>
    </row>
    <row r="60" spans="1:15" x14ac:dyDescent="0.3">
      <c r="A60" s="390">
        <v>90</v>
      </c>
      <c r="B60" s="82" t="s">
        <v>132</v>
      </c>
      <c r="C60" s="7" t="s">
        <v>167</v>
      </c>
      <c r="D60" s="84">
        <f>(0.009*EXP(0.2*E60))</f>
        <v>2.0029868356432209E-2</v>
      </c>
      <c r="E60" s="7">
        <v>4</v>
      </c>
      <c r="F60" s="81" t="s">
        <v>62</v>
      </c>
      <c r="G60" s="7"/>
      <c r="H60" s="81"/>
      <c r="I60" s="37">
        <v>4</v>
      </c>
      <c r="J60" s="8">
        <f t="shared" si="2"/>
        <v>8.0119473425728838E-2</v>
      </c>
      <c r="K60" s="74"/>
      <c r="L60" s="74"/>
      <c r="M60" s="74"/>
      <c r="N60" s="74"/>
      <c r="O60" s="280"/>
    </row>
    <row r="61" spans="1:15" x14ac:dyDescent="0.3">
      <c r="A61" s="286"/>
      <c r="B61" s="34"/>
      <c r="C61" s="34"/>
      <c r="D61" s="34"/>
      <c r="E61" s="34"/>
      <c r="F61" s="34"/>
      <c r="G61" s="34"/>
      <c r="H61" s="34"/>
      <c r="I61" s="62" t="s">
        <v>23</v>
      </c>
      <c r="J61" s="72">
        <f>SUM(J52:J56)</f>
        <v>0.79622608690000551</v>
      </c>
      <c r="K61" s="74"/>
      <c r="L61" s="74"/>
      <c r="M61" s="74"/>
      <c r="N61" s="74"/>
      <c r="O61" s="280"/>
    </row>
    <row r="62" spans="1:15" x14ac:dyDescent="0.3">
      <c r="A62" s="391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280"/>
    </row>
    <row r="63" spans="1:15" x14ac:dyDescent="0.3">
      <c r="A63" s="389" t="s">
        <v>19</v>
      </c>
      <c r="B63" s="61" t="s">
        <v>64</v>
      </c>
      <c r="C63" s="61" t="s">
        <v>29</v>
      </c>
      <c r="D63" s="61" t="s">
        <v>30</v>
      </c>
      <c r="E63" s="61" t="s">
        <v>43</v>
      </c>
      <c r="F63" s="61" t="s">
        <v>22</v>
      </c>
      <c r="G63" s="61" t="s">
        <v>65</v>
      </c>
      <c r="H63" s="61" t="s">
        <v>66</v>
      </c>
      <c r="I63" s="61" t="s">
        <v>23</v>
      </c>
      <c r="J63" s="74"/>
      <c r="K63" s="74"/>
      <c r="L63" s="74"/>
      <c r="M63" s="74"/>
      <c r="N63" s="74"/>
      <c r="O63" s="280"/>
    </row>
    <row r="64" spans="1:15" x14ac:dyDescent="0.3">
      <c r="A64" s="390">
        <v>10</v>
      </c>
      <c r="B64" s="38" t="s">
        <v>146</v>
      </c>
      <c r="C64" s="33" t="s">
        <v>164</v>
      </c>
      <c r="D64" s="392">
        <v>500</v>
      </c>
      <c r="E64" s="7">
        <v>1</v>
      </c>
      <c r="F64" s="7">
        <v>4</v>
      </c>
      <c r="G64" s="7">
        <v>3000</v>
      </c>
      <c r="H64" s="7">
        <v>1</v>
      </c>
      <c r="I64" s="19">
        <f>F64*D64/G64</f>
        <v>0.66666666666666663</v>
      </c>
      <c r="J64" s="74"/>
      <c r="K64" s="74"/>
      <c r="L64" s="74"/>
      <c r="M64" s="74"/>
      <c r="N64" s="74"/>
      <c r="O64" s="280"/>
    </row>
    <row r="65" spans="1:15" x14ac:dyDescent="0.3">
      <c r="A65" s="390">
        <v>20</v>
      </c>
      <c r="B65" s="38" t="s">
        <v>146</v>
      </c>
      <c r="C65" s="33" t="s">
        <v>165</v>
      </c>
      <c r="D65" s="392">
        <v>500</v>
      </c>
      <c r="E65" s="7">
        <v>1</v>
      </c>
      <c r="F65" s="7">
        <v>4</v>
      </c>
      <c r="G65" s="7">
        <v>3000</v>
      </c>
      <c r="H65" s="7">
        <v>1</v>
      </c>
      <c r="I65" s="19">
        <f>F65*D65/G65</f>
        <v>0.66666666666666663</v>
      </c>
      <c r="J65" s="74"/>
      <c r="K65" s="74"/>
      <c r="L65" s="74"/>
      <c r="M65" s="74"/>
      <c r="N65" s="74"/>
      <c r="O65" s="280"/>
    </row>
    <row r="66" spans="1:15" x14ac:dyDescent="0.3">
      <c r="A66" s="286"/>
      <c r="B66" s="34"/>
      <c r="C66" s="34"/>
      <c r="D66" s="34"/>
      <c r="E66" s="34"/>
      <c r="F66" s="34"/>
      <c r="G66" s="34"/>
      <c r="H66" s="65" t="s">
        <v>23</v>
      </c>
      <c r="I66" s="66">
        <f>SUM(I64:I64)</f>
        <v>0.66666666666666663</v>
      </c>
      <c r="J66" s="74"/>
      <c r="K66" s="74"/>
      <c r="L66" s="74"/>
      <c r="M66" s="74"/>
      <c r="N66" s="74"/>
      <c r="O66" s="280"/>
    </row>
    <row r="67" spans="1:15" ht="15" thickBot="1" x14ac:dyDescent="0.35">
      <c r="A67" s="312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292"/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31496062992125984" right="0.31496062992125984" top="0.31496062992125984" bottom="0.39370078740157483" header="0.51181102362204722" footer="0.31496062992125984"/>
  <pageSetup paperSize="9" scale="74" fitToHeight="9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4.6640625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30.88671875" bestFit="1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N12+I19</f>
        <v>6.2856945139200011</v>
      </c>
      <c r="O2" s="280"/>
    </row>
    <row r="3" spans="1:15" x14ac:dyDescent="0.3">
      <c r="A3" s="397" t="s">
        <v>5</v>
      </c>
      <c r="B3" s="394" t="s">
        <v>6</v>
      </c>
      <c r="C3" s="395" t="s">
        <v>126</v>
      </c>
      <c r="D3" s="423" t="s">
        <v>10</v>
      </c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175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200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6.2856945139200011</v>
      </c>
      <c r="O5" s="280"/>
    </row>
    <row r="6" spans="1:15" x14ac:dyDescent="0.3">
      <c r="A6" s="397" t="s">
        <v>11</v>
      </c>
      <c r="B6" s="399" t="s">
        <v>204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00" t="s">
        <v>179</v>
      </c>
      <c r="C11" s="101" t="s">
        <v>208</v>
      </c>
      <c r="D11" s="102">
        <v>2.25</v>
      </c>
      <c r="E11" s="191">
        <f>J11*K11*L11</f>
        <v>0.35986148351999997</v>
      </c>
      <c r="F11" s="103" t="s">
        <v>41</v>
      </c>
      <c r="G11" s="103"/>
      <c r="H11" s="104"/>
      <c r="I11" s="105" t="s">
        <v>201</v>
      </c>
      <c r="J11" s="119">
        <f xml:space="preserve"> 3.1416*16^2*10^-6</f>
        <v>8.0424959999999992E-4</v>
      </c>
      <c r="K11" s="106">
        <v>5.7000000000000002E-2</v>
      </c>
      <c r="L11" s="100">
        <v>7850</v>
      </c>
      <c r="M11" s="192">
        <v>1</v>
      </c>
      <c r="N11" s="102">
        <f>D11*E11</f>
        <v>0.80968833791999995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0.80968833791999995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x14ac:dyDescent="0.3">
      <c r="A15" s="409">
        <v>10</v>
      </c>
      <c r="B15" s="26" t="s">
        <v>46</v>
      </c>
      <c r="C15" s="120" t="s">
        <v>194</v>
      </c>
      <c r="D15" s="28">
        <v>1.3</v>
      </c>
      <c r="E15" s="26" t="s">
        <v>129</v>
      </c>
      <c r="F15" s="24">
        <v>1</v>
      </c>
      <c r="G15" s="24"/>
      <c r="H15" s="24"/>
      <c r="I15" s="25">
        <f>D15*F15</f>
        <v>1.3</v>
      </c>
      <c r="J15" s="394"/>
      <c r="K15" s="394"/>
      <c r="L15" s="394"/>
      <c r="M15" s="394"/>
      <c r="N15" s="394"/>
      <c r="O15" s="280"/>
    </row>
    <row r="16" spans="1:15" x14ac:dyDescent="0.3">
      <c r="A16" s="409">
        <v>20</v>
      </c>
      <c r="B16" s="26" t="s">
        <v>47</v>
      </c>
      <c r="C16" s="23" t="s">
        <v>202</v>
      </c>
      <c r="D16" s="28">
        <v>0.04</v>
      </c>
      <c r="E16" s="22" t="s">
        <v>48</v>
      </c>
      <c r="F16" s="29">
        <f>(1.6^2-1.5^2)*3.1416*0.7 + (1.6^2-1.2^2)*3.1416*1.8 + (1.6^2-1.5^2)*3.1416*1.6 + 3.1416*4.2</f>
        <v>21.768146400000006</v>
      </c>
      <c r="G16" s="22" t="s">
        <v>60</v>
      </c>
      <c r="H16" s="24">
        <v>3</v>
      </c>
      <c r="I16" s="25">
        <f>D16*F16*H16</f>
        <v>2.6121775680000008</v>
      </c>
      <c r="J16" s="394"/>
      <c r="K16" s="394"/>
      <c r="L16" s="394"/>
      <c r="M16" s="394"/>
      <c r="N16" s="394"/>
      <c r="O16" s="280"/>
    </row>
    <row r="17" spans="1:15" x14ac:dyDescent="0.3">
      <c r="A17" s="409">
        <v>30</v>
      </c>
      <c r="B17" s="22" t="s">
        <v>52</v>
      </c>
      <c r="C17" s="21" t="s">
        <v>53</v>
      </c>
      <c r="D17" s="28">
        <v>0.65</v>
      </c>
      <c r="E17" s="26" t="s">
        <v>43</v>
      </c>
      <c r="F17" s="24">
        <v>1</v>
      </c>
      <c r="G17" s="24"/>
      <c r="H17" s="24"/>
      <c r="I17" s="25">
        <f>IF(H17="",D17*F17,D17*F17*H17)</f>
        <v>0.65</v>
      </c>
      <c r="J17" s="394"/>
      <c r="K17" s="394"/>
      <c r="L17" s="394"/>
      <c r="M17" s="394"/>
      <c r="N17" s="394"/>
      <c r="O17" s="280"/>
    </row>
    <row r="18" spans="1:15" x14ac:dyDescent="0.3">
      <c r="A18" s="409">
        <v>40</v>
      </c>
      <c r="B18" s="26" t="s">
        <v>47</v>
      </c>
      <c r="C18" s="23" t="s">
        <v>203</v>
      </c>
      <c r="D18" s="28">
        <v>0.04</v>
      </c>
      <c r="E18" s="22" t="s">
        <v>48</v>
      </c>
      <c r="F18" s="29">
        <f>(1.6^2-0.8^2)*3.1416 + 1.4*3.1416*0.6^2</f>
        <v>7.6152384000000009</v>
      </c>
      <c r="G18" s="22" t="s">
        <v>60</v>
      </c>
      <c r="H18" s="24">
        <v>3</v>
      </c>
      <c r="I18" s="25">
        <f>D18*F18*H18</f>
        <v>0.91382860799999999</v>
      </c>
      <c r="J18" s="394"/>
      <c r="K18" s="394"/>
      <c r="L18" s="394"/>
      <c r="M18" s="394"/>
      <c r="N18" s="394"/>
      <c r="O18" s="280"/>
    </row>
    <row r="19" spans="1:15" x14ac:dyDescent="0.3">
      <c r="A19" s="403"/>
      <c r="B19" s="404"/>
      <c r="C19" s="404"/>
      <c r="D19" s="404"/>
      <c r="E19" s="404"/>
      <c r="F19" s="404"/>
      <c r="G19" s="404"/>
      <c r="H19" s="57" t="s">
        <v>23</v>
      </c>
      <c r="I19" s="58">
        <f>SUM(I15:I18)</f>
        <v>5.4760061760000012</v>
      </c>
      <c r="J19" s="404"/>
      <c r="K19" s="404"/>
      <c r="L19" s="404"/>
      <c r="M19" s="404"/>
      <c r="N19" s="404"/>
      <c r="O19" s="280"/>
    </row>
    <row r="20" spans="1:15" x14ac:dyDescent="0.3">
      <c r="A20" s="391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280"/>
    </row>
    <row r="21" spans="1:15" ht="15" thickBot="1" x14ac:dyDescent="0.35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204</v>
      </c>
    </row>
  </sheetData>
  <hyperlinks>
    <hyperlink ref="A1" location="'ST 02003'!A1" display="ST 02003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2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16.33203125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N13+I21</f>
        <v>9.259956002880001</v>
      </c>
      <c r="O2" s="280"/>
    </row>
    <row r="3" spans="1:15" x14ac:dyDescent="0.3">
      <c r="A3" s="397" t="s">
        <v>5</v>
      </c>
      <c r="B3" s="394" t="s">
        <v>6</v>
      </c>
      <c r="C3" s="395" t="s">
        <v>126</v>
      </c>
      <c r="D3" s="71" t="s">
        <v>10</v>
      </c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207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206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9.259956002880001</v>
      </c>
      <c r="O5" s="280"/>
    </row>
    <row r="6" spans="1:15" x14ac:dyDescent="0.3">
      <c r="A6" s="397" t="s">
        <v>11</v>
      </c>
      <c r="B6" s="399" t="s">
        <v>205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00" t="s">
        <v>179</v>
      </c>
      <c r="C11" s="101" t="s">
        <v>76</v>
      </c>
      <c r="D11" s="102">
        <v>2.25</v>
      </c>
      <c r="E11" s="195">
        <f>J11*K11*L11</f>
        <v>0.53979222528000004</v>
      </c>
      <c r="F11" s="103" t="s">
        <v>41</v>
      </c>
      <c r="G11" s="103"/>
      <c r="H11" s="104"/>
      <c r="I11" s="261" t="s">
        <v>209</v>
      </c>
      <c r="J11" s="119">
        <f xml:space="preserve"> 3.1416*0.024^2</f>
        <v>1.8095616000000001E-3</v>
      </c>
      <c r="K11" s="106">
        <v>3.7999999999999999E-2</v>
      </c>
      <c r="L11" s="100">
        <v>7850</v>
      </c>
      <c r="M11" s="192">
        <v>1</v>
      </c>
      <c r="N11" s="102">
        <f>D11*E11</f>
        <v>1.2145325068800001</v>
      </c>
      <c r="O11" s="280"/>
    </row>
    <row r="12" spans="1:15" x14ac:dyDescent="0.3">
      <c r="A12" s="408">
        <v>20</v>
      </c>
      <c r="B12" s="39" t="s">
        <v>121</v>
      </c>
      <c r="C12" s="40"/>
      <c r="D12" s="48">
        <v>10</v>
      </c>
      <c r="E12" s="190">
        <f>57*10^-4</f>
        <v>5.7000000000000002E-3</v>
      </c>
      <c r="F12" s="49" t="s">
        <v>117</v>
      </c>
      <c r="G12" s="21"/>
      <c r="H12" s="41"/>
      <c r="I12" s="42"/>
      <c r="J12" s="43">
        <f>57*10^-4</f>
        <v>5.7000000000000002E-3</v>
      </c>
      <c r="K12" s="41"/>
      <c r="L12" s="44"/>
      <c r="M12" s="44"/>
      <c r="N12" s="45">
        <f>E12*D12</f>
        <v>5.7000000000000002E-2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1.2715325068800001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x14ac:dyDescent="0.3">
      <c r="A16" s="409">
        <v>10</v>
      </c>
      <c r="B16" s="26" t="s">
        <v>46</v>
      </c>
      <c r="C16" s="120" t="s">
        <v>194</v>
      </c>
      <c r="D16" s="28">
        <v>1.3</v>
      </c>
      <c r="E16" s="26" t="s">
        <v>129</v>
      </c>
      <c r="F16" s="24">
        <v>1</v>
      </c>
      <c r="G16" s="24"/>
      <c r="H16" s="24"/>
      <c r="I16" s="25">
        <f>D16*F16</f>
        <v>1.3</v>
      </c>
      <c r="J16" s="394"/>
      <c r="K16" s="394"/>
      <c r="L16" s="394"/>
      <c r="M16" s="394"/>
      <c r="N16" s="394"/>
      <c r="O16" s="280"/>
    </row>
    <row r="17" spans="1:15" x14ac:dyDescent="0.3">
      <c r="A17" s="409">
        <v>20</v>
      </c>
      <c r="B17" s="26" t="s">
        <v>47</v>
      </c>
      <c r="C17" s="23" t="s">
        <v>210</v>
      </c>
      <c r="D17" s="28">
        <v>0.04</v>
      </c>
      <c r="E17" s="22" t="s">
        <v>48</v>
      </c>
      <c r="F17" s="29">
        <f>2.1^2*3.1416*0.7 + 2^2*3.1416*2</f>
        <v>34.830919199999997</v>
      </c>
      <c r="G17" s="22" t="s">
        <v>60</v>
      </c>
      <c r="H17" s="24">
        <v>3</v>
      </c>
      <c r="I17" s="25">
        <f>D17*F17*H17</f>
        <v>4.1797103040000003</v>
      </c>
      <c r="J17" s="394"/>
      <c r="K17" s="394"/>
      <c r="L17" s="394"/>
      <c r="M17" s="394"/>
      <c r="N17" s="394"/>
      <c r="O17" s="280"/>
    </row>
    <row r="18" spans="1:15" x14ac:dyDescent="0.3">
      <c r="A18" s="409">
        <v>30</v>
      </c>
      <c r="B18" s="22" t="s">
        <v>52</v>
      </c>
      <c r="C18" s="21" t="s">
        <v>211</v>
      </c>
      <c r="D18" s="28">
        <v>0.65</v>
      </c>
      <c r="E18" s="26" t="s">
        <v>43</v>
      </c>
      <c r="F18" s="24">
        <v>1</v>
      </c>
      <c r="G18" s="24"/>
      <c r="H18" s="24"/>
      <c r="I18" s="25">
        <f>IF(H18="",D18*F18,D18*F18*H18)</f>
        <v>0.65</v>
      </c>
      <c r="J18" s="394"/>
      <c r="K18" s="394"/>
      <c r="L18" s="394"/>
      <c r="M18" s="394"/>
      <c r="N18" s="394"/>
      <c r="O18" s="280"/>
    </row>
    <row r="19" spans="1:15" x14ac:dyDescent="0.3">
      <c r="A19" s="409">
        <v>40</v>
      </c>
      <c r="B19" s="26" t="s">
        <v>47</v>
      </c>
      <c r="C19" s="23" t="s">
        <v>212</v>
      </c>
      <c r="D19" s="28">
        <v>0.04</v>
      </c>
      <c r="E19" s="22" t="s">
        <v>48</v>
      </c>
      <c r="F19" s="29">
        <f>2.1^2*3.1416*1.1</f>
        <v>15.239901600000001</v>
      </c>
      <c r="G19" s="22" t="s">
        <v>60</v>
      </c>
      <c r="H19" s="24">
        <v>3</v>
      </c>
      <c r="I19" s="25">
        <f>D19*F19*H19</f>
        <v>1.8287881920000002</v>
      </c>
      <c r="J19" s="394"/>
      <c r="K19" s="394"/>
      <c r="L19" s="394"/>
      <c r="M19" s="394"/>
      <c r="N19" s="394"/>
      <c r="O19" s="280"/>
    </row>
    <row r="20" spans="1:15" x14ac:dyDescent="0.3">
      <c r="A20" s="409">
        <v>50</v>
      </c>
      <c r="B20" s="22" t="s">
        <v>115</v>
      </c>
      <c r="C20" s="23" t="s">
        <v>221</v>
      </c>
      <c r="D20" s="30">
        <v>5.25</v>
      </c>
      <c r="E20" s="22" t="s">
        <v>117</v>
      </c>
      <c r="F20" s="194">
        <f>E12</f>
        <v>5.7000000000000002E-3</v>
      </c>
      <c r="G20" s="22"/>
      <c r="H20" s="24"/>
      <c r="I20" s="25">
        <f>D20*F20</f>
        <v>2.9925E-2</v>
      </c>
      <c r="J20" s="394"/>
      <c r="K20" s="394"/>
      <c r="L20" s="394"/>
      <c r="M20" s="394"/>
      <c r="N20" s="394"/>
      <c r="O20" s="280"/>
    </row>
    <row r="21" spans="1:15" x14ac:dyDescent="0.3">
      <c r="A21" s="403"/>
      <c r="B21" s="404"/>
      <c r="C21" s="404"/>
      <c r="D21" s="404"/>
      <c r="E21" s="404"/>
      <c r="F21" s="404"/>
      <c r="G21" s="404"/>
      <c r="H21" s="57" t="s">
        <v>23</v>
      </c>
      <c r="I21" s="58">
        <f>SUM(I16:I20)</f>
        <v>7.9884234960000011</v>
      </c>
      <c r="J21" s="404"/>
      <c r="K21" s="404"/>
      <c r="L21" s="404"/>
      <c r="M21" s="404"/>
      <c r="N21" s="404"/>
      <c r="O21" s="280"/>
    </row>
    <row r="22" spans="1:15" ht="15" thickBot="1" x14ac:dyDescent="0.35">
      <c r="A22" s="312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292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205</v>
      </c>
    </row>
  </sheetData>
  <hyperlinks>
    <hyperlink ref="A1" location="'ST 02004'!A1" display="ST 02004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24.441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N13+I21</f>
        <v>1.4644404506699999</v>
      </c>
      <c r="O2" s="280"/>
    </row>
    <row r="3" spans="1:15" x14ac:dyDescent="0.3">
      <c r="A3" s="397" t="s">
        <v>5</v>
      </c>
      <c r="B3" s="394" t="s">
        <v>6</v>
      </c>
      <c r="C3" s="395"/>
      <c r="D3" s="9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2</v>
      </c>
      <c r="O3" s="280"/>
    </row>
    <row r="4" spans="1:15" x14ac:dyDescent="0.3">
      <c r="A4" s="397" t="s">
        <v>8</v>
      </c>
      <c r="B4" s="2" t="s">
        <v>175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214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2.9288809013399999</v>
      </c>
      <c r="O5" s="280"/>
    </row>
    <row r="6" spans="1:15" x14ac:dyDescent="0.3">
      <c r="A6" s="397" t="s">
        <v>11</v>
      </c>
      <c r="B6" s="399" t="s">
        <v>348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ht="28.8" x14ac:dyDescent="0.3">
      <c r="A8" s="397" t="s">
        <v>17</v>
      </c>
      <c r="B8" s="424" t="s">
        <v>215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00" t="s">
        <v>179</v>
      </c>
      <c r="C11" s="101" t="s">
        <v>76</v>
      </c>
      <c r="D11" s="102">
        <v>2.25</v>
      </c>
      <c r="E11" s="191">
        <f>J11*K11*L11</f>
        <v>0.11386242251999998</v>
      </c>
      <c r="F11" s="103" t="s">
        <v>41</v>
      </c>
      <c r="G11" s="103"/>
      <c r="H11" s="104"/>
      <c r="I11" s="105" t="s">
        <v>181</v>
      </c>
      <c r="J11" s="119">
        <f xml:space="preserve"> 3.1416*(0.0075^2-0.006^2)</f>
        <v>6.3617399999999985E-5</v>
      </c>
      <c r="K11" s="106">
        <v>0.22800000000000001</v>
      </c>
      <c r="L11" s="100">
        <v>7850</v>
      </c>
      <c r="M11" s="192">
        <v>1</v>
      </c>
      <c r="N11" s="102">
        <f>D11*E11</f>
        <v>0.25619045066999996</v>
      </c>
      <c r="O11" s="280"/>
    </row>
    <row r="12" spans="1:15" x14ac:dyDescent="0.3">
      <c r="A12" s="408">
        <v>20</v>
      </c>
      <c r="B12" s="39" t="s">
        <v>121</v>
      </c>
      <c r="C12" s="40"/>
      <c r="D12" s="48">
        <v>10</v>
      </c>
      <c r="E12" s="43">
        <f>90*10^-4</f>
        <v>9.0000000000000011E-3</v>
      </c>
      <c r="F12" s="49" t="s">
        <v>117</v>
      </c>
      <c r="G12" s="21"/>
      <c r="H12" s="41"/>
      <c r="I12" s="42"/>
      <c r="J12" s="43">
        <f>90*10^-4</f>
        <v>9.0000000000000011E-3</v>
      </c>
      <c r="K12" s="41"/>
      <c r="L12" s="44"/>
      <c r="M12" s="44"/>
      <c r="N12" s="45">
        <f>E12*D12</f>
        <v>9.0000000000000011E-2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0.34619045066999998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x14ac:dyDescent="0.3">
      <c r="A16" s="409">
        <v>10</v>
      </c>
      <c r="B16" s="26" t="s">
        <v>46</v>
      </c>
      <c r="C16" s="120" t="s">
        <v>194</v>
      </c>
      <c r="D16" s="28">
        <v>1.3</v>
      </c>
      <c r="E16" s="26" t="s">
        <v>129</v>
      </c>
      <c r="F16" s="24">
        <v>1</v>
      </c>
      <c r="G16" s="24" t="s">
        <v>89</v>
      </c>
      <c r="H16" s="24">
        <v>0.5</v>
      </c>
      <c r="I16" s="25">
        <f>H16*D16</f>
        <v>0.65</v>
      </c>
      <c r="J16" s="394"/>
      <c r="K16" s="394"/>
      <c r="L16" s="394"/>
      <c r="M16" s="394"/>
      <c r="N16" s="394"/>
      <c r="O16" s="280"/>
    </row>
    <row r="17" spans="1:15" x14ac:dyDescent="0.3">
      <c r="A17" s="409">
        <v>20</v>
      </c>
      <c r="B17" s="20" t="s">
        <v>120</v>
      </c>
      <c r="C17" s="23" t="s">
        <v>217</v>
      </c>
      <c r="D17" s="107">
        <v>0.01</v>
      </c>
      <c r="E17" s="23" t="s">
        <v>49</v>
      </c>
      <c r="F17" s="23">
        <v>4.9000000000000004</v>
      </c>
      <c r="G17" s="23"/>
      <c r="H17" s="23"/>
      <c r="I17" s="110">
        <f>F17*D17</f>
        <v>4.9000000000000002E-2</v>
      </c>
      <c r="J17" s="394"/>
      <c r="K17" s="394"/>
      <c r="L17" s="394"/>
      <c r="M17" s="394"/>
      <c r="N17" s="394"/>
      <c r="O17" s="280"/>
    </row>
    <row r="18" spans="1:15" x14ac:dyDescent="0.3">
      <c r="A18" s="409">
        <v>30</v>
      </c>
      <c r="B18" s="22" t="s">
        <v>52</v>
      </c>
      <c r="C18" s="111" t="s">
        <v>218</v>
      </c>
      <c r="D18" s="28">
        <v>0.65</v>
      </c>
      <c r="E18" s="26" t="s">
        <v>43</v>
      </c>
      <c r="F18" s="24">
        <v>1</v>
      </c>
      <c r="G18" s="24" t="s">
        <v>89</v>
      </c>
      <c r="H18" s="24">
        <v>0.5</v>
      </c>
      <c r="I18" s="25">
        <f>IF(H18="",D18*F18,D18*F18*H18)</f>
        <v>0.32500000000000001</v>
      </c>
      <c r="J18" s="394"/>
      <c r="K18" s="394"/>
      <c r="L18" s="394"/>
      <c r="M18" s="394"/>
      <c r="N18" s="394"/>
      <c r="O18" s="280"/>
    </row>
    <row r="19" spans="1:15" x14ac:dyDescent="0.3">
      <c r="A19" s="409">
        <v>40</v>
      </c>
      <c r="B19" s="20" t="s">
        <v>120</v>
      </c>
      <c r="C19" s="111" t="s">
        <v>218</v>
      </c>
      <c r="D19" s="107">
        <v>0.01</v>
      </c>
      <c r="E19" s="23" t="s">
        <v>49</v>
      </c>
      <c r="F19" s="23">
        <v>4.7</v>
      </c>
      <c r="G19" s="23"/>
      <c r="H19" s="23"/>
      <c r="I19" s="110">
        <f>F19*D19</f>
        <v>4.7E-2</v>
      </c>
      <c r="J19" s="394"/>
      <c r="K19" s="394"/>
      <c r="L19" s="394"/>
      <c r="M19" s="394"/>
      <c r="N19" s="394"/>
      <c r="O19" s="280"/>
    </row>
    <row r="20" spans="1:15" x14ac:dyDescent="0.3">
      <c r="A20" s="409">
        <v>50</v>
      </c>
      <c r="B20" s="22" t="s">
        <v>115</v>
      </c>
      <c r="C20" s="23" t="s">
        <v>163</v>
      </c>
      <c r="D20" s="30">
        <v>5.25</v>
      </c>
      <c r="E20" s="22" t="s">
        <v>117</v>
      </c>
      <c r="F20" s="51">
        <f>E12</f>
        <v>9.0000000000000011E-3</v>
      </c>
      <c r="G20" s="22"/>
      <c r="H20" s="24"/>
      <c r="I20" s="25">
        <f>D20*F20</f>
        <v>4.7250000000000007E-2</v>
      </c>
      <c r="J20" s="394"/>
      <c r="K20" s="394"/>
      <c r="L20" s="394"/>
      <c r="M20" s="394"/>
      <c r="N20" s="394"/>
      <c r="O20" s="280"/>
    </row>
    <row r="21" spans="1:15" x14ac:dyDescent="0.3">
      <c r="A21" s="403"/>
      <c r="B21" s="404"/>
      <c r="C21" s="404"/>
      <c r="D21" s="404"/>
      <c r="E21" s="404"/>
      <c r="F21" s="404"/>
      <c r="G21" s="404"/>
      <c r="H21" s="57" t="s">
        <v>23</v>
      </c>
      <c r="I21" s="58">
        <f>SUM(I16:I20)</f>
        <v>1.11825</v>
      </c>
      <c r="J21" s="404"/>
      <c r="K21" s="404"/>
      <c r="L21" s="404"/>
      <c r="M21" s="404"/>
      <c r="N21" s="404"/>
      <c r="O21" s="280"/>
    </row>
    <row r="22" spans="1:15" x14ac:dyDescent="0.3">
      <c r="A22" s="391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ht="15" thickBot="1" x14ac:dyDescent="0.35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BOM!A1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29"/>
  <sheetViews>
    <sheetView tabSelected="1" topLeftCell="A4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6.6640625" bestFit="1" customWidth="1"/>
    <col min="3" max="3" width="45.66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9" width="10.8867187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E13+N18+I23+J27</f>
        <v>43.029432899961208</v>
      </c>
      <c r="O2" s="280"/>
    </row>
    <row r="3" spans="1:15" x14ac:dyDescent="0.3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1</v>
      </c>
      <c r="O3" s="280"/>
    </row>
    <row r="4" spans="1:15" x14ac:dyDescent="0.3">
      <c r="A4" s="279" t="s">
        <v>8</v>
      </c>
      <c r="B4" s="1" t="s">
        <v>302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3">
      <c r="A5" s="279" t="s">
        <v>11</v>
      </c>
      <c r="B5" s="6" t="s">
        <v>303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43.029432899961208</v>
      </c>
      <c r="O5" s="280"/>
    </row>
    <row r="6" spans="1:15" x14ac:dyDescent="0.3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3">
      <c r="A7" s="279" t="s">
        <v>17</v>
      </c>
      <c r="B7" s="1" t="s">
        <v>18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3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3">
      <c r="A9" s="282" t="s">
        <v>19</v>
      </c>
      <c r="B9" s="64" t="s">
        <v>20</v>
      </c>
      <c r="C9" s="64" t="s">
        <v>21</v>
      </c>
      <c r="D9" s="64" t="s">
        <v>22</v>
      </c>
      <c r="E9" s="64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422">
        <v>10</v>
      </c>
      <c r="B10" s="260" t="s">
        <v>238</v>
      </c>
      <c r="C10" s="28">
        <f>'ST 03001'!N2</f>
        <v>12.884957426641209</v>
      </c>
      <c r="D10" s="130">
        <v>1</v>
      </c>
      <c r="E10" s="131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3">
      <c r="A11" s="422">
        <v>20</v>
      </c>
      <c r="B11" s="132" t="s">
        <v>239</v>
      </c>
      <c r="C11" s="28">
        <f>'ST 03002'!N2</f>
        <v>15.469065601320001</v>
      </c>
      <c r="D11" s="130">
        <v>1</v>
      </c>
      <c r="E11" s="131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3">
      <c r="A12" s="422">
        <v>30</v>
      </c>
      <c r="B12" s="132" t="s">
        <v>240</v>
      </c>
      <c r="C12" s="28">
        <f>'ST 03003'!N2</f>
        <v>12.940409872</v>
      </c>
      <c r="D12" s="130">
        <v>1</v>
      </c>
      <c r="E12" s="131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3">
      <c r="A13" s="283"/>
      <c r="B13" s="1"/>
      <c r="C13" s="1"/>
      <c r="D13" s="144" t="s">
        <v>23</v>
      </c>
      <c r="E13" s="145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28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80"/>
    </row>
    <row r="15" spans="1:15" x14ac:dyDescent="0.3">
      <c r="A15" s="282" t="s">
        <v>19</v>
      </c>
      <c r="B15" s="64" t="s">
        <v>28</v>
      </c>
      <c r="C15" s="64" t="s">
        <v>29</v>
      </c>
      <c r="D15" s="64" t="s">
        <v>30</v>
      </c>
      <c r="E15" s="64" t="s">
        <v>31</v>
      </c>
      <c r="F15" s="64" t="s">
        <v>32</v>
      </c>
      <c r="G15" s="64" t="s">
        <v>33</v>
      </c>
      <c r="H15" s="64" t="s">
        <v>34</v>
      </c>
      <c r="I15" s="64" t="s">
        <v>35</v>
      </c>
      <c r="J15" s="64" t="s">
        <v>36</v>
      </c>
      <c r="K15" s="64" t="s">
        <v>37</v>
      </c>
      <c r="L15" s="64" t="s">
        <v>38</v>
      </c>
      <c r="M15" s="64" t="s">
        <v>22</v>
      </c>
      <c r="N15" s="64" t="s">
        <v>23</v>
      </c>
      <c r="O15" s="280"/>
    </row>
    <row r="16" spans="1:15" x14ac:dyDescent="0.3">
      <c r="A16" s="422">
        <v>10</v>
      </c>
      <c r="B16" s="31" t="s">
        <v>241</v>
      </c>
      <c r="C16" s="31" t="s">
        <v>242</v>
      </c>
      <c r="D16" s="28">
        <v>1</v>
      </c>
      <c r="E16" s="31"/>
      <c r="F16" s="31"/>
      <c r="G16" s="31"/>
      <c r="H16" s="41"/>
      <c r="I16" s="133"/>
      <c r="J16" s="134"/>
      <c r="K16" s="41"/>
      <c r="L16" s="41"/>
      <c r="M16" s="44">
        <v>1</v>
      </c>
      <c r="N16" s="135">
        <f>IF(J16="",D16*M16,D16*J16*K16*L16*M16)</f>
        <v>1</v>
      </c>
      <c r="O16" s="280"/>
    </row>
    <row r="17" spans="1:15" x14ac:dyDescent="0.3">
      <c r="A17" s="422">
        <v>20</v>
      </c>
      <c r="B17" s="31" t="s">
        <v>243</v>
      </c>
      <c r="C17" s="31" t="s">
        <v>244</v>
      </c>
      <c r="D17" s="28">
        <v>0.06</v>
      </c>
      <c r="E17" s="31"/>
      <c r="F17" s="31"/>
      <c r="G17" s="31"/>
      <c r="H17" s="41"/>
      <c r="I17" s="133"/>
      <c r="J17" s="134"/>
      <c r="K17" s="41"/>
      <c r="L17" s="41"/>
      <c r="M17" s="44">
        <v>4</v>
      </c>
      <c r="N17" s="135">
        <f>IF(J17="",D17*M17,D17*J17*K17*L17*M17)</f>
        <v>0.24</v>
      </c>
      <c r="O17" s="280"/>
    </row>
    <row r="18" spans="1:15" x14ac:dyDescent="0.3">
      <c r="A18" s="286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144" t="s">
        <v>23</v>
      </c>
      <c r="N18" s="145">
        <f>SUM(N16:N17)</f>
        <v>1.24</v>
      </c>
      <c r="O18" s="280"/>
    </row>
    <row r="19" spans="1:15" x14ac:dyDescent="0.3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3">
      <c r="A20" s="282" t="s">
        <v>19</v>
      </c>
      <c r="B20" s="64" t="s">
        <v>42</v>
      </c>
      <c r="C20" s="64" t="s">
        <v>29</v>
      </c>
      <c r="D20" s="64" t="s">
        <v>30</v>
      </c>
      <c r="E20" s="64" t="s">
        <v>43</v>
      </c>
      <c r="F20" s="64" t="s">
        <v>22</v>
      </c>
      <c r="G20" s="64" t="s">
        <v>44</v>
      </c>
      <c r="H20" s="64" t="s">
        <v>45</v>
      </c>
      <c r="I20" s="64" t="s">
        <v>23</v>
      </c>
      <c r="J20" s="34"/>
      <c r="K20" s="34"/>
      <c r="L20" s="34"/>
      <c r="M20" s="34"/>
      <c r="N20" s="34"/>
      <c r="O20" s="280"/>
    </row>
    <row r="21" spans="1:15" x14ac:dyDescent="0.3">
      <c r="A21" s="422">
        <v>10</v>
      </c>
      <c r="B21" s="130" t="s">
        <v>227</v>
      </c>
      <c r="C21" s="130" t="s">
        <v>245</v>
      </c>
      <c r="D21" s="28">
        <v>0.19</v>
      </c>
      <c r="E21" s="31" t="s">
        <v>129</v>
      </c>
      <c r="F21" s="31">
        <v>1</v>
      </c>
      <c r="G21" s="31"/>
      <c r="H21" s="31">
        <v>1</v>
      </c>
      <c r="I21" s="28">
        <f>D21*F21*H21</f>
        <v>0.19</v>
      </c>
      <c r="J21" s="1"/>
      <c r="K21" s="1"/>
      <c r="L21" s="1"/>
      <c r="M21" s="1"/>
      <c r="N21" s="1"/>
      <c r="O21" s="280"/>
    </row>
    <row r="22" spans="1:15" x14ac:dyDescent="0.3">
      <c r="A22" s="422">
        <v>20</v>
      </c>
      <c r="B22" s="130" t="s">
        <v>229</v>
      </c>
      <c r="C22" s="130" t="s">
        <v>246</v>
      </c>
      <c r="D22" s="28">
        <v>0.13</v>
      </c>
      <c r="E22" s="31" t="s">
        <v>129</v>
      </c>
      <c r="F22" s="31">
        <v>1</v>
      </c>
      <c r="G22" s="31"/>
      <c r="H22" s="31">
        <v>1</v>
      </c>
      <c r="I22" s="28">
        <f>D22*F22*H22</f>
        <v>0.13</v>
      </c>
      <c r="J22" s="1"/>
      <c r="K22" s="1"/>
      <c r="L22" s="1"/>
      <c r="M22" s="1"/>
      <c r="N22" s="1"/>
      <c r="O22" s="280"/>
    </row>
    <row r="23" spans="1:15" x14ac:dyDescent="0.3">
      <c r="A23" s="286"/>
      <c r="B23" s="34"/>
      <c r="C23" s="34"/>
      <c r="D23" s="34"/>
      <c r="E23" s="34"/>
      <c r="F23" s="34"/>
      <c r="G23" s="34"/>
      <c r="H23" s="144" t="s">
        <v>23</v>
      </c>
      <c r="I23" s="145">
        <f>SUM(I21:I22)</f>
        <v>0.32</v>
      </c>
      <c r="J23" s="34"/>
      <c r="K23" s="34"/>
      <c r="L23" s="136"/>
      <c r="M23" s="34"/>
      <c r="N23" s="34"/>
      <c r="O23" s="280"/>
    </row>
    <row r="24" spans="1:15" x14ac:dyDescent="0.3">
      <c r="A24" s="28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80"/>
    </row>
    <row r="25" spans="1:15" x14ac:dyDescent="0.3">
      <c r="A25" s="282" t="s">
        <v>19</v>
      </c>
      <c r="B25" s="64" t="s">
        <v>63</v>
      </c>
      <c r="C25" s="64" t="s">
        <v>29</v>
      </c>
      <c r="D25" s="64" t="s">
        <v>30</v>
      </c>
      <c r="E25" s="64" t="s">
        <v>31</v>
      </c>
      <c r="F25" s="64" t="s">
        <v>32</v>
      </c>
      <c r="G25" s="64" t="s">
        <v>33</v>
      </c>
      <c r="H25" s="64" t="s">
        <v>34</v>
      </c>
      <c r="I25" s="64" t="s">
        <v>22</v>
      </c>
      <c r="J25" s="64" t="s">
        <v>23</v>
      </c>
      <c r="K25" s="34"/>
      <c r="L25" s="34"/>
      <c r="M25" s="34"/>
      <c r="N25" s="34"/>
      <c r="O25" s="280"/>
    </row>
    <row r="26" spans="1:15" x14ac:dyDescent="0.3">
      <c r="A26" s="422">
        <v>10</v>
      </c>
      <c r="B26" s="31" t="s">
        <v>247</v>
      </c>
      <c r="C26" s="31" t="s">
        <v>248</v>
      </c>
      <c r="D26" s="28">
        <f>0.00018*(E26^2)+0.013</f>
        <v>0.17500000000000002</v>
      </c>
      <c r="E26" s="31">
        <v>30</v>
      </c>
      <c r="F26" s="137" t="s">
        <v>62</v>
      </c>
      <c r="G26" s="31"/>
      <c r="H26" s="130"/>
      <c r="I26" s="138">
        <v>1</v>
      </c>
      <c r="J26" s="135">
        <f>D26*I26</f>
        <v>0.17500000000000002</v>
      </c>
      <c r="K26" s="1"/>
      <c r="L26" s="1"/>
      <c r="M26" s="1"/>
      <c r="N26" s="1"/>
      <c r="O26" s="280"/>
    </row>
    <row r="27" spans="1:15" x14ac:dyDescent="0.3">
      <c r="A27" s="286"/>
      <c r="B27" s="34"/>
      <c r="C27" s="34"/>
      <c r="D27" s="34"/>
      <c r="E27" s="34"/>
      <c r="F27" s="34"/>
      <c r="G27" s="34"/>
      <c r="H27" s="34"/>
      <c r="I27" s="144" t="s">
        <v>23</v>
      </c>
      <c r="J27" s="146">
        <f>SUM(J26:J26)</f>
        <v>0.17500000000000002</v>
      </c>
      <c r="K27" s="34"/>
      <c r="L27" s="34"/>
      <c r="M27" s="34"/>
      <c r="N27" s="34"/>
      <c r="O27" s="280"/>
    </row>
    <row r="28" spans="1:15" x14ac:dyDescent="0.3">
      <c r="A28" s="391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280"/>
    </row>
    <row r="29" spans="1:15" ht="15" thickBot="1" x14ac:dyDescent="0.35">
      <c r="A29" s="312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292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  <hyperlink ref="G2" location="BOM!A1" display="Back to BOM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5.109375" bestFit="1" customWidth="1"/>
    <col min="3" max="3" width="20" bestFit="1" customWidth="1"/>
    <col min="4" max="4" width="8.88671875" bestFit="1" customWidth="1"/>
    <col min="5" max="5" width="5.5546875" bestFit="1" customWidth="1"/>
    <col min="6" max="6" width="12" bestFit="1" customWidth="1"/>
    <col min="7" max="7" width="14.44140625" bestFit="1" customWidth="1"/>
    <col min="8" max="8" width="9.6640625" bestFit="1" customWidth="1"/>
    <col min="9" max="9" width="12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N12+I25</f>
        <v>12.884957426641209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6" t="s">
        <v>238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12.884957426641209</v>
      </c>
      <c r="O5" s="280"/>
    </row>
    <row r="6" spans="1:15" x14ac:dyDescent="0.3">
      <c r="A6" s="310" t="s">
        <v>11</v>
      </c>
      <c r="B6" s="1" t="s">
        <v>250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28.8" x14ac:dyDescent="0.3">
      <c r="A11" s="402">
        <v>10</v>
      </c>
      <c r="B11" s="11" t="s">
        <v>39</v>
      </c>
      <c r="C11" s="149" t="s">
        <v>76</v>
      </c>
      <c r="D11" s="13">
        <v>2.25</v>
      </c>
      <c r="E11" s="14">
        <f>J11*K11*L11</f>
        <v>0.48166996739609136</v>
      </c>
      <c r="F11" s="10" t="s">
        <v>41</v>
      </c>
      <c r="G11" s="10"/>
      <c r="H11" s="15"/>
      <c r="I11" s="150" t="s">
        <v>251</v>
      </c>
      <c r="J11" s="151">
        <f>PI()*12.5*12.5/1000000</f>
        <v>4.9087385212340522E-4</v>
      </c>
      <c r="K11" s="152">
        <v>0.125</v>
      </c>
      <c r="L11" s="18">
        <v>7850</v>
      </c>
      <c r="M11" s="18">
        <v>1</v>
      </c>
      <c r="N11" s="19">
        <f>IF(J11="",D11*M11,D11*J11*K11*L11*M11)</f>
        <v>1.0837574266412056</v>
      </c>
      <c r="O11" s="28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1.0837574266412056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28.8" x14ac:dyDescent="0.3">
      <c r="A15" s="405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 t="shared" ref="I15:I23" si="0">IF(H15="",D15*F15,D15*F15*H15)</f>
        <v>1.3</v>
      </c>
      <c r="J15" s="1"/>
      <c r="K15" s="1"/>
      <c r="L15" s="1"/>
      <c r="M15" s="1"/>
      <c r="N15" s="1"/>
      <c r="O15" s="280"/>
    </row>
    <row r="16" spans="1:15" ht="28.8" x14ac:dyDescent="0.3">
      <c r="A16" s="405">
        <v>20</v>
      </c>
      <c r="B16" s="108" t="s">
        <v>47</v>
      </c>
      <c r="C16" s="153" t="s">
        <v>253</v>
      </c>
      <c r="D16" s="13">
        <v>0.04</v>
      </c>
      <c r="E16" s="108" t="s">
        <v>48</v>
      </c>
      <c r="F16" s="109">
        <v>49</v>
      </c>
      <c r="G16" s="109" t="s">
        <v>254</v>
      </c>
      <c r="H16" s="109">
        <v>3</v>
      </c>
      <c r="I16" s="114">
        <f t="shared" si="0"/>
        <v>5.88</v>
      </c>
      <c r="J16" s="1"/>
      <c r="K16" s="1"/>
      <c r="L16" s="1"/>
      <c r="M16" s="1"/>
      <c r="N16" s="1"/>
      <c r="O16" s="280"/>
    </row>
    <row r="17" spans="1:15" ht="28.8" x14ac:dyDescent="0.3">
      <c r="A17" s="405">
        <v>30</v>
      </c>
      <c r="B17" s="108" t="s">
        <v>47</v>
      </c>
      <c r="C17" s="153" t="s">
        <v>255</v>
      </c>
      <c r="D17" s="13">
        <v>0.04</v>
      </c>
      <c r="E17" s="108" t="s">
        <v>48</v>
      </c>
      <c r="F17" s="109">
        <v>2.4500000000000002</v>
      </c>
      <c r="G17" s="109" t="s">
        <v>254</v>
      </c>
      <c r="H17" s="109">
        <v>3</v>
      </c>
      <c r="I17" s="114">
        <f t="shared" si="0"/>
        <v>0.29400000000000004</v>
      </c>
      <c r="J17" s="1"/>
      <c r="K17" s="1"/>
      <c r="L17" s="1"/>
      <c r="M17" s="1"/>
      <c r="N17" s="1"/>
      <c r="O17" s="280"/>
    </row>
    <row r="18" spans="1:15" ht="28.8" x14ac:dyDescent="0.3">
      <c r="A18" s="405">
        <v>40</v>
      </c>
      <c r="B18" s="36" t="s">
        <v>52</v>
      </c>
      <c r="C18" s="153" t="s">
        <v>256</v>
      </c>
      <c r="D18" s="13">
        <v>0.65</v>
      </c>
      <c r="E18" s="108" t="s">
        <v>43</v>
      </c>
      <c r="F18" s="109">
        <v>1</v>
      </c>
      <c r="G18" s="109"/>
      <c r="H18" s="109">
        <v>1</v>
      </c>
      <c r="I18" s="114">
        <f t="shared" si="0"/>
        <v>0.65</v>
      </c>
      <c r="J18" s="1"/>
      <c r="K18" s="1"/>
      <c r="L18" s="1"/>
      <c r="M18" s="1"/>
      <c r="N18" s="1"/>
      <c r="O18" s="280"/>
    </row>
    <row r="19" spans="1:15" x14ac:dyDescent="0.3">
      <c r="A19" s="405">
        <v>50</v>
      </c>
      <c r="B19" s="108" t="s">
        <v>47</v>
      </c>
      <c r="C19" s="153" t="s">
        <v>257</v>
      </c>
      <c r="D19" s="13">
        <v>0.04</v>
      </c>
      <c r="E19" s="108" t="s">
        <v>48</v>
      </c>
      <c r="F19" s="109">
        <v>5.53</v>
      </c>
      <c r="G19" s="109" t="s">
        <v>254</v>
      </c>
      <c r="H19" s="109">
        <v>3</v>
      </c>
      <c r="I19" s="114">
        <f t="shared" si="0"/>
        <v>0.66359999999999997</v>
      </c>
      <c r="J19" s="1"/>
      <c r="K19" s="1"/>
      <c r="L19" s="1"/>
      <c r="M19" s="1"/>
      <c r="N19" s="1"/>
      <c r="O19" s="280"/>
    </row>
    <row r="20" spans="1:15" ht="28.8" x14ac:dyDescent="0.3">
      <c r="A20" s="405">
        <v>60</v>
      </c>
      <c r="B20" s="36" t="s">
        <v>52</v>
      </c>
      <c r="C20" s="153" t="s">
        <v>258</v>
      </c>
      <c r="D20" s="13">
        <v>0.65</v>
      </c>
      <c r="E20" s="108" t="s">
        <v>43</v>
      </c>
      <c r="F20" s="109">
        <v>1</v>
      </c>
      <c r="G20" s="109"/>
      <c r="H20" s="109">
        <v>1</v>
      </c>
      <c r="I20" s="114">
        <f t="shared" si="0"/>
        <v>0.65</v>
      </c>
      <c r="J20" s="1"/>
      <c r="K20" s="1"/>
      <c r="L20" s="1"/>
      <c r="M20" s="1"/>
      <c r="N20" s="1"/>
      <c r="O20" s="280"/>
    </row>
    <row r="21" spans="1:15" x14ac:dyDescent="0.3">
      <c r="A21" s="405">
        <v>70</v>
      </c>
      <c r="B21" s="108" t="s">
        <v>47</v>
      </c>
      <c r="C21" s="153" t="s">
        <v>259</v>
      </c>
      <c r="D21" s="13">
        <v>0.04</v>
      </c>
      <c r="E21" s="108" t="s">
        <v>48</v>
      </c>
      <c r="F21" s="109">
        <v>5.53</v>
      </c>
      <c r="G21" s="109" t="s">
        <v>254</v>
      </c>
      <c r="H21" s="109">
        <v>3</v>
      </c>
      <c r="I21" s="114">
        <f t="shared" si="0"/>
        <v>0.66359999999999997</v>
      </c>
      <c r="J21" s="1"/>
      <c r="K21" s="1"/>
      <c r="L21" s="1"/>
      <c r="M21" s="1"/>
      <c r="N21" s="1"/>
      <c r="O21" s="280"/>
    </row>
    <row r="22" spans="1:15" ht="28.8" x14ac:dyDescent="0.3">
      <c r="A22" s="405">
        <v>80</v>
      </c>
      <c r="B22" s="36" t="s">
        <v>52</v>
      </c>
      <c r="C22" s="153" t="s">
        <v>260</v>
      </c>
      <c r="D22" s="13">
        <v>0.65</v>
      </c>
      <c r="E22" s="108" t="s">
        <v>43</v>
      </c>
      <c r="F22" s="109">
        <v>1</v>
      </c>
      <c r="G22" s="109"/>
      <c r="H22" s="109">
        <v>1</v>
      </c>
      <c r="I22" s="114">
        <f t="shared" si="0"/>
        <v>0.65</v>
      </c>
      <c r="J22" s="1"/>
      <c r="K22" s="1"/>
      <c r="L22" s="1"/>
      <c r="M22" s="1"/>
      <c r="N22" s="1"/>
      <c r="O22" s="280"/>
    </row>
    <row r="23" spans="1:15" x14ac:dyDescent="0.3">
      <c r="A23" s="390">
        <v>90</v>
      </c>
      <c r="B23" s="36" t="s">
        <v>55</v>
      </c>
      <c r="C23" s="36" t="s">
        <v>261</v>
      </c>
      <c r="D23" s="13">
        <v>0.5</v>
      </c>
      <c r="E23" s="7" t="s">
        <v>49</v>
      </c>
      <c r="F23" s="7">
        <v>2.1</v>
      </c>
      <c r="G23" s="7"/>
      <c r="H23" s="7"/>
      <c r="I23" s="114">
        <f t="shared" si="0"/>
        <v>1.05</v>
      </c>
      <c r="J23" s="1"/>
      <c r="K23" s="1"/>
      <c r="L23" s="1"/>
      <c r="M23" s="1"/>
      <c r="N23" s="1"/>
      <c r="O23" s="280"/>
    </row>
    <row r="24" spans="1:15" x14ac:dyDescent="0.3">
      <c r="A24" s="390">
        <v>100</v>
      </c>
      <c r="B24" s="36" t="s">
        <v>262</v>
      </c>
      <c r="C24" s="36" t="s">
        <v>263</v>
      </c>
      <c r="D24" s="13">
        <v>0</v>
      </c>
      <c r="E24" s="7" t="s">
        <v>150</v>
      </c>
      <c r="F24" s="7"/>
      <c r="G24" s="7"/>
      <c r="H24" s="7"/>
      <c r="I24" s="154" t="s">
        <v>264</v>
      </c>
      <c r="J24" s="1"/>
      <c r="K24" s="1"/>
      <c r="L24" s="1"/>
      <c r="M24" s="1"/>
      <c r="N24" s="1"/>
      <c r="O24" s="280"/>
    </row>
    <row r="25" spans="1:15" x14ac:dyDescent="0.3">
      <c r="A25" s="286"/>
      <c r="B25" s="34"/>
      <c r="C25" s="34"/>
      <c r="D25" s="34"/>
      <c r="E25" s="34"/>
      <c r="F25" s="34"/>
      <c r="G25" s="34"/>
      <c r="H25" s="178" t="s">
        <v>23</v>
      </c>
      <c r="I25" s="180">
        <f>SUM(I15:I24)</f>
        <v>11.801200000000003</v>
      </c>
      <c r="J25" s="34"/>
      <c r="K25" s="34"/>
      <c r="L25" s="34"/>
      <c r="M25" s="34"/>
      <c r="N25" s="34"/>
      <c r="O25" s="280"/>
    </row>
    <row r="26" spans="1:15" ht="15" thickBot="1" x14ac:dyDescent="0.35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BOM!A1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" bestFit="1" customWidth="1"/>
    <col min="3" max="3" width="16.33203125" bestFit="1" customWidth="1"/>
    <col min="4" max="4" width="8.88671875" bestFit="1" customWidth="1"/>
    <col min="5" max="5" width="5.5546875" bestFit="1" customWidth="1"/>
    <col min="6" max="6" width="12" bestFit="1" customWidth="1"/>
    <col min="7" max="7" width="19.33203125" bestFit="1" customWidth="1"/>
    <col min="8" max="8" width="9.6640625" bestFit="1" customWidth="1"/>
    <col min="9" max="9" width="12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N12+I22</f>
        <v>15.469065601320001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6" t="s">
        <v>239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15.469065601320001</v>
      </c>
      <c r="O5" s="280"/>
    </row>
    <row r="6" spans="1:15" x14ac:dyDescent="0.3">
      <c r="A6" s="310" t="s">
        <v>11</v>
      </c>
      <c r="B6" s="1" t="s">
        <v>265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28.8" x14ac:dyDescent="0.3">
      <c r="A11" s="402">
        <v>10</v>
      </c>
      <c r="B11" s="11" t="s">
        <v>266</v>
      </c>
      <c r="C11" s="149" t="s">
        <v>267</v>
      </c>
      <c r="D11" s="13">
        <v>4.2</v>
      </c>
      <c r="E11" s="14">
        <f>J11*K11*L11</f>
        <v>0.59025371459999987</v>
      </c>
      <c r="F11" s="10" t="s">
        <v>41</v>
      </c>
      <c r="G11" s="10"/>
      <c r="H11" s="15"/>
      <c r="I11" s="16" t="s">
        <v>268</v>
      </c>
      <c r="J11" s="17">
        <f>3.14*0.0355^2</f>
        <v>3.9571849999999993E-3</v>
      </c>
      <c r="K11" s="152">
        <v>5.5E-2</v>
      </c>
      <c r="L11" s="18">
        <v>2712</v>
      </c>
      <c r="M11" s="18">
        <v>1</v>
      </c>
      <c r="N11" s="19">
        <f>IF(J11="",D11*M11,D11*J11*K11*L11*M11)</f>
        <v>2.4790656013199994</v>
      </c>
      <c r="O11" s="28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2.4790656013199994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28.8" x14ac:dyDescent="0.3">
      <c r="A15" s="405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 t="shared" ref="I15:I20" si="0">IF(H15="",D15*F15,D15*F15*H15)</f>
        <v>1.3</v>
      </c>
      <c r="J15" s="1"/>
      <c r="K15" s="1"/>
      <c r="L15" s="1"/>
      <c r="M15" s="1"/>
      <c r="N15" s="1"/>
      <c r="O15" s="280"/>
    </row>
    <row r="16" spans="1:15" x14ac:dyDescent="0.3">
      <c r="A16" s="405">
        <v>20</v>
      </c>
      <c r="B16" s="108" t="s">
        <v>47</v>
      </c>
      <c r="C16" s="153" t="s">
        <v>269</v>
      </c>
      <c r="D16" s="13">
        <v>0.04</v>
      </c>
      <c r="E16" s="108" t="s">
        <v>48</v>
      </c>
      <c r="F16" s="109">
        <v>151</v>
      </c>
      <c r="G16" s="153" t="s">
        <v>270</v>
      </c>
      <c r="H16" s="109">
        <v>1</v>
      </c>
      <c r="I16" s="114">
        <f t="shared" si="0"/>
        <v>6.04</v>
      </c>
      <c r="J16" s="1"/>
      <c r="K16" s="1"/>
      <c r="L16" s="1"/>
      <c r="M16" s="1"/>
      <c r="N16" s="1"/>
      <c r="O16" s="280"/>
    </row>
    <row r="17" spans="1:15" ht="28.8" x14ac:dyDescent="0.3">
      <c r="A17" s="405">
        <v>30</v>
      </c>
      <c r="B17" s="108" t="s">
        <v>46</v>
      </c>
      <c r="C17" s="153" t="s">
        <v>271</v>
      </c>
      <c r="D17" s="13">
        <v>1.3</v>
      </c>
      <c r="E17" s="108" t="s">
        <v>43</v>
      </c>
      <c r="F17" s="109">
        <v>1</v>
      </c>
      <c r="G17" s="153"/>
      <c r="H17" s="109"/>
      <c r="I17" s="114">
        <f t="shared" si="0"/>
        <v>1.3</v>
      </c>
      <c r="J17" s="1"/>
      <c r="K17" s="1"/>
      <c r="L17" s="1"/>
      <c r="M17" s="1"/>
      <c r="N17" s="1"/>
      <c r="O17" s="280"/>
    </row>
    <row r="18" spans="1:15" ht="28.8" x14ac:dyDescent="0.3">
      <c r="A18" s="405">
        <v>40</v>
      </c>
      <c r="B18" s="108" t="s">
        <v>98</v>
      </c>
      <c r="C18" s="153"/>
      <c r="D18" s="13">
        <v>0.35</v>
      </c>
      <c r="E18" s="108" t="s">
        <v>43</v>
      </c>
      <c r="F18" s="109">
        <v>3</v>
      </c>
      <c r="G18" s="153"/>
      <c r="H18" s="109"/>
      <c r="I18" s="114">
        <f t="shared" si="0"/>
        <v>1.0499999999999998</v>
      </c>
      <c r="J18" s="1"/>
      <c r="K18" s="1"/>
      <c r="L18" s="1"/>
      <c r="M18" s="1"/>
      <c r="N18" s="1"/>
      <c r="O18" s="280"/>
    </row>
    <row r="19" spans="1:15" ht="28.8" x14ac:dyDescent="0.3">
      <c r="A19" s="405">
        <v>50</v>
      </c>
      <c r="B19" s="108" t="s">
        <v>46</v>
      </c>
      <c r="C19" s="153" t="s">
        <v>271</v>
      </c>
      <c r="D19" s="13">
        <v>1.3</v>
      </c>
      <c r="E19" s="108" t="s">
        <v>43</v>
      </c>
      <c r="F19" s="109">
        <v>1</v>
      </c>
      <c r="G19" s="153"/>
      <c r="H19" s="109"/>
      <c r="I19" s="114">
        <f t="shared" si="0"/>
        <v>1.3</v>
      </c>
      <c r="J19" s="1"/>
      <c r="K19" s="1"/>
      <c r="L19" s="1"/>
      <c r="M19" s="1"/>
      <c r="N19" s="1"/>
      <c r="O19" s="280"/>
    </row>
    <row r="20" spans="1:15" x14ac:dyDescent="0.3">
      <c r="A20" s="390">
        <v>60</v>
      </c>
      <c r="B20" s="36" t="s">
        <v>184</v>
      </c>
      <c r="C20" s="36" t="s">
        <v>272</v>
      </c>
      <c r="D20" s="8">
        <v>0.5</v>
      </c>
      <c r="E20" s="7" t="s">
        <v>49</v>
      </c>
      <c r="F20" s="7">
        <v>4</v>
      </c>
      <c r="G20" s="7"/>
      <c r="H20" s="7"/>
      <c r="I20" s="19">
        <f t="shared" si="0"/>
        <v>2</v>
      </c>
      <c r="J20" s="1"/>
      <c r="K20" s="1"/>
      <c r="L20" s="1"/>
      <c r="M20" s="1"/>
      <c r="N20" s="1"/>
      <c r="O20" s="280"/>
    </row>
    <row r="21" spans="1:15" x14ac:dyDescent="0.3">
      <c r="A21" s="402">
        <v>70</v>
      </c>
      <c r="B21" s="155" t="s">
        <v>262</v>
      </c>
      <c r="C21" s="155" t="s">
        <v>273</v>
      </c>
      <c r="D21" s="8">
        <v>0</v>
      </c>
      <c r="E21" s="7" t="s">
        <v>150</v>
      </c>
      <c r="F21" s="7"/>
      <c r="G21" s="7"/>
      <c r="H21" s="7"/>
      <c r="I21" s="8">
        <v>0</v>
      </c>
      <c r="J21" s="1"/>
      <c r="K21" s="1"/>
      <c r="L21" s="1"/>
      <c r="M21" s="1"/>
      <c r="N21" s="1"/>
      <c r="O21" s="280"/>
    </row>
    <row r="22" spans="1:15" x14ac:dyDescent="0.3">
      <c r="A22" s="286"/>
      <c r="B22" s="34"/>
      <c r="C22" s="34"/>
      <c r="D22" s="34"/>
      <c r="E22" s="34"/>
      <c r="F22" s="34"/>
      <c r="G22" s="34"/>
      <c r="H22" s="178" t="s">
        <v>23</v>
      </c>
      <c r="I22" s="180">
        <f>SUM(I15:I21)</f>
        <v>12.990000000000002</v>
      </c>
      <c r="J22" s="34"/>
      <c r="K22" s="34"/>
      <c r="L22" s="34"/>
      <c r="M22" s="34"/>
      <c r="N22" s="34"/>
      <c r="O22" s="280"/>
    </row>
    <row r="23" spans="1:15" ht="15" thickBot="1" x14ac:dyDescent="0.35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BOM!A1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18.88671875" bestFit="1" customWidth="1"/>
    <col min="4" max="4" width="8.88671875" bestFit="1" customWidth="1"/>
    <col min="5" max="5" width="7" bestFit="1" customWidth="1"/>
    <col min="6" max="6" width="12" bestFit="1" customWidth="1"/>
    <col min="7" max="7" width="19.33203125" bestFit="1" customWidth="1"/>
    <col min="8" max="8" width="9.6640625" bestFit="1" customWidth="1"/>
    <col min="9" max="9" width="23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147">
        <f>N12+I19</f>
        <v>12.940409872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2" t="s">
        <v>249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6" t="s">
        <v>240</v>
      </c>
      <c r="C5" s="1"/>
      <c r="D5" s="176" t="s">
        <v>16</v>
      </c>
      <c r="E5" s="1"/>
      <c r="F5" s="148"/>
      <c r="G5" s="1"/>
      <c r="H5" s="1"/>
      <c r="I5" s="1"/>
      <c r="J5" s="176" t="s">
        <v>12</v>
      </c>
      <c r="K5" s="1"/>
      <c r="L5" s="1"/>
      <c r="M5" s="176" t="s">
        <v>13</v>
      </c>
      <c r="N5" s="147">
        <f>N2*N3</f>
        <v>12.940409872</v>
      </c>
      <c r="O5" s="280"/>
    </row>
    <row r="6" spans="1:15" x14ac:dyDescent="0.3">
      <c r="A6" s="310" t="s">
        <v>11</v>
      </c>
      <c r="B6" s="1" t="s">
        <v>295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x14ac:dyDescent="0.3">
      <c r="A11" s="402">
        <v>10</v>
      </c>
      <c r="B11" s="11" t="s">
        <v>266</v>
      </c>
      <c r="C11" s="149" t="s">
        <v>267</v>
      </c>
      <c r="D11" s="13">
        <v>4.2</v>
      </c>
      <c r="E11" s="156">
        <f>J11*K11*L11</f>
        <v>0.42152615999999998</v>
      </c>
      <c r="F11" s="10" t="s">
        <v>41</v>
      </c>
      <c r="G11" s="10"/>
      <c r="H11" s="15"/>
      <c r="I11" s="16" t="s">
        <v>274</v>
      </c>
      <c r="J11" s="17">
        <f>3.14*0.03^2</f>
        <v>2.826E-3</v>
      </c>
      <c r="K11" s="152">
        <v>5.5E-2</v>
      </c>
      <c r="L11" s="18">
        <v>2712</v>
      </c>
      <c r="M11" s="18">
        <v>1</v>
      </c>
      <c r="N11" s="19">
        <f>IF(J11="",D11*M11,D11*J11*K11*L11*M11)</f>
        <v>1.7704098720000001</v>
      </c>
      <c r="O11" s="28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79">
        <f>SUM(N11:N11)</f>
        <v>1.7704098720000001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x14ac:dyDescent="0.3">
      <c r="A15" s="405">
        <v>10</v>
      </c>
      <c r="B15" s="108" t="s">
        <v>46</v>
      </c>
      <c r="C15" s="153" t="s">
        <v>252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1"/>
      <c r="K15" s="1"/>
      <c r="L15" s="1"/>
      <c r="M15" s="1"/>
      <c r="N15" s="1"/>
      <c r="O15" s="280"/>
    </row>
    <row r="16" spans="1:15" x14ac:dyDescent="0.3">
      <c r="A16" s="405">
        <v>20</v>
      </c>
      <c r="B16" s="108" t="s">
        <v>47</v>
      </c>
      <c r="C16" s="153" t="s">
        <v>269</v>
      </c>
      <c r="D16" s="13">
        <v>0.04</v>
      </c>
      <c r="E16" s="108" t="s">
        <v>48</v>
      </c>
      <c r="F16" s="109">
        <v>168</v>
      </c>
      <c r="G16" s="153" t="s">
        <v>270</v>
      </c>
      <c r="H16" s="109">
        <v>1</v>
      </c>
      <c r="I16" s="114">
        <f>IF(H16="",D16*F16,D16*F16*H16)</f>
        <v>6.72</v>
      </c>
      <c r="J16" s="1"/>
      <c r="K16" s="1"/>
      <c r="L16" s="1"/>
      <c r="M16" s="1"/>
      <c r="N16" s="1"/>
      <c r="O16" s="280"/>
    </row>
    <row r="17" spans="1:15" x14ac:dyDescent="0.3">
      <c r="A17" s="390">
        <v>30</v>
      </c>
      <c r="B17" s="7" t="s">
        <v>98</v>
      </c>
      <c r="C17" s="7" t="s">
        <v>275</v>
      </c>
      <c r="D17" s="13">
        <v>0.35</v>
      </c>
      <c r="E17" s="10" t="s">
        <v>43</v>
      </c>
      <c r="F17" s="118">
        <v>9</v>
      </c>
      <c r="G17" s="75"/>
      <c r="H17" s="109"/>
      <c r="I17" s="114">
        <f>IF(H17="",D17*F17,D17*F17*H17)</f>
        <v>3.15</v>
      </c>
      <c r="J17" s="1"/>
      <c r="K17" s="1"/>
      <c r="L17" s="1"/>
      <c r="M17" s="1"/>
      <c r="N17" s="1"/>
      <c r="O17" s="280"/>
    </row>
    <row r="18" spans="1:15" x14ac:dyDescent="0.3">
      <c r="A18" s="402">
        <v>40</v>
      </c>
      <c r="B18" s="155" t="s">
        <v>262</v>
      </c>
      <c r="C18" s="155" t="s">
        <v>273</v>
      </c>
      <c r="D18" s="13">
        <v>0</v>
      </c>
      <c r="E18" s="7" t="s">
        <v>150</v>
      </c>
      <c r="F18" s="7"/>
      <c r="G18" s="7"/>
      <c r="H18" s="7"/>
      <c r="I18" s="19">
        <v>0</v>
      </c>
      <c r="J18" s="1"/>
      <c r="K18" s="1"/>
      <c r="L18" s="1"/>
      <c r="M18" s="1"/>
      <c r="N18" s="1"/>
      <c r="O18" s="280"/>
    </row>
    <row r="19" spans="1:15" x14ac:dyDescent="0.3">
      <c r="A19" s="286"/>
      <c r="B19" s="34"/>
      <c r="C19" s="34"/>
      <c r="D19" s="34"/>
      <c r="E19" s="34"/>
      <c r="F19" s="34"/>
      <c r="G19" s="34"/>
      <c r="H19" s="178" t="s">
        <v>23</v>
      </c>
      <c r="I19" s="180">
        <f>SUM(I15:I18)</f>
        <v>11.17</v>
      </c>
      <c r="J19" s="34"/>
      <c r="K19" s="34"/>
      <c r="L19" s="34"/>
      <c r="M19" s="34"/>
      <c r="N19" s="34"/>
      <c r="O19" s="280"/>
    </row>
    <row r="20" spans="1:15" ht="15" thickBot="1" x14ac:dyDescent="0.35">
      <c r="A20" s="312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292"/>
    </row>
  </sheetData>
  <hyperlinks>
    <hyperlink ref="F2" location="BOM!A1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23"/>
  <sheetViews>
    <sheetView tabSelected="1" zoomScale="70" zoomScaleNormal="7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10.88671875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E12+I17+J22</f>
        <v>22.099557203458168</v>
      </c>
      <c r="O2" s="280"/>
    </row>
    <row r="3" spans="1:15" x14ac:dyDescent="0.3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1</v>
      </c>
      <c r="O3" s="280"/>
    </row>
    <row r="4" spans="1:15" x14ac:dyDescent="0.3">
      <c r="A4" s="279" t="s">
        <v>8</v>
      </c>
      <c r="B4" s="1" t="s">
        <v>293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3">
      <c r="A5" s="279" t="s">
        <v>11</v>
      </c>
      <c r="B5" s="6" t="s">
        <v>304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22.099557203458168</v>
      </c>
      <c r="O5" s="280"/>
    </row>
    <row r="6" spans="1:15" x14ac:dyDescent="0.3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3">
      <c r="A7" s="279" t="s">
        <v>17</v>
      </c>
      <c r="B7" s="1" t="s">
        <v>18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3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3">
      <c r="A9" s="389" t="s">
        <v>19</v>
      </c>
      <c r="B9" s="61" t="s">
        <v>20</v>
      </c>
      <c r="C9" s="61" t="s">
        <v>21</v>
      </c>
      <c r="D9" s="61" t="s">
        <v>22</v>
      </c>
      <c r="E9" s="61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90">
        <v>10</v>
      </c>
      <c r="B10" s="187" t="s">
        <v>276</v>
      </c>
      <c r="C10" s="13">
        <f>'ST 04001'!N2</f>
        <v>16.336187500000001</v>
      </c>
      <c r="D10" s="36">
        <v>1</v>
      </c>
      <c r="E10" s="188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  <c r="O10" s="280"/>
    </row>
    <row r="11" spans="1:15" x14ac:dyDescent="0.3">
      <c r="A11" s="390">
        <v>20</v>
      </c>
      <c r="B11" s="78" t="s">
        <v>294</v>
      </c>
      <c r="C11" s="13">
        <f>'ST 04002'!N2</f>
        <v>3.0722072799999998</v>
      </c>
      <c r="D11" s="36">
        <v>1</v>
      </c>
      <c r="E11" s="188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  <c r="O11" s="280"/>
    </row>
    <row r="12" spans="1:15" x14ac:dyDescent="0.3">
      <c r="A12" s="283"/>
      <c r="B12" s="1"/>
      <c r="C12" s="1"/>
      <c r="D12" s="62" t="s">
        <v>23</v>
      </c>
      <c r="E12" s="63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89" t="s">
        <v>19</v>
      </c>
      <c r="B14" s="61" t="s">
        <v>42</v>
      </c>
      <c r="C14" s="61" t="s">
        <v>29</v>
      </c>
      <c r="D14" s="61" t="s">
        <v>30</v>
      </c>
      <c r="E14" s="61" t="s">
        <v>43</v>
      </c>
      <c r="F14" s="61" t="s">
        <v>22</v>
      </c>
      <c r="G14" s="61" t="s">
        <v>44</v>
      </c>
      <c r="H14" s="61" t="s">
        <v>45</v>
      </c>
      <c r="I14" s="61" t="s">
        <v>23</v>
      </c>
      <c r="J14" s="34"/>
      <c r="K14" s="34"/>
      <c r="L14" s="34"/>
      <c r="M14" s="34"/>
      <c r="N14" s="34"/>
      <c r="O14" s="280"/>
    </row>
    <row r="15" spans="1:15" x14ac:dyDescent="0.3">
      <c r="A15" s="425">
        <v>10</v>
      </c>
      <c r="B15" s="75" t="s">
        <v>305</v>
      </c>
      <c r="C15" s="33" t="s">
        <v>307</v>
      </c>
      <c r="D15" s="171">
        <v>0.5</v>
      </c>
      <c r="E15" s="7" t="s">
        <v>129</v>
      </c>
      <c r="F15" s="7">
        <v>3</v>
      </c>
      <c r="G15" s="7"/>
      <c r="H15" s="7"/>
      <c r="I15" s="13">
        <f>F15*D15</f>
        <v>1.5</v>
      </c>
      <c r="J15" s="1"/>
      <c r="K15" s="1"/>
      <c r="L15" s="1"/>
      <c r="M15" s="1"/>
      <c r="N15" s="1"/>
      <c r="O15" s="280"/>
    </row>
    <row r="16" spans="1:15" x14ac:dyDescent="0.3">
      <c r="A16" s="426">
        <v>20</v>
      </c>
      <c r="B16" s="75" t="s">
        <v>141</v>
      </c>
      <c r="C16" s="36" t="s">
        <v>306</v>
      </c>
      <c r="D16" s="171">
        <v>0.25</v>
      </c>
      <c r="E16" s="75" t="s">
        <v>129</v>
      </c>
      <c r="F16" s="7">
        <v>3</v>
      </c>
      <c r="G16" s="7"/>
      <c r="H16" s="7"/>
      <c r="I16" s="13">
        <f>F16*D16</f>
        <v>0.75</v>
      </c>
      <c r="J16" s="1"/>
      <c r="K16" s="1"/>
      <c r="L16" s="1"/>
      <c r="M16" s="1"/>
      <c r="N16" s="1"/>
      <c r="O16" s="280"/>
    </row>
    <row r="17" spans="1:15" x14ac:dyDescent="0.3">
      <c r="A17" s="286"/>
      <c r="B17" s="34"/>
      <c r="C17" s="34"/>
      <c r="D17" s="34"/>
      <c r="E17" s="34"/>
      <c r="F17" s="34"/>
      <c r="G17" s="34"/>
      <c r="H17" s="62" t="s">
        <v>23</v>
      </c>
      <c r="I17" s="63">
        <f>SUM(I15:I16)</f>
        <v>2.25</v>
      </c>
      <c r="J17" s="34"/>
      <c r="K17" s="34"/>
      <c r="L17" s="136"/>
      <c r="M17" s="34"/>
      <c r="N17" s="34"/>
      <c r="O17" s="280"/>
    </row>
    <row r="18" spans="1:15" x14ac:dyDescent="0.3">
      <c r="A18" s="28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80"/>
    </row>
    <row r="19" spans="1:15" x14ac:dyDescent="0.3">
      <c r="A19" s="389" t="s">
        <v>19</v>
      </c>
      <c r="B19" s="61" t="s">
        <v>63</v>
      </c>
      <c r="C19" s="61" t="s">
        <v>29</v>
      </c>
      <c r="D19" s="61" t="s">
        <v>30</v>
      </c>
      <c r="E19" s="61" t="s">
        <v>31</v>
      </c>
      <c r="F19" s="61" t="s">
        <v>32</v>
      </c>
      <c r="G19" s="61" t="s">
        <v>33</v>
      </c>
      <c r="H19" s="61" t="s">
        <v>34</v>
      </c>
      <c r="I19" s="61" t="s">
        <v>22</v>
      </c>
      <c r="J19" s="61" t="s">
        <v>23</v>
      </c>
      <c r="K19" s="34"/>
      <c r="L19" s="34"/>
      <c r="M19" s="34"/>
      <c r="N19" s="34"/>
      <c r="O19" s="280"/>
    </row>
    <row r="20" spans="1:15" x14ac:dyDescent="0.3">
      <c r="A20" s="390">
        <v>10</v>
      </c>
      <c r="B20" s="81" t="s">
        <v>131</v>
      </c>
      <c r="C20" s="7" t="s">
        <v>301</v>
      </c>
      <c r="D20" s="8">
        <f>0.8/105154*E20^2*G20*SQRT(G20)+(0.003*EXP(0.319*E20))</f>
        <v>0.11717308884809327</v>
      </c>
      <c r="E20" s="7">
        <v>6</v>
      </c>
      <c r="F20" s="35" t="s">
        <v>62</v>
      </c>
      <c r="G20" s="7">
        <v>50</v>
      </c>
      <c r="H20" s="36" t="s">
        <v>62</v>
      </c>
      <c r="I20" s="37">
        <v>3</v>
      </c>
      <c r="J20" s="8">
        <f>I20*D20</f>
        <v>0.35151926654427978</v>
      </c>
      <c r="K20" s="1"/>
      <c r="L20" s="1"/>
      <c r="M20" s="1"/>
      <c r="N20" s="1"/>
      <c r="O20" s="280"/>
    </row>
    <row r="21" spans="1:15" x14ac:dyDescent="0.3">
      <c r="A21" s="390">
        <v>20</v>
      </c>
      <c r="B21" s="82" t="s">
        <v>132</v>
      </c>
      <c r="C21" s="7" t="s">
        <v>111</v>
      </c>
      <c r="D21" s="84">
        <f>(0.009*EXP(0.2*E21))</f>
        <v>2.9881052304628931E-2</v>
      </c>
      <c r="E21" s="7">
        <v>6</v>
      </c>
      <c r="F21" s="81" t="s">
        <v>62</v>
      </c>
      <c r="G21" s="7"/>
      <c r="H21" s="81"/>
      <c r="I21" s="37">
        <v>3</v>
      </c>
      <c r="J21" s="8">
        <f>I21*D21</f>
        <v>8.9643156913886801E-2</v>
      </c>
      <c r="K21" s="1"/>
      <c r="L21" s="1"/>
      <c r="M21" s="1"/>
      <c r="N21" s="1"/>
      <c r="O21" s="280"/>
    </row>
    <row r="22" spans="1:15" x14ac:dyDescent="0.3">
      <c r="A22" s="286"/>
      <c r="B22" s="34"/>
      <c r="C22" s="34"/>
      <c r="D22" s="34"/>
      <c r="E22" s="34"/>
      <c r="F22" s="34"/>
      <c r="G22" s="34"/>
      <c r="H22" s="34"/>
      <c r="I22" s="65" t="s">
        <v>23</v>
      </c>
      <c r="J22" s="66">
        <f>SUM(J20:J21)</f>
        <v>0.44116242345816659</v>
      </c>
      <c r="K22" s="1"/>
      <c r="L22" s="1"/>
      <c r="M22" s="1"/>
      <c r="N22" s="1"/>
      <c r="O22" s="280"/>
    </row>
    <row r="23" spans="1:15" ht="15" thickBot="1" x14ac:dyDescent="0.35">
      <c r="A23" s="287"/>
      <c r="B23" s="288"/>
      <c r="C23" s="288"/>
      <c r="D23" s="288"/>
      <c r="E23" s="288"/>
      <c r="F23" s="288"/>
      <c r="G23" s="288"/>
      <c r="H23" s="289"/>
      <c r="I23" s="290"/>
      <c r="J23" s="288"/>
      <c r="K23" s="291"/>
      <c r="L23" s="291"/>
      <c r="M23" s="291"/>
      <c r="N23" s="291"/>
      <c r="O23" s="292"/>
    </row>
  </sheetData>
  <hyperlinks>
    <hyperlink ref="B10" location="'ST 04001'!A1" display="Steering Wheel"/>
    <hyperlink ref="B11" location="'ST 04002'!A1" display="Aluminium spacer"/>
    <hyperlink ref="G2" location="BOM!A1" display="Back to BOM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tabSelected="1" zoomScale="70" zoomScaleNormal="70" workbookViewId="0">
      <selection activeCell="N37" sqref="N37"/>
    </sheetView>
  </sheetViews>
  <sheetFormatPr baseColWidth="10" defaultColWidth="8.88671875" defaultRowHeight="14.4" x14ac:dyDescent="0.3"/>
  <cols>
    <col min="1" max="1" width="10.33203125" bestFit="1" customWidth="1"/>
    <col min="2" max="2" width="23.88671875" bestFit="1" customWidth="1"/>
    <col min="3" max="3" width="25.5546875" bestFit="1" customWidth="1"/>
    <col min="4" max="4" width="8.6640625" bestFit="1" customWidth="1"/>
    <col min="5" max="5" width="5.5546875" bestFit="1" customWidth="1"/>
    <col min="6" max="6" width="12" bestFit="1" customWidth="1"/>
    <col min="7" max="7" width="10" bestFit="1" customWidth="1"/>
    <col min="8" max="8" width="9.6640625" bestFit="1" customWidth="1"/>
    <col min="9" max="9" width="10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N12+I22</f>
        <v>7.9694600588749998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25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7.9694600588749998</v>
      </c>
      <c r="O5" s="280"/>
    </row>
    <row r="6" spans="1:15" x14ac:dyDescent="0.3">
      <c r="A6" s="397" t="s">
        <v>11</v>
      </c>
      <c r="B6" s="399" t="s">
        <v>337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01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43.2" x14ac:dyDescent="0.3">
      <c r="A11" s="402">
        <v>10</v>
      </c>
      <c r="B11" s="11" t="s">
        <v>39</v>
      </c>
      <c r="C11" s="12" t="s">
        <v>40</v>
      </c>
      <c r="D11" s="13">
        <v>2.25</v>
      </c>
      <c r="E11" s="14">
        <f>J11*K11*L11</f>
        <v>0.46190993549999998</v>
      </c>
      <c r="F11" s="10" t="s">
        <v>41</v>
      </c>
      <c r="G11" s="10"/>
      <c r="H11" s="15"/>
      <c r="I11" s="16" t="s">
        <v>50</v>
      </c>
      <c r="J11" s="17">
        <f>3.14*(0.0155)^2</f>
        <v>7.5438499999999999E-4</v>
      </c>
      <c r="K11" s="152">
        <v>7.8E-2</v>
      </c>
      <c r="L11" s="18">
        <v>7850</v>
      </c>
      <c r="M11" s="18">
        <v>1</v>
      </c>
      <c r="N11" s="19">
        <f>IF(J11="",D11*M11,D11*J11*K11*L11*M11)</f>
        <v>1.039297354875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1.039297354875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01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ht="28.8" x14ac:dyDescent="0.3">
      <c r="A15" s="405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394"/>
      <c r="K15" s="394"/>
      <c r="L15" s="394"/>
      <c r="M15" s="394"/>
      <c r="N15" s="394"/>
      <c r="O15" s="280"/>
    </row>
    <row r="16" spans="1:15" ht="28.8" x14ac:dyDescent="0.3">
      <c r="A16" s="402">
        <v>20</v>
      </c>
      <c r="B16" s="75" t="s">
        <v>47</v>
      </c>
      <c r="C16" s="38" t="s">
        <v>61</v>
      </c>
      <c r="D16" s="13">
        <v>0.04</v>
      </c>
      <c r="E16" s="75" t="s">
        <v>48</v>
      </c>
      <c r="F16" s="118">
        <f>(J11 - 0.012^2*3.1416)*4.8*10^4</f>
        <v>14.495740799999998</v>
      </c>
      <c r="G16" s="75" t="s">
        <v>60</v>
      </c>
      <c r="H16" s="109">
        <v>3</v>
      </c>
      <c r="I16" s="114">
        <f>D16*F16*H16</f>
        <v>1.7394888959999997</v>
      </c>
      <c r="J16" s="394"/>
      <c r="K16" s="394"/>
      <c r="L16" s="394"/>
      <c r="M16" s="394"/>
      <c r="N16" s="394"/>
      <c r="O16" s="280"/>
    </row>
    <row r="17" spans="1:15" x14ac:dyDescent="0.3">
      <c r="A17" s="402">
        <v>30</v>
      </c>
      <c r="B17" s="75" t="s">
        <v>55</v>
      </c>
      <c r="C17" s="38" t="s">
        <v>56</v>
      </c>
      <c r="D17" s="76">
        <v>0.5</v>
      </c>
      <c r="E17" s="75" t="s">
        <v>49</v>
      </c>
      <c r="F17" s="118">
        <v>2.2000000000000002</v>
      </c>
      <c r="G17" s="109"/>
      <c r="H17" s="109"/>
      <c r="I17" s="114">
        <f>D17*F17</f>
        <v>1.1000000000000001</v>
      </c>
      <c r="J17" s="394"/>
      <c r="K17" s="394"/>
      <c r="L17" s="394"/>
      <c r="M17" s="394"/>
      <c r="N17" s="394"/>
      <c r="O17" s="280"/>
    </row>
    <row r="18" spans="1:15" x14ac:dyDescent="0.3">
      <c r="A18" s="402">
        <v>40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/>
      <c r="H18" s="109"/>
      <c r="I18" s="114">
        <f>IF(H18="",D18*F18,D18*F18*H18)</f>
        <v>0.65</v>
      </c>
      <c r="J18" s="394"/>
      <c r="K18" s="394"/>
      <c r="L18" s="394"/>
      <c r="M18" s="394"/>
      <c r="N18" s="394"/>
      <c r="O18" s="280"/>
    </row>
    <row r="19" spans="1:15" ht="28.8" x14ac:dyDescent="0.3">
      <c r="A19" s="402">
        <v>50</v>
      </c>
      <c r="B19" s="108" t="s">
        <v>47</v>
      </c>
      <c r="C19" s="109" t="s">
        <v>54</v>
      </c>
      <c r="D19" s="13">
        <v>0.04</v>
      </c>
      <c r="E19" s="75" t="s">
        <v>48</v>
      </c>
      <c r="F19" s="406">
        <f>(J11 - 3.1416*0.0085^2)*1.1*10^4</f>
        <v>5.8014484000000008</v>
      </c>
      <c r="G19" s="75" t="s">
        <v>60</v>
      </c>
      <c r="H19" s="109">
        <v>3</v>
      </c>
      <c r="I19" s="114">
        <f>D19*F19*H19</f>
        <v>0.69617380800000017</v>
      </c>
      <c r="J19" s="394"/>
      <c r="K19" s="394"/>
      <c r="L19" s="394"/>
      <c r="M19" s="394"/>
      <c r="N19" s="394"/>
      <c r="O19" s="280"/>
    </row>
    <row r="20" spans="1:15" ht="28.8" x14ac:dyDescent="0.3">
      <c r="A20" s="402">
        <v>60</v>
      </c>
      <c r="B20" s="108" t="s">
        <v>46</v>
      </c>
      <c r="C20" s="153" t="s">
        <v>57</v>
      </c>
      <c r="D20" s="13">
        <v>1.3</v>
      </c>
      <c r="E20" s="108" t="s">
        <v>43</v>
      </c>
      <c r="F20" s="109">
        <v>1</v>
      </c>
      <c r="G20" s="109"/>
      <c r="H20" s="109"/>
      <c r="I20" s="114">
        <f>IF(H20="",D20*F20,D20*F20*H20)</f>
        <v>1.3</v>
      </c>
      <c r="J20" s="394"/>
      <c r="K20" s="394"/>
      <c r="L20" s="394"/>
      <c r="M20" s="394"/>
      <c r="N20" s="394"/>
      <c r="O20" s="280"/>
    </row>
    <row r="21" spans="1:15" x14ac:dyDescent="0.3">
      <c r="A21" s="402">
        <v>70</v>
      </c>
      <c r="B21" s="75" t="s">
        <v>58</v>
      </c>
      <c r="C21" s="38" t="s">
        <v>59</v>
      </c>
      <c r="D21" s="407">
        <v>0.01</v>
      </c>
      <c r="E21" s="75" t="s">
        <v>49</v>
      </c>
      <c r="F21" s="109">
        <f>(0.85*17)</f>
        <v>14.45</v>
      </c>
      <c r="G21" s="109"/>
      <c r="H21" s="109"/>
      <c r="I21" s="114">
        <f>D21*F21</f>
        <v>0.14449999999999999</v>
      </c>
      <c r="J21" s="394"/>
      <c r="K21" s="394"/>
      <c r="L21" s="394"/>
      <c r="M21" s="394"/>
      <c r="N21" s="394"/>
      <c r="O21" s="280"/>
    </row>
    <row r="22" spans="1:15" x14ac:dyDescent="0.3">
      <c r="A22" s="403"/>
      <c r="B22" s="404"/>
      <c r="C22" s="404"/>
      <c r="D22" s="404"/>
      <c r="E22" s="404"/>
      <c r="F22" s="404"/>
      <c r="G22" s="404"/>
      <c r="H22" s="57" t="s">
        <v>23</v>
      </c>
      <c r="I22" s="58">
        <f>SUM(I15:I21)</f>
        <v>6.9301627039999998</v>
      </c>
      <c r="J22" s="404"/>
      <c r="K22" s="404"/>
      <c r="L22" s="404"/>
      <c r="M22" s="404"/>
      <c r="N22" s="404"/>
      <c r="O22" s="280"/>
    </row>
    <row r="23" spans="1:15" x14ac:dyDescent="0.3">
      <c r="A23" s="391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ht="15" thickBot="1" x14ac:dyDescent="0.35">
      <c r="A24" s="312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83" fitToHeight="99" orientation="landscape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5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N15+I24</f>
        <v>16.336187500000001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2" t="s">
        <v>293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1" t="s">
        <v>276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16.336187500000001</v>
      </c>
      <c r="O5" s="280"/>
    </row>
    <row r="6" spans="1:15" x14ac:dyDescent="0.3">
      <c r="A6" s="310" t="s">
        <v>11</v>
      </c>
      <c r="B6" s="1" t="s">
        <v>351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43.2" x14ac:dyDescent="0.3">
      <c r="A11" s="427">
        <v>10</v>
      </c>
      <c r="B11" s="7" t="s">
        <v>39</v>
      </c>
      <c r="C11" s="158" t="s">
        <v>277</v>
      </c>
      <c r="D11" s="159">
        <v>2.25</v>
      </c>
      <c r="E11" s="160">
        <f>J11*K11*L11</f>
        <v>0.90275000000000005</v>
      </c>
      <c r="F11" s="7" t="s">
        <v>41</v>
      </c>
      <c r="G11" s="7"/>
      <c r="H11" s="15"/>
      <c r="I11" s="161" t="s">
        <v>278</v>
      </c>
      <c r="J11" s="17">
        <f>250*230/1000000</f>
        <v>5.7500000000000002E-2</v>
      </c>
      <c r="K11" s="162">
        <v>2E-3</v>
      </c>
      <c r="L11" s="18">
        <v>7850</v>
      </c>
      <c r="M11" s="18">
        <v>1</v>
      </c>
      <c r="N11" s="19">
        <f>IF(J11="",D11*M11,D11*J11*K11*L11*M11)</f>
        <v>2.0311875000000001</v>
      </c>
      <c r="O11" s="280"/>
    </row>
    <row r="12" spans="1:15" x14ac:dyDescent="0.3">
      <c r="A12" s="427">
        <v>20</v>
      </c>
      <c r="B12" s="81" t="s">
        <v>279</v>
      </c>
      <c r="C12" s="157" t="s">
        <v>280</v>
      </c>
      <c r="D12" s="159">
        <v>15</v>
      </c>
      <c r="E12" s="196">
        <v>0.1</v>
      </c>
      <c r="F12" s="157" t="s">
        <v>41</v>
      </c>
      <c r="G12" s="157"/>
      <c r="H12" s="163"/>
      <c r="I12" s="164"/>
      <c r="J12" s="165"/>
      <c r="K12" s="163"/>
      <c r="L12" s="163"/>
      <c r="M12" s="157"/>
      <c r="N12" s="166">
        <f>E12*D12</f>
        <v>1.5</v>
      </c>
      <c r="O12" s="280"/>
    </row>
    <row r="13" spans="1:15" x14ac:dyDescent="0.3">
      <c r="A13" s="427">
        <v>30</v>
      </c>
      <c r="B13" s="81" t="s">
        <v>281</v>
      </c>
      <c r="C13" s="157" t="s">
        <v>282</v>
      </c>
      <c r="D13" s="159">
        <v>2.5</v>
      </c>
      <c r="E13" s="196">
        <v>0.1</v>
      </c>
      <c r="F13" s="157" t="s">
        <v>117</v>
      </c>
      <c r="G13" s="157"/>
      <c r="H13" s="163"/>
      <c r="I13" s="167"/>
      <c r="J13" s="165"/>
      <c r="K13" s="163"/>
      <c r="L13" s="164"/>
      <c r="M13" s="157"/>
      <c r="N13" s="166">
        <f>D13*E13</f>
        <v>0.25</v>
      </c>
      <c r="O13" s="280"/>
    </row>
    <row r="14" spans="1:15" x14ac:dyDescent="0.3">
      <c r="A14" s="390">
        <v>40</v>
      </c>
      <c r="B14" s="7" t="s">
        <v>283</v>
      </c>
      <c r="C14" s="158" t="s">
        <v>284</v>
      </c>
      <c r="D14" s="168">
        <v>0</v>
      </c>
      <c r="E14" s="7"/>
      <c r="F14" s="7" t="s">
        <v>129</v>
      </c>
      <c r="G14" s="7"/>
      <c r="H14" s="7"/>
      <c r="I14" s="7"/>
      <c r="J14" s="7"/>
      <c r="K14" s="7"/>
      <c r="L14" s="7"/>
      <c r="M14" s="7"/>
      <c r="N14" s="168">
        <v>0</v>
      </c>
      <c r="O14" s="280"/>
    </row>
    <row r="15" spans="1:15" x14ac:dyDescent="0.3">
      <c r="A15" s="28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172" t="s">
        <v>23</v>
      </c>
      <c r="N15" s="173">
        <f>SUM(N11:N14)</f>
        <v>3.7811875000000001</v>
      </c>
      <c r="O15" s="280"/>
    </row>
    <row r="16" spans="1:15" x14ac:dyDescent="0.3">
      <c r="A16" s="28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80"/>
    </row>
    <row r="17" spans="1:15" x14ac:dyDescent="0.3">
      <c r="A17" s="311" t="s">
        <v>19</v>
      </c>
      <c r="B17" s="177" t="s">
        <v>42</v>
      </c>
      <c r="C17" s="177" t="s">
        <v>29</v>
      </c>
      <c r="D17" s="177" t="s">
        <v>30</v>
      </c>
      <c r="E17" s="177" t="s">
        <v>43</v>
      </c>
      <c r="F17" s="177" t="s">
        <v>22</v>
      </c>
      <c r="G17" s="177" t="s">
        <v>44</v>
      </c>
      <c r="H17" s="177" t="s">
        <v>45</v>
      </c>
      <c r="I17" s="177" t="s">
        <v>23</v>
      </c>
      <c r="J17" s="34"/>
      <c r="K17" s="34"/>
      <c r="L17" s="34"/>
      <c r="M17" s="34"/>
      <c r="N17" s="34"/>
      <c r="O17" s="280"/>
    </row>
    <row r="18" spans="1:15" x14ac:dyDescent="0.3">
      <c r="A18" s="390">
        <v>10</v>
      </c>
      <c r="B18" s="75" t="s">
        <v>46</v>
      </c>
      <c r="C18" s="36" t="s">
        <v>285</v>
      </c>
      <c r="D18" s="8">
        <v>1.3</v>
      </c>
      <c r="E18" s="7" t="s">
        <v>129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  <c r="O18" s="280"/>
    </row>
    <row r="19" spans="1:15" x14ac:dyDescent="0.3">
      <c r="A19" s="427">
        <v>20</v>
      </c>
      <c r="B19" s="75" t="s">
        <v>120</v>
      </c>
      <c r="C19" s="36" t="s">
        <v>286</v>
      </c>
      <c r="D19" s="169">
        <v>0.01</v>
      </c>
      <c r="E19" s="7" t="s">
        <v>49</v>
      </c>
      <c r="F19" s="7">
        <v>100</v>
      </c>
      <c r="G19" s="7" t="s">
        <v>60</v>
      </c>
      <c r="H19" s="7">
        <v>3</v>
      </c>
      <c r="I19" s="8">
        <f>D19*F19*H19</f>
        <v>3</v>
      </c>
      <c r="J19" s="1"/>
      <c r="K19" s="1"/>
      <c r="L19" s="1"/>
      <c r="M19" s="1"/>
      <c r="N19" s="1"/>
      <c r="O19" s="280"/>
    </row>
    <row r="20" spans="1:15" x14ac:dyDescent="0.3">
      <c r="A20" s="390">
        <v>30</v>
      </c>
      <c r="B20" s="75" t="s">
        <v>229</v>
      </c>
      <c r="C20" s="170" t="s">
        <v>287</v>
      </c>
      <c r="D20" s="171">
        <v>0.125</v>
      </c>
      <c r="E20" s="75" t="s">
        <v>129</v>
      </c>
      <c r="F20" s="157">
        <v>1</v>
      </c>
      <c r="G20" s="157"/>
      <c r="H20" s="157"/>
      <c r="I20" s="166">
        <f>D20*F20</f>
        <v>0.125</v>
      </c>
      <c r="J20" s="1"/>
      <c r="K20" s="1"/>
      <c r="L20" s="1"/>
      <c r="M20" s="1"/>
      <c r="N20" s="1"/>
      <c r="O20" s="280"/>
    </row>
    <row r="21" spans="1:15" x14ac:dyDescent="0.3">
      <c r="A21" s="427">
        <v>40</v>
      </c>
      <c r="B21" s="75" t="s">
        <v>288</v>
      </c>
      <c r="C21" s="170" t="s">
        <v>289</v>
      </c>
      <c r="D21" s="171">
        <v>0.06</v>
      </c>
      <c r="E21" s="157" t="s">
        <v>49</v>
      </c>
      <c r="F21" s="157">
        <v>100</v>
      </c>
      <c r="G21" s="157"/>
      <c r="H21" s="157"/>
      <c r="I21" s="166">
        <f>D21*F21</f>
        <v>6</v>
      </c>
      <c r="J21" s="1"/>
      <c r="K21" s="1"/>
      <c r="L21" s="1"/>
      <c r="M21" s="1"/>
      <c r="N21" s="1"/>
      <c r="O21" s="280"/>
    </row>
    <row r="22" spans="1:15" x14ac:dyDescent="0.3">
      <c r="A22" s="427">
        <v>50</v>
      </c>
      <c r="B22" s="75" t="s">
        <v>290</v>
      </c>
      <c r="C22" s="170" t="s">
        <v>291</v>
      </c>
      <c r="D22" s="171">
        <v>0.02</v>
      </c>
      <c r="E22" s="157" t="s">
        <v>49</v>
      </c>
      <c r="F22" s="157">
        <v>100</v>
      </c>
      <c r="G22" s="157"/>
      <c r="H22" s="157"/>
      <c r="I22" s="166">
        <f>D22*F22</f>
        <v>2</v>
      </c>
      <c r="J22" s="1"/>
      <c r="K22" s="1"/>
      <c r="L22" s="1"/>
      <c r="M22" s="1"/>
      <c r="N22" s="1"/>
      <c r="O22" s="280"/>
    </row>
    <row r="23" spans="1:15" x14ac:dyDescent="0.3">
      <c r="A23" s="390">
        <v>60</v>
      </c>
      <c r="B23" s="7" t="s">
        <v>229</v>
      </c>
      <c r="C23" s="7" t="s">
        <v>292</v>
      </c>
      <c r="D23" s="168">
        <v>0.13</v>
      </c>
      <c r="E23" s="7" t="s">
        <v>129</v>
      </c>
      <c r="F23" s="7">
        <v>1</v>
      </c>
      <c r="G23" s="7"/>
      <c r="H23" s="7"/>
      <c r="I23" s="168">
        <f>D23*F23</f>
        <v>0.13</v>
      </c>
      <c r="J23" s="1"/>
      <c r="K23" s="1"/>
      <c r="L23" s="1"/>
      <c r="M23" s="1"/>
      <c r="N23" s="1"/>
      <c r="O23" s="280"/>
    </row>
    <row r="24" spans="1:15" x14ac:dyDescent="0.3">
      <c r="A24" s="286"/>
      <c r="B24" s="34"/>
      <c r="C24" s="34"/>
      <c r="D24" s="34"/>
      <c r="E24" s="34"/>
      <c r="F24" s="34"/>
      <c r="G24" s="34"/>
      <c r="H24" s="182" t="s">
        <v>23</v>
      </c>
      <c r="I24" s="183">
        <f>SUM(I18:I23)</f>
        <v>12.555000000000001</v>
      </c>
      <c r="J24" s="34"/>
      <c r="K24" s="34"/>
      <c r="L24" s="34"/>
      <c r="M24" s="34"/>
      <c r="N24" s="34"/>
      <c r="O24" s="280"/>
    </row>
    <row r="25" spans="1:15" ht="15" thickBot="1" x14ac:dyDescent="0.35">
      <c r="A25" s="312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292"/>
    </row>
  </sheetData>
  <hyperlinks>
    <hyperlink ref="F2" location="BOM!A1" display="Back to BOM"/>
    <hyperlink ref="B4" location="'ST A0400'!A1" display="Steering Wheel Assy"/>
  </hyperlinks>
  <pageMargins left="0.31496062992125984" right="0.31496062992125984" top="0.31496062992125984" bottom="0.39370078740157483" header="0.51181102362204722" footer="0.31496062992125984"/>
  <pageSetup paperSize="9" scale="66" fitToHeight="99" orientation="landscape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1.33203125" bestFit="1" customWidth="1"/>
    <col min="3" max="3" width="34.88671875" bestFit="1" customWidth="1"/>
    <col min="4" max="4" width="8.88671875" bestFit="1" customWidth="1"/>
    <col min="5" max="5" width="6" bestFit="1" customWidth="1"/>
    <col min="6" max="6" width="12" bestFit="1" customWidth="1"/>
    <col min="7" max="7" width="20" bestFit="1" customWidth="1"/>
    <col min="8" max="8" width="9.6640625" bestFit="1" customWidth="1"/>
    <col min="9" max="9" width="25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N12+I17</f>
        <v>3.0722072799999998</v>
      </c>
      <c r="O2" s="280"/>
    </row>
    <row r="3" spans="1:15" x14ac:dyDescent="0.3">
      <c r="A3" s="310" t="s">
        <v>5</v>
      </c>
      <c r="B3" s="1" t="s">
        <v>6</v>
      </c>
      <c r="C3" s="395" t="s">
        <v>126</v>
      </c>
      <c r="D3" s="184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2" t="s">
        <v>293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1" t="s">
        <v>294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3.0722072799999998</v>
      </c>
      <c r="O5" s="280"/>
    </row>
    <row r="6" spans="1:15" x14ac:dyDescent="0.3">
      <c r="A6" s="310" t="s">
        <v>11</v>
      </c>
      <c r="B6" s="1" t="s">
        <v>300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28.8" x14ac:dyDescent="0.3">
      <c r="A11" s="390">
        <v>10</v>
      </c>
      <c r="B11" s="81" t="s">
        <v>296</v>
      </c>
      <c r="C11" s="7" t="s">
        <v>297</v>
      </c>
      <c r="D11" s="8">
        <v>4.2</v>
      </c>
      <c r="E11" s="174">
        <f>J11*K11*L11</f>
        <v>0.14766839999999998</v>
      </c>
      <c r="F11" s="7" t="s">
        <v>41</v>
      </c>
      <c r="G11" s="7"/>
      <c r="H11" s="15"/>
      <c r="I11" s="32" t="s">
        <v>298</v>
      </c>
      <c r="J11" s="17">
        <f>55*55*0.000001</f>
        <v>3.0249999999999999E-3</v>
      </c>
      <c r="K11" s="152">
        <v>1.7999999999999999E-2</v>
      </c>
      <c r="L11" s="18">
        <v>2712</v>
      </c>
      <c r="M11" s="18">
        <v>1</v>
      </c>
      <c r="N11" s="19">
        <f>IF(J11="",D11*M11,D11*J11*K11*L11*M11)</f>
        <v>0.62020728000000003</v>
      </c>
      <c r="O11" s="28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8" t="s">
        <v>23</v>
      </c>
      <c r="N12" s="185">
        <f>SUM(N11:N11)</f>
        <v>0.62020728000000003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28.8" x14ac:dyDescent="0.3">
      <c r="A15" s="402">
        <v>10</v>
      </c>
      <c r="B15" s="108" t="s">
        <v>46</v>
      </c>
      <c r="C15" s="175" t="s">
        <v>299</v>
      </c>
      <c r="D15" s="8">
        <v>1.3</v>
      </c>
      <c r="E15" s="10" t="s">
        <v>43</v>
      </c>
      <c r="F15" s="10">
        <v>1</v>
      </c>
      <c r="G15" s="10"/>
      <c r="H15" s="10">
        <v>1</v>
      </c>
      <c r="I15" s="19">
        <f>IF(H15="",D15*F15,D15*F15*H15)</f>
        <v>1.3</v>
      </c>
      <c r="J15" s="1"/>
      <c r="K15" s="1"/>
      <c r="L15" s="1"/>
      <c r="M15" s="1"/>
      <c r="N15" s="1"/>
      <c r="O15" s="280"/>
    </row>
    <row r="16" spans="1:15" x14ac:dyDescent="0.3">
      <c r="A16" s="390">
        <v>20</v>
      </c>
      <c r="B16" s="75" t="s">
        <v>47</v>
      </c>
      <c r="C16" s="36" t="s">
        <v>47</v>
      </c>
      <c r="D16" s="171">
        <v>0.04</v>
      </c>
      <c r="E16" s="7" t="s">
        <v>48</v>
      </c>
      <c r="F16" s="7">
        <v>28.8</v>
      </c>
      <c r="G16" s="7" t="s">
        <v>81</v>
      </c>
      <c r="H16" s="7">
        <v>1</v>
      </c>
      <c r="I16" s="19">
        <f>IF(H16="",D16*F16,D16*F16*H16)</f>
        <v>1.1520000000000001</v>
      </c>
      <c r="J16" s="1"/>
      <c r="K16" s="1"/>
      <c r="L16" s="1"/>
      <c r="M16" s="1"/>
      <c r="N16" s="1"/>
      <c r="O16" s="280"/>
    </row>
    <row r="17" spans="1:15" x14ac:dyDescent="0.3">
      <c r="A17" s="286"/>
      <c r="B17" s="34"/>
      <c r="C17" s="34"/>
      <c r="D17" s="34"/>
      <c r="E17" s="34"/>
      <c r="F17" s="34"/>
      <c r="G17" s="34"/>
      <c r="H17" s="178" t="s">
        <v>23</v>
      </c>
      <c r="I17" s="186">
        <f>SUM(I15:I16)</f>
        <v>2.452</v>
      </c>
      <c r="J17" s="34"/>
      <c r="K17" s="34"/>
      <c r="L17" s="34"/>
      <c r="M17" s="34"/>
      <c r="N17" s="34"/>
      <c r="O17" s="280"/>
    </row>
    <row r="18" spans="1:15" x14ac:dyDescent="0.3">
      <c r="A18" s="283"/>
      <c r="B18" s="1"/>
      <c r="C18" s="1"/>
      <c r="D18" s="1"/>
      <c r="E18" s="1"/>
      <c r="F18" s="1"/>
      <c r="G18" s="1"/>
      <c r="H18" s="139"/>
      <c r="I18" s="140"/>
      <c r="J18" s="1"/>
      <c r="K18" s="1"/>
      <c r="L18" s="1"/>
      <c r="M18" s="1"/>
      <c r="N18" s="1"/>
      <c r="O18" s="280"/>
    </row>
    <row r="19" spans="1:15" x14ac:dyDescent="0.3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ht="15" thickBot="1" x14ac:dyDescent="0.35">
      <c r="A20" s="287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92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tabSelected="1" workbookViewId="0">
      <selection activeCell="N37" sqref="N37"/>
    </sheetView>
  </sheetViews>
  <sheetFormatPr baseColWidth="10" defaultRowHeight="14.4" x14ac:dyDescent="0.3"/>
  <sheetData>
    <row r="1" spans="1:1" x14ac:dyDescent="0.3">
      <c r="A1" s="70" t="s">
        <v>300</v>
      </c>
    </row>
  </sheetData>
  <hyperlinks>
    <hyperlink ref="A1" location="'ST 04002'!A1" display="ST 04002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46"/>
  <sheetViews>
    <sheetView tabSelected="1" topLeftCell="A4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8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279" t="s">
        <v>0</v>
      </c>
      <c r="B2" s="1" t="s">
        <v>1</v>
      </c>
      <c r="C2" s="74"/>
      <c r="D2" s="74"/>
      <c r="E2" s="74"/>
      <c r="F2" s="74"/>
      <c r="G2" s="260" t="s">
        <v>2</v>
      </c>
      <c r="H2" s="74"/>
      <c r="I2" s="74"/>
      <c r="J2" s="142" t="s">
        <v>3</v>
      </c>
      <c r="K2" s="87">
        <v>81</v>
      </c>
      <c r="L2" s="74"/>
      <c r="M2" s="141" t="s">
        <v>21</v>
      </c>
      <c r="N2" s="93">
        <f>E13+I37+J45</f>
        <v>17.603808751411481</v>
      </c>
      <c r="O2" s="280"/>
    </row>
    <row r="3" spans="1:15" x14ac:dyDescent="0.3">
      <c r="A3" s="279" t="s">
        <v>5</v>
      </c>
      <c r="B3" s="1" t="s">
        <v>6</v>
      </c>
      <c r="C3" s="74"/>
      <c r="D3" s="141" t="s">
        <v>10</v>
      </c>
      <c r="E3" s="260"/>
      <c r="F3" s="74"/>
      <c r="G3" s="74"/>
      <c r="H3" s="74"/>
      <c r="I3" s="74"/>
      <c r="J3" s="74"/>
      <c r="K3" s="74"/>
      <c r="L3" s="74"/>
      <c r="M3" s="141" t="s">
        <v>7</v>
      </c>
      <c r="N3" s="89">
        <v>2</v>
      </c>
      <c r="O3" s="280"/>
    </row>
    <row r="4" spans="1:15" x14ac:dyDescent="0.3">
      <c r="A4" s="279" t="s">
        <v>8</v>
      </c>
      <c r="B4" s="1" t="s">
        <v>353</v>
      </c>
      <c r="C4" s="74"/>
      <c r="D4" s="141" t="s">
        <v>12</v>
      </c>
      <c r="E4" s="74"/>
      <c r="F4" s="74"/>
      <c r="G4" s="74"/>
      <c r="H4" s="74"/>
      <c r="I4" s="74"/>
      <c r="J4" s="143" t="s">
        <v>10</v>
      </c>
      <c r="K4" s="74"/>
      <c r="L4" s="74"/>
      <c r="M4" s="74"/>
      <c r="N4" s="74"/>
      <c r="O4" s="280"/>
    </row>
    <row r="5" spans="1:15" x14ac:dyDescent="0.3">
      <c r="A5" s="279" t="s">
        <v>11</v>
      </c>
      <c r="B5" s="6" t="s">
        <v>352</v>
      </c>
      <c r="C5" s="74"/>
      <c r="D5" s="141" t="s">
        <v>16</v>
      </c>
      <c r="E5" s="74"/>
      <c r="F5" s="74"/>
      <c r="G5" s="74"/>
      <c r="H5" s="74"/>
      <c r="I5" s="74"/>
      <c r="J5" s="143" t="s">
        <v>12</v>
      </c>
      <c r="K5" s="74"/>
      <c r="L5" s="74"/>
      <c r="M5" s="141" t="s">
        <v>13</v>
      </c>
      <c r="N5" s="93">
        <f>N3*N2</f>
        <v>35.207617502822963</v>
      </c>
      <c r="O5" s="280"/>
    </row>
    <row r="6" spans="1:15" x14ac:dyDescent="0.3">
      <c r="A6" s="279" t="s">
        <v>14</v>
      </c>
      <c r="B6" s="1" t="s">
        <v>15</v>
      </c>
      <c r="C6" s="74"/>
      <c r="D6" s="74"/>
      <c r="E6" s="74"/>
      <c r="F6" s="74"/>
      <c r="G6" s="74"/>
      <c r="H6" s="74"/>
      <c r="I6" s="74"/>
      <c r="J6" s="143" t="s">
        <v>16</v>
      </c>
      <c r="K6" s="74"/>
      <c r="L6" s="74"/>
      <c r="M6" s="74"/>
      <c r="N6" s="74"/>
      <c r="O6" s="280"/>
    </row>
    <row r="7" spans="1:15" x14ac:dyDescent="0.3">
      <c r="A7" s="279" t="s">
        <v>17</v>
      </c>
      <c r="B7" s="86" t="s">
        <v>354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280"/>
    </row>
    <row r="8" spans="1:15" x14ac:dyDescent="0.3">
      <c r="A8" s="281"/>
      <c r="B8" s="94"/>
      <c r="C8" s="94"/>
      <c r="D8" s="94"/>
      <c r="E8" s="94"/>
      <c r="F8" s="74"/>
      <c r="G8" s="74"/>
      <c r="H8" s="74"/>
      <c r="I8" s="74"/>
      <c r="J8" s="74"/>
      <c r="K8" s="74"/>
      <c r="L8" s="74"/>
      <c r="M8" s="74"/>
      <c r="N8" s="74"/>
      <c r="O8" s="280"/>
    </row>
    <row r="9" spans="1:15" x14ac:dyDescent="0.3">
      <c r="A9" s="282" t="s">
        <v>19</v>
      </c>
      <c r="B9" s="64" t="s">
        <v>20</v>
      </c>
      <c r="C9" s="64" t="s">
        <v>21</v>
      </c>
      <c r="D9" s="64" t="s">
        <v>22</v>
      </c>
      <c r="E9" s="64" t="s">
        <v>23</v>
      </c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112">
        <v>10</v>
      </c>
      <c r="B10" s="38" t="str">
        <f>'ST 05001'!B5</f>
        <v>Steering rod tube</v>
      </c>
      <c r="C10" s="113">
        <f>'[2]SU 12001'!N2</f>
        <v>9.0687098494115101</v>
      </c>
      <c r="D10" s="314">
        <f>SU_12001_q</f>
        <v>1</v>
      </c>
      <c r="E10" s="113">
        <f>C10*D10</f>
        <v>9.0687098494115101</v>
      </c>
      <c r="F10" s="74"/>
      <c r="G10" s="74"/>
      <c r="H10" s="74"/>
      <c r="I10" s="74"/>
      <c r="J10" s="74"/>
      <c r="K10" s="74"/>
      <c r="L10" s="74"/>
      <c r="M10" s="74"/>
      <c r="N10" s="74"/>
      <c r="O10" s="280"/>
    </row>
    <row r="11" spans="1:15" x14ac:dyDescent="0.3">
      <c r="A11" s="112">
        <v>20</v>
      </c>
      <c r="B11" s="38" t="str">
        <f>'ST 05002'!B5</f>
        <v>Steering rod insert</v>
      </c>
      <c r="C11" s="113">
        <f>'[2]SU 12002'!N2</f>
        <v>1.5833945082514056</v>
      </c>
      <c r="D11" s="314">
        <f>SU_12002_q</f>
        <v>2</v>
      </c>
      <c r="E11" s="113">
        <f t="shared" ref="E11:E12" si="0">C11*D11</f>
        <v>3.1667890165028112</v>
      </c>
      <c r="F11" s="74"/>
      <c r="G11" s="74"/>
      <c r="H11" s="74"/>
      <c r="I11" s="74"/>
      <c r="J11" s="74"/>
      <c r="K11" s="74"/>
      <c r="L11" s="74"/>
      <c r="M11" s="74"/>
      <c r="N11" s="74"/>
      <c r="O11" s="280"/>
    </row>
    <row r="12" spans="1:15" x14ac:dyDescent="0.3">
      <c r="A12" s="112">
        <v>30</v>
      </c>
      <c r="B12" s="38" t="str">
        <f>'ST 05003'!B5</f>
        <v>Spacer</v>
      </c>
      <c r="C12" s="113">
        <f>'[2]SU 12003'!N2</f>
        <v>0.34825628167808953</v>
      </c>
      <c r="D12" s="314">
        <f>SU_12003_q</f>
        <v>2</v>
      </c>
      <c r="E12" s="113">
        <f t="shared" si="0"/>
        <v>0.69651256335617906</v>
      </c>
      <c r="F12" s="74"/>
      <c r="G12" s="74"/>
      <c r="H12" s="74"/>
      <c r="I12" s="74"/>
      <c r="J12" s="74"/>
      <c r="K12" s="74"/>
      <c r="L12" s="74"/>
      <c r="M12" s="74"/>
      <c r="N12" s="74"/>
      <c r="O12" s="280"/>
    </row>
    <row r="13" spans="1:15" x14ac:dyDescent="0.3">
      <c r="A13" s="283"/>
      <c r="B13" s="1"/>
      <c r="C13" s="1"/>
      <c r="D13" s="62" t="s">
        <v>23</v>
      </c>
      <c r="E13" s="63">
        <f>SUM(E10:E12)</f>
        <v>12.932011429270501</v>
      </c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283"/>
      <c r="B14" s="1"/>
      <c r="C14" s="273"/>
      <c r="D14" s="274"/>
      <c r="E14" s="275"/>
      <c r="F14" s="273"/>
      <c r="G14" s="273"/>
      <c r="H14" s="1"/>
      <c r="I14" s="1"/>
      <c r="J14" s="1"/>
      <c r="K14" s="1"/>
      <c r="L14" s="1"/>
      <c r="M14" s="1"/>
      <c r="N14" s="1"/>
      <c r="O14" s="280"/>
    </row>
    <row r="15" spans="1:15" x14ac:dyDescent="0.3">
      <c r="A15" s="282" t="s">
        <v>19</v>
      </c>
      <c r="B15" s="64" t="s">
        <v>28</v>
      </c>
      <c r="C15" s="64" t="s">
        <v>29</v>
      </c>
      <c r="D15" s="64" t="s">
        <v>30</v>
      </c>
      <c r="E15" s="64" t="s">
        <v>31</v>
      </c>
      <c r="F15" s="64" t="s">
        <v>32</v>
      </c>
      <c r="G15" s="64" t="s">
        <v>33</v>
      </c>
      <c r="H15" s="64" t="s">
        <v>34</v>
      </c>
      <c r="I15" s="64" t="s">
        <v>35</v>
      </c>
      <c r="J15" s="64" t="s">
        <v>36</v>
      </c>
      <c r="K15" s="64" t="s">
        <v>37</v>
      </c>
      <c r="L15" s="64" t="s">
        <v>38</v>
      </c>
      <c r="M15" s="64" t="s">
        <v>22</v>
      </c>
      <c r="N15" s="64" t="s">
        <v>23</v>
      </c>
      <c r="O15" s="280"/>
    </row>
    <row r="16" spans="1:15" x14ac:dyDescent="0.3">
      <c r="A16" s="284">
        <v>10</v>
      </c>
      <c r="B16" s="264" t="s">
        <v>357</v>
      </c>
      <c r="C16" s="264" t="s">
        <v>358</v>
      </c>
      <c r="D16" s="265">
        <f>0.02*E16^2+1.22</f>
        <v>1.94</v>
      </c>
      <c r="E16" s="264">
        <v>6</v>
      </c>
      <c r="F16" s="264" t="s">
        <v>62</v>
      </c>
      <c r="G16" s="264"/>
      <c r="H16" s="266"/>
      <c r="I16" s="267" t="s">
        <v>359</v>
      </c>
      <c r="J16" s="268"/>
      <c r="K16" s="266"/>
      <c r="L16" s="266"/>
      <c r="M16" s="268">
        <v>1</v>
      </c>
      <c r="N16" s="45">
        <f>D16*M16</f>
        <v>1.94</v>
      </c>
      <c r="O16" s="280"/>
    </row>
    <row r="17" spans="1:15" s="271" customFormat="1" x14ac:dyDescent="0.3">
      <c r="A17" s="284">
        <v>20</v>
      </c>
      <c r="B17" s="264" t="s">
        <v>357</v>
      </c>
      <c r="C17" s="264" t="s">
        <v>360</v>
      </c>
      <c r="D17" s="265">
        <f>0.02*E17^2+1.22</f>
        <v>1.94</v>
      </c>
      <c r="E17" s="264">
        <v>6</v>
      </c>
      <c r="F17" s="264" t="s">
        <v>62</v>
      </c>
      <c r="G17" s="264"/>
      <c r="H17" s="266"/>
      <c r="I17" s="269" t="s">
        <v>359</v>
      </c>
      <c r="J17" s="268"/>
      <c r="K17" s="266"/>
      <c r="L17" s="270"/>
      <c r="M17" s="268">
        <v>1</v>
      </c>
      <c r="N17" s="45">
        <f>D17*M17</f>
        <v>1.94</v>
      </c>
      <c r="O17" s="285"/>
    </row>
    <row r="18" spans="1:15" x14ac:dyDescent="0.3">
      <c r="A18" s="281"/>
      <c r="B18" s="272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64" t="s">
        <v>23</v>
      </c>
      <c r="N18" s="64">
        <f>SUM(N16:N17)</f>
        <v>3.88</v>
      </c>
      <c r="O18" s="280"/>
    </row>
    <row r="19" spans="1:15" x14ac:dyDescent="0.3">
      <c r="A19" s="28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0"/>
    </row>
    <row r="20" spans="1:15" x14ac:dyDescent="0.3">
      <c r="A20" s="282" t="s">
        <v>19</v>
      </c>
      <c r="B20" s="64" t="s">
        <v>42</v>
      </c>
      <c r="C20" s="64" t="s">
        <v>29</v>
      </c>
      <c r="D20" s="64" t="s">
        <v>30</v>
      </c>
      <c r="E20" s="64" t="s">
        <v>43</v>
      </c>
      <c r="F20" s="64" t="s">
        <v>22</v>
      </c>
      <c r="G20" s="64" t="s">
        <v>44</v>
      </c>
      <c r="H20" s="64" t="s">
        <v>45</v>
      </c>
      <c r="I20" s="64" t="s">
        <v>23</v>
      </c>
      <c r="J20" s="34"/>
      <c r="K20" s="34"/>
      <c r="L20" s="34"/>
      <c r="M20" s="34"/>
      <c r="N20" s="34"/>
      <c r="O20" s="280"/>
    </row>
    <row r="21" spans="1:15" ht="28.8" x14ac:dyDescent="0.3">
      <c r="A21" s="263">
        <v>10</v>
      </c>
      <c r="B21" s="26" t="s">
        <v>361</v>
      </c>
      <c r="C21" s="293" t="s">
        <v>362</v>
      </c>
      <c r="D21" s="28">
        <v>0.02</v>
      </c>
      <c r="E21" s="293" t="s">
        <v>363</v>
      </c>
      <c r="F21" s="294">
        <v>6.6</v>
      </c>
      <c r="G21" s="295"/>
      <c r="H21" s="294">
        <v>1</v>
      </c>
      <c r="I21" s="28">
        <f>D21*F21*H21</f>
        <v>0.13200000000000001</v>
      </c>
      <c r="J21" s="74"/>
      <c r="K21" s="74"/>
      <c r="L21" s="74"/>
      <c r="M21" s="74"/>
      <c r="N21" s="74"/>
      <c r="O21" s="262"/>
    </row>
    <row r="22" spans="1:15" ht="28.8" x14ac:dyDescent="0.3">
      <c r="A22" s="263">
        <f>A21+10</f>
        <v>20</v>
      </c>
      <c r="B22" s="26" t="s">
        <v>361</v>
      </c>
      <c r="C22" s="293" t="s">
        <v>364</v>
      </c>
      <c r="D22" s="28">
        <v>0.02</v>
      </c>
      <c r="E22" s="293" t="s">
        <v>363</v>
      </c>
      <c r="F22" s="294">
        <v>6.6</v>
      </c>
      <c r="G22" s="294"/>
      <c r="H22" s="294">
        <v>1</v>
      </c>
      <c r="I22" s="28">
        <f t="shared" ref="I22:I36" si="1">D22*F22*H22</f>
        <v>0.13200000000000001</v>
      </c>
      <c r="J22" s="74"/>
      <c r="K22" s="74"/>
      <c r="L22" s="74"/>
      <c r="M22" s="74"/>
      <c r="N22" s="74"/>
      <c r="O22" s="262"/>
    </row>
    <row r="23" spans="1:15" x14ac:dyDescent="0.3">
      <c r="A23" s="263">
        <f t="shared" ref="A23:A36" si="2">A22+10</f>
        <v>30</v>
      </c>
      <c r="B23" s="296" t="s">
        <v>365</v>
      </c>
      <c r="C23" s="297" t="s">
        <v>366</v>
      </c>
      <c r="D23" s="93">
        <v>0.02</v>
      </c>
      <c r="E23" s="297" t="s">
        <v>150</v>
      </c>
      <c r="F23" s="294">
        <v>6.6</v>
      </c>
      <c r="G23" s="297"/>
      <c r="H23" s="297">
        <v>1</v>
      </c>
      <c r="I23" s="28">
        <f t="shared" si="1"/>
        <v>0.13200000000000001</v>
      </c>
      <c r="J23" s="74"/>
      <c r="K23" s="74"/>
      <c r="L23" s="74"/>
      <c r="M23" s="74"/>
      <c r="N23" s="74"/>
      <c r="O23" s="262"/>
    </row>
    <row r="24" spans="1:15" x14ac:dyDescent="0.3">
      <c r="A24" s="263">
        <f t="shared" si="2"/>
        <v>40</v>
      </c>
      <c r="B24" s="298" t="s">
        <v>367</v>
      </c>
      <c r="C24" s="299" t="s">
        <v>368</v>
      </c>
      <c r="D24" s="93">
        <v>0.12</v>
      </c>
      <c r="E24" s="263" t="s">
        <v>129</v>
      </c>
      <c r="F24" s="263">
        <v>1</v>
      </c>
      <c r="G24" s="263"/>
      <c r="H24" s="263">
        <v>1</v>
      </c>
      <c r="I24" s="28">
        <f t="shared" si="1"/>
        <v>0.12</v>
      </c>
      <c r="J24" s="74"/>
      <c r="K24" s="74"/>
      <c r="L24" s="74"/>
      <c r="M24" s="74"/>
      <c r="N24" s="74"/>
      <c r="O24" s="262"/>
    </row>
    <row r="25" spans="1:15" x14ac:dyDescent="0.3">
      <c r="A25" s="263">
        <f t="shared" si="2"/>
        <v>50</v>
      </c>
      <c r="B25" s="298" t="s">
        <v>369</v>
      </c>
      <c r="C25" s="299" t="s">
        <v>370</v>
      </c>
      <c r="D25" s="93">
        <v>0.5</v>
      </c>
      <c r="E25" s="300" t="s">
        <v>129</v>
      </c>
      <c r="F25" s="263">
        <v>1</v>
      </c>
      <c r="G25" s="263"/>
      <c r="H25" s="263">
        <v>1</v>
      </c>
      <c r="I25" s="28">
        <f t="shared" si="1"/>
        <v>0.5</v>
      </c>
      <c r="J25" s="74"/>
      <c r="K25" s="74"/>
      <c r="L25" s="74"/>
      <c r="M25" s="74"/>
      <c r="N25" s="74"/>
      <c r="O25" s="262"/>
    </row>
    <row r="26" spans="1:15" x14ac:dyDescent="0.3">
      <c r="A26" s="263">
        <f t="shared" si="2"/>
        <v>60</v>
      </c>
      <c r="B26" s="298" t="s">
        <v>158</v>
      </c>
      <c r="C26" s="299" t="s">
        <v>371</v>
      </c>
      <c r="D26" s="93">
        <v>1.5</v>
      </c>
      <c r="E26" s="263" t="s">
        <v>129</v>
      </c>
      <c r="F26" s="263">
        <v>1</v>
      </c>
      <c r="G26" s="263"/>
      <c r="H26" s="263">
        <v>1</v>
      </c>
      <c r="I26" s="28">
        <f t="shared" si="1"/>
        <v>1.5</v>
      </c>
      <c r="J26" s="74"/>
      <c r="K26" s="74"/>
      <c r="L26" s="74"/>
      <c r="M26" s="74"/>
      <c r="N26" s="74"/>
      <c r="O26" s="262"/>
    </row>
    <row r="27" spans="1:15" x14ac:dyDescent="0.3">
      <c r="A27" s="263">
        <f t="shared" si="2"/>
        <v>70</v>
      </c>
      <c r="B27" s="298" t="s">
        <v>372</v>
      </c>
      <c r="C27" s="299" t="s">
        <v>371</v>
      </c>
      <c r="D27" s="93">
        <v>0.25</v>
      </c>
      <c r="E27" s="263" t="s">
        <v>129</v>
      </c>
      <c r="F27" s="263">
        <v>1</v>
      </c>
      <c r="G27" s="263"/>
      <c r="H27" s="263">
        <v>1</v>
      </c>
      <c r="I27" s="28">
        <f t="shared" si="1"/>
        <v>0.25</v>
      </c>
      <c r="J27" s="74"/>
      <c r="K27" s="74"/>
      <c r="L27" s="74"/>
      <c r="M27" s="74"/>
      <c r="N27" s="74"/>
      <c r="O27" s="262"/>
    </row>
    <row r="28" spans="1:15" x14ac:dyDescent="0.3">
      <c r="A28" s="263">
        <f t="shared" si="2"/>
        <v>80</v>
      </c>
      <c r="B28" s="299" t="s">
        <v>373</v>
      </c>
      <c r="C28" s="299" t="s">
        <v>374</v>
      </c>
      <c r="D28" s="301">
        <v>0.06</v>
      </c>
      <c r="E28" s="302" t="s">
        <v>129</v>
      </c>
      <c r="F28" s="302">
        <v>1</v>
      </c>
      <c r="G28" s="302"/>
      <c r="H28" s="302">
        <v>1</v>
      </c>
      <c r="I28" s="28">
        <f t="shared" si="1"/>
        <v>0.06</v>
      </c>
      <c r="J28" s="74"/>
      <c r="K28" s="74"/>
      <c r="L28" s="74"/>
      <c r="M28" s="74"/>
      <c r="N28" s="74"/>
      <c r="O28" s="262"/>
    </row>
    <row r="29" spans="1:15" x14ac:dyDescent="0.3">
      <c r="A29" s="263">
        <f t="shared" si="2"/>
        <v>90</v>
      </c>
      <c r="B29" s="299" t="s">
        <v>373</v>
      </c>
      <c r="C29" s="299" t="s">
        <v>375</v>
      </c>
      <c r="D29" s="301">
        <v>0.06</v>
      </c>
      <c r="E29" s="302" t="s">
        <v>129</v>
      </c>
      <c r="F29" s="302">
        <v>1</v>
      </c>
      <c r="G29" s="302"/>
      <c r="H29" s="302">
        <v>1</v>
      </c>
      <c r="I29" s="28">
        <f t="shared" si="1"/>
        <v>0.06</v>
      </c>
      <c r="J29" s="74"/>
      <c r="K29" s="74"/>
      <c r="L29" s="74"/>
      <c r="M29" s="74"/>
      <c r="N29" s="74"/>
      <c r="O29" s="262"/>
    </row>
    <row r="30" spans="1:15" x14ac:dyDescent="0.3">
      <c r="A30" s="263">
        <f t="shared" si="2"/>
        <v>100</v>
      </c>
      <c r="B30" s="298" t="s">
        <v>367</v>
      </c>
      <c r="C30" s="299" t="s">
        <v>376</v>
      </c>
      <c r="D30" s="301">
        <v>0.12</v>
      </c>
      <c r="E30" s="302" t="s">
        <v>129</v>
      </c>
      <c r="F30" s="302">
        <v>1</v>
      </c>
      <c r="G30" s="302"/>
      <c r="H30" s="302">
        <v>1</v>
      </c>
      <c r="I30" s="28">
        <f t="shared" si="1"/>
        <v>0.12</v>
      </c>
      <c r="J30" s="74"/>
      <c r="K30" s="74"/>
      <c r="L30" s="74"/>
      <c r="M30" s="74"/>
      <c r="N30" s="74"/>
      <c r="O30" s="262"/>
    </row>
    <row r="31" spans="1:15" x14ac:dyDescent="0.3">
      <c r="A31" s="263">
        <f t="shared" si="2"/>
        <v>110</v>
      </c>
      <c r="B31" s="302" t="s">
        <v>373</v>
      </c>
      <c r="C31" s="299" t="s">
        <v>377</v>
      </c>
      <c r="D31" s="301">
        <v>0.06</v>
      </c>
      <c r="E31" s="302" t="s">
        <v>129</v>
      </c>
      <c r="F31" s="302">
        <v>1</v>
      </c>
      <c r="G31" s="302"/>
      <c r="H31" s="302">
        <v>1</v>
      </c>
      <c r="I31" s="28">
        <f t="shared" si="1"/>
        <v>0.06</v>
      </c>
      <c r="J31" s="74"/>
      <c r="K31" s="74"/>
      <c r="L31" s="74"/>
      <c r="M31" s="74"/>
      <c r="N31" s="74"/>
      <c r="O31" s="262"/>
    </row>
    <row r="32" spans="1:15" s="304" customFormat="1" x14ac:dyDescent="0.3">
      <c r="A32" s="263">
        <f t="shared" si="2"/>
        <v>120</v>
      </c>
      <c r="B32" s="302" t="s">
        <v>373</v>
      </c>
      <c r="C32" s="299" t="s">
        <v>378</v>
      </c>
      <c r="D32" s="301">
        <v>0.06</v>
      </c>
      <c r="E32" s="302" t="s">
        <v>129</v>
      </c>
      <c r="F32" s="302">
        <v>1</v>
      </c>
      <c r="G32" s="302"/>
      <c r="H32" s="302">
        <v>1</v>
      </c>
      <c r="I32" s="28">
        <f t="shared" si="1"/>
        <v>0.06</v>
      </c>
      <c r="J32" s="90"/>
      <c r="K32" s="90"/>
      <c r="L32" s="90"/>
      <c r="M32" s="90"/>
      <c r="N32" s="90"/>
      <c r="O32" s="303"/>
    </row>
    <row r="33" spans="1:15" s="306" customFormat="1" x14ac:dyDescent="0.3">
      <c r="A33" s="263">
        <f t="shared" si="2"/>
        <v>130</v>
      </c>
      <c r="B33" s="298" t="s">
        <v>367</v>
      </c>
      <c r="C33" s="299" t="s">
        <v>379</v>
      </c>
      <c r="D33" s="301">
        <v>0.12</v>
      </c>
      <c r="E33" s="302" t="s">
        <v>129</v>
      </c>
      <c r="F33" s="302">
        <v>1</v>
      </c>
      <c r="G33" s="302"/>
      <c r="H33" s="302">
        <v>1</v>
      </c>
      <c r="I33" s="28">
        <f t="shared" si="1"/>
        <v>0.12</v>
      </c>
      <c r="J33" s="90"/>
      <c r="K33" s="90"/>
      <c r="L33" s="90"/>
      <c r="M33" s="90"/>
      <c r="N33" s="90"/>
      <c r="O33" s="305"/>
    </row>
    <row r="34" spans="1:15" s="306" customFormat="1" x14ac:dyDescent="0.3">
      <c r="A34" s="263">
        <f t="shared" si="2"/>
        <v>140</v>
      </c>
      <c r="B34" s="298" t="s">
        <v>367</v>
      </c>
      <c r="C34" s="299" t="s">
        <v>380</v>
      </c>
      <c r="D34" s="301">
        <v>0.12</v>
      </c>
      <c r="E34" s="302" t="s">
        <v>129</v>
      </c>
      <c r="F34" s="302">
        <v>1</v>
      </c>
      <c r="G34" s="302"/>
      <c r="H34" s="302">
        <v>1</v>
      </c>
      <c r="I34" s="28">
        <f t="shared" si="1"/>
        <v>0.12</v>
      </c>
      <c r="J34" s="90"/>
      <c r="K34" s="90"/>
      <c r="L34" s="90"/>
      <c r="M34" s="90"/>
      <c r="N34" s="90"/>
      <c r="O34" s="305"/>
    </row>
    <row r="35" spans="1:15" s="304" customFormat="1" ht="14.4" customHeight="1" x14ac:dyDescent="0.3">
      <c r="A35" s="263">
        <f t="shared" si="2"/>
        <v>150</v>
      </c>
      <c r="B35" s="298" t="s">
        <v>145</v>
      </c>
      <c r="C35" s="299" t="s">
        <v>371</v>
      </c>
      <c r="D35" s="301">
        <v>0.75</v>
      </c>
      <c r="E35" s="302" t="s">
        <v>129</v>
      </c>
      <c r="F35" s="302">
        <v>1</v>
      </c>
      <c r="G35" s="302"/>
      <c r="H35" s="302">
        <v>1</v>
      </c>
      <c r="I35" s="28">
        <f t="shared" si="1"/>
        <v>0.75</v>
      </c>
      <c r="J35" s="90"/>
      <c r="K35" s="90"/>
      <c r="L35" s="90"/>
      <c r="M35" s="90"/>
      <c r="N35" s="90"/>
      <c r="O35" s="303"/>
    </row>
    <row r="36" spans="1:15" s="304" customFormat="1" ht="14.4" customHeight="1" x14ac:dyDescent="0.3">
      <c r="A36" s="263">
        <f t="shared" si="2"/>
        <v>160</v>
      </c>
      <c r="B36" s="298" t="s">
        <v>372</v>
      </c>
      <c r="C36" s="299" t="s">
        <v>371</v>
      </c>
      <c r="D36" s="301">
        <v>0.25</v>
      </c>
      <c r="E36" s="302" t="s">
        <v>129</v>
      </c>
      <c r="F36" s="302">
        <v>1</v>
      </c>
      <c r="G36" s="302"/>
      <c r="H36" s="302">
        <v>1</v>
      </c>
      <c r="I36" s="28">
        <f t="shared" si="1"/>
        <v>0.25</v>
      </c>
      <c r="J36" s="90"/>
      <c r="K36" s="90"/>
      <c r="L36" s="90"/>
      <c r="M36" s="90"/>
      <c r="N36" s="90"/>
      <c r="O36" s="303"/>
    </row>
    <row r="37" spans="1:15" x14ac:dyDescent="0.3">
      <c r="A37" s="286"/>
      <c r="B37" s="34"/>
      <c r="C37" s="34"/>
      <c r="D37" s="34"/>
      <c r="E37" s="34"/>
      <c r="F37" s="34"/>
      <c r="G37" s="34"/>
      <c r="H37" s="62" t="s">
        <v>23</v>
      </c>
      <c r="I37" s="63">
        <f>SUM(I21:I36)</f>
        <v>4.3660000000000005</v>
      </c>
      <c r="J37" s="34"/>
      <c r="K37" s="34"/>
      <c r="L37" s="136"/>
      <c r="M37" s="34"/>
      <c r="N37" s="34"/>
      <c r="O37" s="280"/>
    </row>
    <row r="38" spans="1:15" x14ac:dyDescent="0.3">
      <c r="A38" s="28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80"/>
    </row>
    <row r="39" spans="1:15" x14ac:dyDescent="0.3">
      <c r="A39" s="282" t="s">
        <v>19</v>
      </c>
      <c r="B39" s="64" t="s">
        <v>63</v>
      </c>
      <c r="C39" s="64" t="s">
        <v>29</v>
      </c>
      <c r="D39" s="64" t="s">
        <v>30</v>
      </c>
      <c r="E39" s="64" t="s">
        <v>31</v>
      </c>
      <c r="F39" s="64" t="s">
        <v>32</v>
      </c>
      <c r="G39" s="64" t="s">
        <v>33</v>
      </c>
      <c r="H39" s="64" t="s">
        <v>34</v>
      </c>
      <c r="I39" s="64" t="s">
        <v>22</v>
      </c>
      <c r="J39" s="64" t="s">
        <v>23</v>
      </c>
      <c r="K39" s="34"/>
      <c r="L39" s="34"/>
      <c r="M39" s="34"/>
      <c r="N39" s="34"/>
      <c r="O39" s="280"/>
    </row>
    <row r="40" spans="1:15" x14ac:dyDescent="0.3">
      <c r="A40" s="263">
        <v>10</v>
      </c>
      <c r="B40" s="263" t="s">
        <v>381</v>
      </c>
      <c r="C40" s="263" t="s">
        <v>382</v>
      </c>
      <c r="D40" s="307">
        <f>0.8/105154*E40^2*G40*SQRT(G40)+0.003*EXP(0.319*E40)</f>
        <v>0.10301760876586051</v>
      </c>
      <c r="E40" s="308">
        <v>6</v>
      </c>
      <c r="F40" s="308" t="s">
        <v>62</v>
      </c>
      <c r="G40" s="308">
        <v>45</v>
      </c>
      <c r="H40" s="308" t="s">
        <v>62</v>
      </c>
      <c r="I40" s="89">
        <v>1</v>
      </c>
      <c r="J40" s="93">
        <f>D40*I40</f>
        <v>0.10301760876586051</v>
      </c>
      <c r="K40" s="74"/>
      <c r="L40" s="74"/>
      <c r="M40" s="74"/>
      <c r="N40" s="74"/>
      <c r="O40" s="262"/>
    </row>
    <row r="41" spans="1:15" x14ac:dyDescent="0.3">
      <c r="A41" s="263">
        <f>A40+10</f>
        <v>20</v>
      </c>
      <c r="B41" s="263" t="s">
        <v>381</v>
      </c>
      <c r="C41" s="263" t="s">
        <v>383</v>
      </c>
      <c r="D41" s="307">
        <f>0.8/105154*E41^2*G41*SQRT(G41)+0.003*EXP(0.319*E41)</f>
        <v>0.10301760876586051</v>
      </c>
      <c r="E41" s="308">
        <v>6</v>
      </c>
      <c r="F41" s="308" t="s">
        <v>62</v>
      </c>
      <c r="G41" s="308">
        <v>45</v>
      </c>
      <c r="H41" s="308" t="s">
        <v>62</v>
      </c>
      <c r="I41" s="89">
        <v>1</v>
      </c>
      <c r="J41" s="93">
        <f t="shared" ref="J41:J44" si="3">D41*I41</f>
        <v>0.10301760876586051</v>
      </c>
      <c r="K41" s="74"/>
      <c r="L41" s="74"/>
      <c r="M41" s="74"/>
      <c r="N41" s="74"/>
      <c r="O41" s="262"/>
    </row>
    <row r="42" spans="1:15" x14ac:dyDescent="0.3">
      <c r="A42" s="263">
        <f t="shared" ref="A42:A44" si="4">A41+10</f>
        <v>30</v>
      </c>
      <c r="B42" s="263" t="s">
        <v>130</v>
      </c>
      <c r="C42" s="263"/>
      <c r="D42" s="307">
        <v>0.01</v>
      </c>
      <c r="E42" s="263">
        <v>6</v>
      </c>
      <c r="F42" s="309" t="s">
        <v>129</v>
      </c>
      <c r="G42" s="263"/>
      <c r="H42" s="263"/>
      <c r="I42" s="89">
        <v>4</v>
      </c>
      <c r="J42" s="93">
        <f t="shared" si="3"/>
        <v>0.04</v>
      </c>
      <c r="K42" s="74"/>
      <c r="L42" s="74"/>
      <c r="M42" s="74"/>
      <c r="N42" s="74"/>
      <c r="O42" s="262"/>
    </row>
    <row r="43" spans="1:15" x14ac:dyDescent="0.3">
      <c r="A43" s="263">
        <f t="shared" si="4"/>
        <v>40</v>
      </c>
      <c r="B43" s="263" t="s">
        <v>132</v>
      </c>
      <c r="C43" s="263" t="s">
        <v>384</v>
      </c>
      <c r="D43" s="307">
        <f>0.009*EXP(0.2*E43)</f>
        <v>2.9881052304628931E-2</v>
      </c>
      <c r="E43" s="263">
        <v>6</v>
      </c>
      <c r="F43" s="309" t="s">
        <v>62</v>
      </c>
      <c r="G43" s="263"/>
      <c r="H43" s="263"/>
      <c r="I43" s="89">
        <v>1</v>
      </c>
      <c r="J43" s="93">
        <f t="shared" si="3"/>
        <v>2.9881052304628931E-2</v>
      </c>
      <c r="K43" s="74"/>
      <c r="L43" s="74"/>
      <c r="M43" s="74"/>
      <c r="N43" s="74"/>
      <c r="O43" s="262"/>
    </row>
    <row r="44" spans="1:15" x14ac:dyDescent="0.3">
      <c r="A44" s="263">
        <f t="shared" si="4"/>
        <v>50</v>
      </c>
      <c r="B44" s="263" t="s">
        <v>132</v>
      </c>
      <c r="C44" s="263" t="s">
        <v>385</v>
      </c>
      <c r="D44" s="307">
        <f>0.009*EXP(0.2*E44)</f>
        <v>2.9881052304628931E-2</v>
      </c>
      <c r="E44" s="263">
        <v>6</v>
      </c>
      <c r="F44" s="309" t="s">
        <v>62</v>
      </c>
      <c r="G44" s="263"/>
      <c r="H44" s="263"/>
      <c r="I44" s="89">
        <v>1</v>
      </c>
      <c r="J44" s="93">
        <f t="shared" si="3"/>
        <v>2.9881052304628931E-2</v>
      </c>
      <c r="K44" s="74"/>
      <c r="L44" s="74"/>
      <c r="M44" s="74"/>
      <c r="N44" s="74"/>
      <c r="O44" s="262"/>
    </row>
    <row r="45" spans="1:15" x14ac:dyDescent="0.3">
      <c r="A45" s="286"/>
      <c r="B45" s="34"/>
      <c r="C45" s="34"/>
      <c r="D45" s="34"/>
      <c r="E45" s="34"/>
      <c r="F45" s="34"/>
      <c r="G45" s="34"/>
      <c r="H45" s="34"/>
      <c r="I45" s="144" t="s">
        <v>23</v>
      </c>
      <c r="J45" s="146">
        <f>SUM(J40:J44)</f>
        <v>0.30579732214097893</v>
      </c>
      <c r="K45" s="1"/>
      <c r="L45" s="1"/>
      <c r="M45" s="1"/>
      <c r="N45" s="1"/>
      <c r="O45" s="280"/>
    </row>
    <row r="46" spans="1:15" ht="15" thickBot="1" x14ac:dyDescent="0.35">
      <c r="A46" s="287"/>
      <c r="B46" s="288"/>
      <c r="C46" s="288"/>
      <c r="D46" s="288"/>
      <c r="E46" s="288"/>
      <c r="F46" s="288"/>
      <c r="G46" s="288"/>
      <c r="H46" s="289"/>
      <c r="I46" s="290"/>
      <c r="J46" s="288"/>
      <c r="K46" s="291"/>
      <c r="L46" s="291"/>
      <c r="M46" s="291"/>
      <c r="N46" s="291"/>
      <c r="O46" s="292"/>
    </row>
  </sheetData>
  <hyperlinks>
    <hyperlink ref="G2" location="BOM!A1" display="Back to BOM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7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7.33203125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N12+I16</f>
        <v>9.787952354709665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1"/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1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s="1" t="s">
        <v>355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9.787952354709665</v>
      </c>
      <c r="O5" s="280"/>
    </row>
    <row r="6" spans="1:15" x14ac:dyDescent="0.3">
      <c r="A6" s="310" t="s">
        <v>11</v>
      </c>
      <c r="B6" s="1" t="s">
        <v>386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29.4" customHeight="1" x14ac:dyDescent="0.3">
      <c r="A11" s="316">
        <v>10</v>
      </c>
      <c r="B11" s="317" t="s">
        <v>390</v>
      </c>
      <c r="C11" s="318" t="s">
        <v>391</v>
      </c>
      <c r="D11" s="319">
        <v>200</v>
      </c>
      <c r="E11" s="320">
        <f>J11*K11*L11</f>
        <v>4.3502010465376287E-2</v>
      </c>
      <c r="F11" s="321" t="s">
        <v>41</v>
      </c>
      <c r="G11" s="321"/>
      <c r="H11" s="322"/>
      <c r="I11" s="315" t="s">
        <v>392</v>
      </c>
      <c r="J11" s="323">
        <f>PI()*((8*10^-3)^2-(6*10^-3)^2)</f>
        <v>8.7964594300514196E-5</v>
      </c>
      <c r="K11" s="324">
        <v>0.313</v>
      </c>
      <c r="L11" s="325">
        <v>1580</v>
      </c>
      <c r="M11" s="325">
        <v>1</v>
      </c>
      <c r="N11" s="319">
        <f>D11*E11</f>
        <v>8.7004020930752581</v>
      </c>
      <c r="O11" s="28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8.7004020930752581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x14ac:dyDescent="0.3">
      <c r="A15" s="326">
        <v>10</v>
      </c>
      <c r="B15" s="327" t="s">
        <v>393</v>
      </c>
      <c r="C15" s="328" t="s">
        <v>394</v>
      </c>
      <c r="D15" s="329">
        <v>25</v>
      </c>
      <c r="E15" s="327" t="s">
        <v>41</v>
      </c>
      <c r="F15" s="330">
        <f>E11</f>
        <v>4.3502010465376287E-2</v>
      </c>
      <c r="G15" s="331"/>
      <c r="H15" s="331"/>
      <c r="I15" s="332">
        <f>D15*F15</f>
        <v>1.0875502616344073</v>
      </c>
      <c r="J15" s="333"/>
      <c r="K15" s="333"/>
      <c r="L15" s="333"/>
      <c r="M15" s="333"/>
      <c r="N15" s="333"/>
      <c r="O15" s="280"/>
    </row>
    <row r="16" spans="1:15" x14ac:dyDescent="0.3">
      <c r="A16" s="286"/>
      <c r="B16" s="34"/>
      <c r="C16" s="34"/>
      <c r="D16" s="34"/>
      <c r="E16" s="34"/>
      <c r="F16" s="34"/>
      <c r="G16" s="34"/>
      <c r="H16" s="182" t="s">
        <v>23</v>
      </c>
      <c r="I16" s="183">
        <f>SUM(I15)</f>
        <v>1.0875502616344073</v>
      </c>
      <c r="J16" s="34"/>
      <c r="K16" s="34"/>
      <c r="L16" s="34"/>
      <c r="M16" s="34"/>
      <c r="N16" s="34"/>
      <c r="O16" s="280"/>
    </row>
    <row r="17" spans="1:15" ht="15" thickBot="1" x14ac:dyDescent="0.35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292"/>
    </row>
  </sheetData>
  <hyperlinks>
    <hyperlink ref="F2" location="BOM!A1" display="Back to BOM"/>
  </hyperlinks>
  <pageMargins left="0.31496062992125984" right="0.31496062992125984" top="0.31496062992125984" bottom="0.39370078740157483" header="0.51181102362204722" footer="0.31496062992125984"/>
  <pageSetup paperSize="9" scale="64" fitToHeight="99" orientation="landscape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9.77734375" customWidth="1"/>
    <col min="6" max="6" width="12" bestFit="1" customWidth="1"/>
    <col min="7" max="7" width="20.5546875" customWidth="1"/>
    <col min="8" max="8" width="9.6640625" bestFit="1" customWidth="1"/>
    <col min="9" max="9" width="11.6640625" bestFit="1" customWidth="1"/>
    <col min="10" max="10" width="8.88671875" bestFit="1" customWidth="1"/>
    <col min="11" max="11" width="8.77734375" customWidth="1"/>
    <col min="12" max="12" width="11.109375" customWidth="1"/>
    <col min="13" max="13" width="13.6640625" bestFit="1" customWidth="1"/>
    <col min="14" max="14" width="10.6640625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N12+I20</f>
        <v>2.3146445082514053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2" t="s">
        <v>406</v>
      </c>
      <c r="F3" s="1"/>
      <c r="G3" s="1"/>
      <c r="H3" s="1"/>
      <c r="I3" s="1"/>
      <c r="J3" s="1"/>
      <c r="K3" s="1"/>
      <c r="L3" s="1"/>
      <c r="M3" s="176" t="s">
        <v>7</v>
      </c>
      <c r="N3" s="5">
        <v>1</v>
      </c>
      <c r="O3" s="280"/>
    </row>
    <row r="4" spans="1:15" x14ac:dyDescent="0.3">
      <c r="A4" s="310" t="s">
        <v>8</v>
      </c>
      <c r="B4" s="1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t="s">
        <v>356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2.3146445082514053</v>
      </c>
      <c r="O5" s="280"/>
    </row>
    <row r="6" spans="1:15" x14ac:dyDescent="0.3">
      <c r="A6" s="310" t="s">
        <v>11</v>
      </c>
      <c r="B6" s="1" t="s">
        <v>387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ht="16.2" customHeight="1" x14ac:dyDescent="0.3">
      <c r="A11" s="340">
        <v>10</v>
      </c>
      <c r="B11" s="341" t="s">
        <v>395</v>
      </c>
      <c r="C11" s="340" t="s">
        <v>396</v>
      </c>
      <c r="D11" s="342">
        <v>4.2</v>
      </c>
      <c r="E11" s="343">
        <f>J11*K11*L11</f>
        <v>6.9915359107477454E-2</v>
      </c>
      <c r="F11" s="340" t="s">
        <v>41</v>
      </c>
      <c r="G11" s="340"/>
      <c r="H11" s="344"/>
      <c r="I11" s="345" t="s">
        <v>397</v>
      </c>
      <c r="J11" s="336">
        <f>PI()*9*9/1000000</f>
        <v>2.5446900494077322E-4</v>
      </c>
      <c r="K11" s="337">
        <v>3.5000000000000003E-2</v>
      </c>
      <c r="L11" s="335">
        <v>7850</v>
      </c>
      <c r="M11" s="338">
        <v>1</v>
      </c>
      <c r="N11" s="19">
        <f>D11*E11*M11</f>
        <v>0.29364450825140531</v>
      </c>
      <c r="O11" s="339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0.29364450825140531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28.2" customHeight="1" x14ac:dyDescent="0.3">
      <c r="A15" s="346">
        <v>10</v>
      </c>
      <c r="B15" s="108" t="s">
        <v>46</v>
      </c>
      <c r="C15" s="347" t="s">
        <v>398</v>
      </c>
      <c r="D15" s="13">
        <v>1.3</v>
      </c>
      <c r="E15" s="108" t="s">
        <v>43</v>
      </c>
      <c r="F15" s="348">
        <v>1</v>
      </c>
      <c r="G15" s="349" t="s">
        <v>404</v>
      </c>
      <c r="H15" s="350">
        <f>1/2</f>
        <v>0.5</v>
      </c>
      <c r="I15" s="114">
        <f>D15*F15*H15</f>
        <v>0.65</v>
      </c>
      <c r="J15" s="351"/>
      <c r="K15" s="351"/>
      <c r="L15" s="351"/>
      <c r="M15" s="351"/>
      <c r="N15" s="351"/>
      <c r="O15" s="352"/>
    </row>
    <row r="16" spans="1:15" ht="13.2" customHeight="1" x14ac:dyDescent="0.3">
      <c r="A16" s="346">
        <v>20</v>
      </c>
      <c r="B16" s="108" t="s">
        <v>47</v>
      </c>
      <c r="C16" s="347" t="s">
        <v>399</v>
      </c>
      <c r="D16" s="13">
        <v>0.04</v>
      </c>
      <c r="E16" s="108" t="s">
        <v>48</v>
      </c>
      <c r="F16" s="348">
        <v>5.5</v>
      </c>
      <c r="G16" s="348" t="s">
        <v>60</v>
      </c>
      <c r="H16" s="348">
        <v>3</v>
      </c>
      <c r="I16" s="114">
        <f t="shared" ref="I16:I19" si="0">D16*F16*H16</f>
        <v>0.66</v>
      </c>
      <c r="J16" s="351"/>
      <c r="K16" s="351"/>
      <c r="L16" s="351"/>
      <c r="M16" s="351"/>
      <c r="N16" s="351"/>
      <c r="O16" s="352"/>
    </row>
    <row r="17" spans="1:15" ht="46.2" customHeight="1" x14ac:dyDescent="0.3">
      <c r="A17" s="353">
        <v>30</v>
      </c>
      <c r="B17" s="334" t="s">
        <v>400</v>
      </c>
      <c r="C17" s="354" t="s">
        <v>401</v>
      </c>
      <c r="D17" s="13">
        <v>0.65</v>
      </c>
      <c r="E17" s="334" t="s">
        <v>43</v>
      </c>
      <c r="F17" s="355">
        <v>1</v>
      </c>
      <c r="G17" s="349" t="s">
        <v>404</v>
      </c>
      <c r="H17" s="350">
        <f>1/2</f>
        <v>0.5</v>
      </c>
      <c r="I17" s="114">
        <f t="shared" si="0"/>
        <v>0.32500000000000001</v>
      </c>
      <c r="J17" s="356"/>
      <c r="K17" s="356"/>
      <c r="L17" s="356"/>
      <c r="M17" s="356"/>
      <c r="N17" s="356"/>
      <c r="O17" s="357"/>
    </row>
    <row r="18" spans="1:15" ht="16.8" customHeight="1" x14ac:dyDescent="0.3">
      <c r="A18" s="346">
        <v>40</v>
      </c>
      <c r="B18" s="108" t="s">
        <v>47</v>
      </c>
      <c r="C18" s="347" t="s">
        <v>269</v>
      </c>
      <c r="D18" s="13">
        <v>0.04</v>
      </c>
      <c r="E18" s="108" t="s">
        <v>48</v>
      </c>
      <c r="F18" s="348">
        <v>0.3</v>
      </c>
      <c r="G18" s="348" t="s">
        <v>60</v>
      </c>
      <c r="H18" s="348">
        <v>3</v>
      </c>
      <c r="I18" s="114">
        <f t="shared" si="0"/>
        <v>3.6000000000000004E-2</v>
      </c>
      <c r="J18" s="358"/>
      <c r="K18" s="358"/>
      <c r="L18" s="358"/>
      <c r="M18" s="358"/>
      <c r="N18" s="358"/>
      <c r="O18" s="352"/>
    </row>
    <row r="19" spans="1:15" ht="15" customHeight="1" x14ac:dyDescent="0.3">
      <c r="A19" s="346">
        <v>50</v>
      </c>
      <c r="B19" s="354" t="s">
        <v>402</v>
      </c>
      <c r="C19" s="354" t="s">
        <v>403</v>
      </c>
      <c r="D19" s="13">
        <v>0.35</v>
      </c>
      <c r="E19" s="334" t="s">
        <v>99</v>
      </c>
      <c r="F19" s="355">
        <v>1</v>
      </c>
      <c r="G19" s="75"/>
      <c r="H19" s="348">
        <v>1</v>
      </c>
      <c r="I19" s="114">
        <f t="shared" si="0"/>
        <v>0.35</v>
      </c>
      <c r="J19" s="359"/>
      <c r="K19" s="359"/>
      <c r="L19" s="359"/>
      <c r="M19" s="359"/>
      <c r="N19" s="359"/>
      <c r="O19" s="360"/>
    </row>
    <row r="20" spans="1:15" x14ac:dyDescent="0.3">
      <c r="A20" s="286"/>
      <c r="B20" s="34"/>
      <c r="C20" s="34"/>
      <c r="D20" s="34"/>
      <c r="E20" s="34"/>
      <c r="F20" s="34"/>
      <c r="G20" s="34"/>
      <c r="H20" s="182" t="s">
        <v>23</v>
      </c>
      <c r="I20" s="183">
        <f>SUM(I15:I19)</f>
        <v>2.0209999999999999</v>
      </c>
      <c r="J20" s="34"/>
      <c r="K20" s="34"/>
      <c r="L20" s="34"/>
      <c r="M20" s="34"/>
      <c r="N20" s="34"/>
      <c r="O20" s="280"/>
    </row>
    <row r="21" spans="1:15" ht="15" thickBot="1" x14ac:dyDescent="0.35">
      <c r="A21" s="312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292"/>
    </row>
  </sheetData>
  <hyperlinks>
    <hyperlink ref="F2" location="BOM!A1" display="Back to BOM"/>
    <hyperlink ref="E3" location="dST_05002" display="Drawing"/>
  </hyperlinks>
  <pageMargins left="0.31496062992125984" right="0.31496062992125984" top="0.31496062992125984" bottom="0.39370078740157483" header="0.51181102362204722" footer="0.31496062992125984"/>
  <pageSetup paperSize="9" scale="61" fitToHeight="99" orientation="landscape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1"/>
  <sheetViews>
    <sheetView tabSelected="1" workbookViewId="0">
      <selection activeCell="N37" sqref="N37"/>
    </sheetView>
  </sheetViews>
  <sheetFormatPr baseColWidth="10" defaultRowHeight="14.4" x14ac:dyDescent="0.3"/>
  <sheetData>
    <row r="1" spans="1:2" x14ac:dyDescent="0.3">
      <c r="A1" t="s">
        <v>405</v>
      </c>
      <c r="B1" s="70" t="s">
        <v>411</v>
      </c>
    </row>
  </sheetData>
  <hyperlinks>
    <hyperlink ref="B1" location="ST_05002" display="ST_05002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8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9.109375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10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181" t="s">
        <v>3</v>
      </c>
      <c r="K2" s="3">
        <v>81</v>
      </c>
      <c r="L2" s="1"/>
      <c r="M2" s="176" t="s">
        <v>21</v>
      </c>
      <c r="N2" s="4">
        <f>N12+I17</f>
        <v>0.33667037599999999</v>
      </c>
      <c r="O2" s="280"/>
    </row>
    <row r="3" spans="1:15" x14ac:dyDescent="0.3">
      <c r="A3" s="310" t="s">
        <v>5</v>
      </c>
      <c r="B3" s="1" t="s">
        <v>6</v>
      </c>
      <c r="C3" s="1"/>
      <c r="D3" s="176" t="s">
        <v>10</v>
      </c>
      <c r="E3" s="2" t="s">
        <v>406</v>
      </c>
      <c r="F3" s="1"/>
      <c r="G3" s="1"/>
      <c r="H3" s="1"/>
      <c r="I3" s="1"/>
      <c r="J3" s="1"/>
      <c r="K3" s="1"/>
      <c r="L3" s="1"/>
      <c r="M3" s="176" t="s">
        <v>7</v>
      </c>
      <c r="N3" s="5">
        <v>4</v>
      </c>
      <c r="O3" s="280"/>
    </row>
    <row r="4" spans="1:15" x14ac:dyDescent="0.3">
      <c r="A4" s="310" t="s">
        <v>8</v>
      </c>
      <c r="B4" s="1" t="s">
        <v>353</v>
      </c>
      <c r="C4" s="1"/>
      <c r="D4" s="176" t="s">
        <v>12</v>
      </c>
      <c r="E4" s="1"/>
      <c r="F4" s="1"/>
      <c r="G4" s="1"/>
      <c r="H4" s="1"/>
      <c r="I4" s="1"/>
      <c r="J4" s="176" t="s">
        <v>10</v>
      </c>
      <c r="K4" s="1"/>
      <c r="L4" s="1"/>
      <c r="M4" s="1"/>
      <c r="N4" s="1"/>
      <c r="O4" s="280"/>
    </row>
    <row r="5" spans="1:15" x14ac:dyDescent="0.3">
      <c r="A5" s="310" t="s">
        <v>20</v>
      </c>
      <c r="B5" t="s">
        <v>389</v>
      </c>
      <c r="C5" s="1"/>
      <c r="D5" s="176" t="s">
        <v>16</v>
      </c>
      <c r="E5" s="1"/>
      <c r="F5" s="1"/>
      <c r="G5" s="1"/>
      <c r="H5" s="1"/>
      <c r="I5" s="1"/>
      <c r="J5" s="176" t="s">
        <v>12</v>
      </c>
      <c r="K5" s="1"/>
      <c r="L5" s="1"/>
      <c r="M5" s="176" t="s">
        <v>13</v>
      </c>
      <c r="N5" s="4">
        <f>N2*N3</f>
        <v>1.346681504</v>
      </c>
      <c r="O5" s="280"/>
    </row>
    <row r="6" spans="1:15" x14ac:dyDescent="0.3">
      <c r="A6" s="310" t="s">
        <v>11</v>
      </c>
      <c r="B6" s="1" t="s">
        <v>388</v>
      </c>
      <c r="C6" s="1"/>
      <c r="D6" s="1"/>
      <c r="E6" s="1"/>
      <c r="F6" s="1"/>
      <c r="G6" s="1"/>
      <c r="H6" s="1"/>
      <c r="I6" s="1"/>
      <c r="J6" s="176" t="s">
        <v>16</v>
      </c>
      <c r="K6" s="1"/>
      <c r="L6" s="1"/>
      <c r="M6" s="1"/>
      <c r="N6" s="1"/>
      <c r="O6" s="280"/>
    </row>
    <row r="7" spans="1:15" x14ac:dyDescent="0.3">
      <c r="A7" s="310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80"/>
    </row>
    <row r="8" spans="1:15" x14ac:dyDescent="0.3">
      <c r="A8" s="310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80"/>
    </row>
    <row r="9" spans="1:15" x14ac:dyDescent="0.3">
      <c r="A9" s="28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0"/>
    </row>
    <row r="10" spans="1:15" x14ac:dyDescent="0.3">
      <c r="A10" s="311" t="s">
        <v>19</v>
      </c>
      <c r="B10" s="177" t="s">
        <v>28</v>
      </c>
      <c r="C10" s="177" t="s">
        <v>29</v>
      </c>
      <c r="D10" s="177" t="s">
        <v>30</v>
      </c>
      <c r="E10" s="177" t="s">
        <v>31</v>
      </c>
      <c r="F10" s="177" t="s">
        <v>32</v>
      </c>
      <c r="G10" s="177" t="s">
        <v>33</v>
      </c>
      <c r="H10" s="177" t="s">
        <v>34</v>
      </c>
      <c r="I10" s="177" t="s">
        <v>35</v>
      </c>
      <c r="J10" s="177" t="s">
        <v>36</v>
      </c>
      <c r="K10" s="177" t="s">
        <v>37</v>
      </c>
      <c r="L10" s="177" t="s">
        <v>38</v>
      </c>
      <c r="M10" s="177" t="s">
        <v>22</v>
      </c>
      <c r="N10" s="177" t="s">
        <v>23</v>
      </c>
      <c r="O10" s="280"/>
    </row>
    <row r="11" spans="1:15" x14ac:dyDescent="0.3">
      <c r="A11" s="334">
        <v>10</v>
      </c>
      <c r="B11" s="354" t="s">
        <v>39</v>
      </c>
      <c r="C11" s="361"/>
      <c r="D11" s="8">
        <v>2.25</v>
      </c>
      <c r="E11" s="362">
        <f>J11*K11*L11</f>
        <v>1.3409056000000001E-2</v>
      </c>
      <c r="F11" s="363" t="s">
        <v>407</v>
      </c>
      <c r="G11" s="363"/>
      <c r="H11" s="364"/>
      <c r="I11" s="362" t="s">
        <v>408</v>
      </c>
      <c r="J11" s="365">
        <f>3.14*8*8/1000000</f>
        <v>2.0096E-4</v>
      </c>
      <c r="K11" s="366">
        <v>8.5000000000000006E-3</v>
      </c>
      <c r="L11" s="367">
        <v>7850</v>
      </c>
      <c r="M11" s="368">
        <v>1</v>
      </c>
      <c r="N11" s="369">
        <f>D11*E11*M11</f>
        <v>3.0170376000000002E-2</v>
      </c>
      <c r="O11" s="370"/>
    </row>
    <row r="12" spans="1:15" x14ac:dyDescent="0.3">
      <c r="A12" s="28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172" t="s">
        <v>23</v>
      </c>
      <c r="N12" s="173">
        <f>SUM(N11)</f>
        <v>3.0170376000000002E-2</v>
      </c>
      <c r="O12" s="280"/>
    </row>
    <row r="13" spans="1:15" x14ac:dyDescent="0.3">
      <c r="A13" s="28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80"/>
    </row>
    <row r="14" spans="1:15" x14ac:dyDescent="0.3">
      <c r="A14" s="311" t="s">
        <v>19</v>
      </c>
      <c r="B14" s="177" t="s">
        <v>42</v>
      </c>
      <c r="C14" s="177" t="s">
        <v>29</v>
      </c>
      <c r="D14" s="177" t="s">
        <v>30</v>
      </c>
      <c r="E14" s="177" t="s">
        <v>43</v>
      </c>
      <c r="F14" s="177" t="s">
        <v>22</v>
      </c>
      <c r="G14" s="177" t="s">
        <v>44</v>
      </c>
      <c r="H14" s="177" t="s">
        <v>45</v>
      </c>
      <c r="I14" s="177" t="s">
        <v>23</v>
      </c>
      <c r="J14" s="34"/>
      <c r="K14" s="34"/>
      <c r="L14" s="34"/>
      <c r="M14" s="34"/>
      <c r="N14" s="34"/>
      <c r="O14" s="280"/>
    </row>
    <row r="15" spans="1:15" ht="41.4" customHeight="1" x14ac:dyDescent="0.3">
      <c r="A15" s="371">
        <v>10</v>
      </c>
      <c r="B15" s="371" t="s">
        <v>46</v>
      </c>
      <c r="C15" s="371" t="s">
        <v>252</v>
      </c>
      <c r="D15" s="372">
        <v>1.3</v>
      </c>
      <c r="E15" s="371" t="s">
        <v>43</v>
      </c>
      <c r="F15" s="373">
        <v>1</v>
      </c>
      <c r="G15" s="374" t="s">
        <v>410</v>
      </c>
      <c r="H15" s="375">
        <f>1/8</f>
        <v>0.125</v>
      </c>
      <c r="I15" s="376">
        <f>IF(H15="",D15*F15,D15*F15*H15)</f>
        <v>0.16250000000000001</v>
      </c>
      <c r="J15" s="377"/>
      <c r="K15" s="377"/>
      <c r="L15" s="377"/>
      <c r="M15" s="377"/>
      <c r="N15" s="377"/>
      <c r="O15" s="378"/>
    </row>
    <row r="16" spans="1:15" x14ac:dyDescent="0.3">
      <c r="A16" s="379">
        <v>20</v>
      </c>
      <c r="B16" s="379" t="s">
        <v>47</v>
      </c>
      <c r="C16" s="379" t="s">
        <v>269</v>
      </c>
      <c r="D16" s="380">
        <v>0.04</v>
      </c>
      <c r="E16" s="379" t="s">
        <v>48</v>
      </c>
      <c r="F16" s="379">
        <v>1.2</v>
      </c>
      <c r="G16" s="379" t="s">
        <v>409</v>
      </c>
      <c r="H16" s="379">
        <v>3</v>
      </c>
      <c r="I16" s="376">
        <f>IF(H16="",D16*F16,D16*F16*H16)</f>
        <v>0.14400000000000002</v>
      </c>
      <c r="J16" s="381"/>
      <c r="K16" s="381"/>
      <c r="L16" s="381"/>
      <c r="M16" s="381"/>
      <c r="N16" s="381"/>
      <c r="O16" s="382"/>
    </row>
    <row r="17" spans="1:15" x14ac:dyDescent="0.3">
      <c r="A17" s="286"/>
      <c r="B17" s="34"/>
      <c r="C17" s="34"/>
      <c r="D17" s="34"/>
      <c r="E17" s="34"/>
      <c r="F17" s="34"/>
      <c r="G17" s="34"/>
      <c r="H17" s="182" t="s">
        <v>23</v>
      </c>
      <c r="I17" s="183">
        <f>SUM(I15:I16)</f>
        <v>0.30649999999999999</v>
      </c>
      <c r="J17" s="34"/>
      <c r="K17" s="34"/>
      <c r="L17" s="34"/>
      <c r="M17" s="34"/>
      <c r="N17" s="34"/>
      <c r="O17" s="280"/>
    </row>
    <row r="18" spans="1:15" ht="15" thickBot="1" x14ac:dyDescent="0.35">
      <c r="A18" s="312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292"/>
    </row>
  </sheetData>
  <hyperlinks>
    <hyperlink ref="F2" location="BOM!A1" display="Back to BOM"/>
    <hyperlink ref="E3" location="dST_05003" display="Drawing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1"/>
  <sheetViews>
    <sheetView tabSelected="1" workbookViewId="0">
      <selection activeCell="N37" sqref="N37"/>
    </sheetView>
  </sheetViews>
  <sheetFormatPr baseColWidth="10" defaultRowHeight="14.4" x14ac:dyDescent="0.3"/>
  <sheetData>
    <row r="1" spans="1:2" x14ac:dyDescent="0.3">
      <c r="A1" t="s">
        <v>405</v>
      </c>
      <c r="B1" s="70" t="s">
        <v>412</v>
      </c>
    </row>
  </sheetData>
  <hyperlinks>
    <hyperlink ref="B1" location="ST_05003" display="ST_05003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tabSelected="1" workbookViewId="0">
      <selection activeCell="N37" sqref="N37"/>
    </sheetView>
  </sheetViews>
  <sheetFormatPr baseColWidth="10" defaultColWidth="8.88671875" defaultRowHeight="14.4" x14ac:dyDescent="0.3"/>
  <cols>
    <col min="1" max="1" width="10.33203125" bestFit="1" customWidth="1"/>
    <col min="2" max="2" width="33.6640625" bestFit="1" customWidth="1"/>
    <col min="3" max="3" width="24" bestFit="1" customWidth="1"/>
    <col min="4" max="4" width="8.6640625" bestFit="1" customWidth="1"/>
    <col min="5" max="5" width="5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2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N12+I23</f>
        <v>6.0399419045000009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24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6.0399419045000009</v>
      </c>
      <c r="O5" s="280"/>
    </row>
    <row r="6" spans="1:15" x14ac:dyDescent="0.3">
      <c r="A6" s="397" t="s">
        <v>11</v>
      </c>
      <c r="B6" s="399" t="s">
        <v>338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01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2">
        <v>10</v>
      </c>
      <c r="B11" s="11" t="s">
        <v>39</v>
      </c>
      <c r="C11" s="12" t="s">
        <v>69</v>
      </c>
      <c r="D11" s="13">
        <v>2.25</v>
      </c>
      <c r="E11" s="14">
        <f>J11*K11*L11</f>
        <v>0.54351044999999998</v>
      </c>
      <c r="F11" s="10" t="s">
        <v>41</v>
      </c>
      <c r="G11" s="10"/>
      <c r="H11" s="15"/>
      <c r="I11" s="16" t="s">
        <v>50</v>
      </c>
      <c r="J11" s="17">
        <f>3.14*(0.0075)^2</f>
        <v>1.76625E-4</v>
      </c>
      <c r="K11" s="152">
        <v>0.39200000000000002</v>
      </c>
      <c r="L11" s="18">
        <v>7850</v>
      </c>
      <c r="M11" s="18">
        <v>1</v>
      </c>
      <c r="N11" s="19">
        <f>IF(J11="",D11*M11,D11*J11*K11*L11*M11)</f>
        <v>1.2228985125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1.2228985125</v>
      </c>
      <c r="O12" s="280"/>
    </row>
    <row r="13" spans="1:15" x14ac:dyDescent="0.3">
      <c r="A13" s="391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280"/>
    </row>
    <row r="14" spans="1:15" x14ac:dyDescent="0.3">
      <c r="A14" s="401" t="s">
        <v>19</v>
      </c>
      <c r="B14" s="55" t="s">
        <v>42</v>
      </c>
      <c r="C14" s="55" t="s">
        <v>29</v>
      </c>
      <c r="D14" s="55" t="s">
        <v>30</v>
      </c>
      <c r="E14" s="55" t="s">
        <v>43</v>
      </c>
      <c r="F14" s="55" t="s">
        <v>22</v>
      </c>
      <c r="G14" s="55" t="s">
        <v>44</v>
      </c>
      <c r="H14" s="55" t="s">
        <v>45</v>
      </c>
      <c r="I14" s="55" t="s">
        <v>23</v>
      </c>
      <c r="J14" s="74"/>
      <c r="K14" s="74"/>
      <c r="L14" s="74"/>
      <c r="M14" s="74"/>
      <c r="N14" s="74"/>
      <c r="O14" s="280"/>
    </row>
    <row r="15" spans="1:15" x14ac:dyDescent="0.3">
      <c r="A15" s="405">
        <v>10</v>
      </c>
      <c r="B15" s="108" t="s">
        <v>46</v>
      </c>
      <c r="C15" s="153" t="s">
        <v>51</v>
      </c>
      <c r="D15" s="13">
        <v>1.3</v>
      </c>
      <c r="E15" s="108" t="s">
        <v>43</v>
      </c>
      <c r="F15" s="109">
        <v>1</v>
      </c>
      <c r="G15" s="109"/>
      <c r="H15" s="109"/>
      <c r="I15" s="114">
        <f>IF(H15="",D15*F15,D15*F15*H15)</f>
        <v>1.3</v>
      </c>
      <c r="J15" s="74"/>
      <c r="K15" s="74"/>
      <c r="L15" s="74"/>
      <c r="M15" s="74"/>
      <c r="N15" s="74"/>
      <c r="O15" s="280"/>
    </row>
    <row r="16" spans="1:15" x14ac:dyDescent="0.3">
      <c r="A16" s="402">
        <v>20</v>
      </c>
      <c r="B16" s="75" t="s">
        <v>47</v>
      </c>
      <c r="C16" s="38" t="s">
        <v>70</v>
      </c>
      <c r="D16" s="13">
        <v>0.04</v>
      </c>
      <c r="E16" s="75" t="s">
        <v>48</v>
      </c>
      <c r="F16" s="118">
        <f>(0.006^2*3.1416)*0.3*10^4 + 2*0.003^2*3.1416*10^4</f>
        <v>0.90478079999999994</v>
      </c>
      <c r="G16" s="75" t="s">
        <v>60</v>
      </c>
      <c r="H16" s="109">
        <v>3</v>
      </c>
      <c r="I16" s="114">
        <f>D16*F16*H16</f>
        <v>0.108573696</v>
      </c>
      <c r="J16" s="74"/>
      <c r="K16" s="74"/>
      <c r="L16" s="74"/>
      <c r="M16" s="74"/>
      <c r="N16" s="74"/>
      <c r="O16" s="280"/>
    </row>
    <row r="17" spans="1:15" x14ac:dyDescent="0.3">
      <c r="A17" s="402">
        <v>30</v>
      </c>
      <c r="B17" s="20" t="s">
        <v>71</v>
      </c>
      <c r="C17" s="23" t="s">
        <v>72</v>
      </c>
      <c r="D17" s="28">
        <v>0.1</v>
      </c>
      <c r="E17" s="20" t="s">
        <v>49</v>
      </c>
      <c r="F17" s="29">
        <v>2</v>
      </c>
      <c r="G17" s="24"/>
      <c r="H17" s="24"/>
      <c r="I17" s="25">
        <f>D17*F17</f>
        <v>0.2</v>
      </c>
      <c r="J17" s="74"/>
      <c r="K17" s="74"/>
      <c r="L17" s="74"/>
      <c r="M17" s="74"/>
      <c r="N17" s="74"/>
      <c r="O17" s="280"/>
    </row>
    <row r="18" spans="1:15" x14ac:dyDescent="0.3">
      <c r="A18" s="408">
        <v>40</v>
      </c>
      <c r="B18" s="22" t="s">
        <v>52</v>
      </c>
      <c r="C18" s="21" t="s">
        <v>73</v>
      </c>
      <c r="D18" s="28">
        <v>0.65</v>
      </c>
      <c r="E18" s="26" t="s">
        <v>43</v>
      </c>
      <c r="F18" s="24">
        <v>1</v>
      </c>
      <c r="G18" s="24"/>
      <c r="H18" s="24"/>
      <c r="I18" s="25">
        <f>IF(H18="",D18*F18,D18*F18*H18)</f>
        <v>0.65</v>
      </c>
      <c r="J18" s="74"/>
      <c r="K18" s="74"/>
      <c r="L18" s="74"/>
      <c r="M18" s="74"/>
      <c r="N18" s="74"/>
      <c r="O18" s="280"/>
    </row>
    <row r="19" spans="1:15" x14ac:dyDescent="0.3">
      <c r="A19" s="408">
        <v>50</v>
      </c>
      <c r="B19" s="22" t="s">
        <v>47</v>
      </c>
      <c r="C19" s="23" t="s">
        <v>101</v>
      </c>
      <c r="D19" s="28">
        <v>0.04</v>
      </c>
      <c r="E19" s="22" t="s">
        <v>48</v>
      </c>
      <c r="F19" s="29">
        <f>(0.006^2*3.1416)*0.3*10^4 + 2*0.003^2*3.1416*10^4</f>
        <v>0.90478079999999994</v>
      </c>
      <c r="G19" s="22" t="s">
        <v>60</v>
      </c>
      <c r="H19" s="24">
        <v>3</v>
      </c>
      <c r="I19" s="25">
        <f>D19*F19*H19</f>
        <v>0.108573696</v>
      </c>
      <c r="J19" s="74"/>
      <c r="K19" s="74"/>
      <c r="L19" s="74"/>
      <c r="M19" s="74"/>
      <c r="N19" s="74"/>
      <c r="O19" s="280"/>
    </row>
    <row r="20" spans="1:15" x14ac:dyDescent="0.3">
      <c r="A20" s="408">
        <v>60</v>
      </c>
      <c r="B20" s="20" t="s">
        <v>71</v>
      </c>
      <c r="C20" s="23" t="s">
        <v>102</v>
      </c>
      <c r="D20" s="28">
        <v>0.1</v>
      </c>
      <c r="E20" s="20" t="s">
        <v>49</v>
      </c>
      <c r="F20" s="29">
        <v>2</v>
      </c>
      <c r="G20" s="24"/>
      <c r="H20" s="24"/>
      <c r="I20" s="25">
        <f>D20*F20</f>
        <v>0.2</v>
      </c>
      <c r="J20" s="74"/>
      <c r="K20" s="74"/>
      <c r="L20" s="74"/>
      <c r="M20" s="74"/>
      <c r="N20" s="74"/>
      <c r="O20" s="280"/>
    </row>
    <row r="21" spans="1:15" ht="28.8" x14ac:dyDescent="0.3">
      <c r="A21" s="409">
        <v>70</v>
      </c>
      <c r="B21" s="26" t="s">
        <v>46</v>
      </c>
      <c r="C21" s="27" t="s">
        <v>103</v>
      </c>
      <c r="D21" s="28">
        <v>1.3</v>
      </c>
      <c r="E21" s="26" t="s">
        <v>43</v>
      </c>
      <c r="F21" s="24">
        <v>1</v>
      </c>
      <c r="G21" s="24"/>
      <c r="H21" s="24"/>
      <c r="I21" s="25">
        <f>IF(H21="",D21*F21,D21*F21*H21)</f>
        <v>1.3</v>
      </c>
      <c r="J21" s="74"/>
      <c r="K21" s="74"/>
      <c r="L21" s="74"/>
      <c r="M21" s="74"/>
      <c r="N21" s="74"/>
      <c r="O21" s="280"/>
    </row>
    <row r="22" spans="1:15" x14ac:dyDescent="0.3">
      <c r="A22" s="409">
        <v>80</v>
      </c>
      <c r="B22" s="22" t="s">
        <v>47</v>
      </c>
      <c r="C22" s="23" t="s">
        <v>104</v>
      </c>
      <c r="D22" s="28">
        <v>0.04</v>
      </c>
      <c r="E22" s="22" t="s">
        <v>48</v>
      </c>
      <c r="F22" s="29">
        <f>0.2*0.37*1.5*19+9.6*0.433 +11*0.15</f>
        <v>7.9157999999999991</v>
      </c>
      <c r="G22" s="22" t="s">
        <v>60</v>
      </c>
      <c r="H22" s="24">
        <v>3</v>
      </c>
      <c r="I22" s="25">
        <f>D22*F22*H22</f>
        <v>0.94989599999999985</v>
      </c>
      <c r="J22" s="74"/>
      <c r="K22" s="74"/>
      <c r="L22" s="74"/>
      <c r="M22" s="74"/>
      <c r="N22" s="74"/>
      <c r="O22" s="280"/>
    </row>
    <row r="23" spans="1:15" x14ac:dyDescent="0.3">
      <c r="A23" s="403"/>
      <c r="B23" s="404"/>
      <c r="C23" s="404"/>
      <c r="D23" s="404"/>
      <c r="E23" s="404"/>
      <c r="F23" s="404"/>
      <c r="G23" s="404"/>
      <c r="H23" s="57" t="s">
        <v>23</v>
      </c>
      <c r="I23" s="58">
        <f>SUM(I15:I22)</f>
        <v>4.8170433920000004</v>
      </c>
      <c r="J23" s="74"/>
      <c r="K23" s="74"/>
      <c r="L23" s="74"/>
      <c r="M23" s="74"/>
      <c r="N23" s="74"/>
      <c r="O23" s="280"/>
    </row>
    <row r="24" spans="1:15" x14ac:dyDescent="0.3">
      <c r="A24" s="391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3">
      <c r="A25" s="391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" thickBot="1" x14ac:dyDescent="0.35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7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7.5546875" bestFit="1" customWidth="1"/>
    <col min="4" max="4" width="8.6640625" bestFit="1" customWidth="1"/>
    <col min="5" max="5" width="8.33203125" bestFit="1" customWidth="1"/>
    <col min="6" max="6" width="12" bestFit="1" customWidth="1"/>
    <col min="7" max="7" width="2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N13+I21</f>
        <v>2.5686556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78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2.5686556</v>
      </c>
      <c r="O5" s="280"/>
    </row>
    <row r="6" spans="1:15" x14ac:dyDescent="0.3">
      <c r="A6" s="397" t="s">
        <v>11</v>
      </c>
      <c r="B6" s="399" t="s">
        <v>339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5.4917999999999995E-2</v>
      </c>
      <c r="F11" s="10" t="s">
        <v>41</v>
      </c>
      <c r="G11" s="10"/>
      <c r="H11" s="15"/>
      <c r="I11" s="16" t="s">
        <v>75</v>
      </c>
      <c r="J11" s="17">
        <f>0.045*0.05</f>
        <v>2.2499999999999998E-3</v>
      </c>
      <c r="K11" s="152">
        <v>8.9999999999999993E-3</v>
      </c>
      <c r="L11" s="18">
        <v>2712</v>
      </c>
      <c r="M11" s="18">
        <v>1</v>
      </c>
      <c r="N11" s="19">
        <f>IF(J11="",D11*M11,D11*J11*K11*L11*M11)</f>
        <v>0.23065559999999999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2">
        <f>F20</f>
        <v>2.8E-3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2.8000000000000001E-2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0.25865559999999999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ht="28.8" x14ac:dyDescent="0.3">
      <c r="A16" s="409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/>
      <c r="H16" s="109"/>
      <c r="I16" s="114">
        <f>IF(H16="",D16*F16,D16*F16*H16)</f>
        <v>1.3</v>
      </c>
      <c r="J16" s="394"/>
      <c r="K16" s="394"/>
      <c r="L16" s="394"/>
      <c r="M16" s="394"/>
      <c r="N16" s="394"/>
      <c r="O16" s="280"/>
    </row>
    <row r="17" spans="1:15" x14ac:dyDescent="0.3">
      <c r="A17" s="408">
        <v>20</v>
      </c>
      <c r="B17" s="75" t="s">
        <v>47</v>
      </c>
      <c r="C17" s="38" t="s">
        <v>79</v>
      </c>
      <c r="D17" s="13">
        <v>0.04</v>
      </c>
      <c r="E17" s="75" t="s">
        <v>48</v>
      </c>
      <c r="F17" s="118">
        <f>0.75*0.001*10^4</f>
        <v>7.5</v>
      </c>
      <c r="G17" s="75" t="s">
        <v>81</v>
      </c>
      <c r="H17" s="109">
        <v>1</v>
      </c>
      <c r="I17" s="114">
        <f>D17*F17*H17</f>
        <v>0.3</v>
      </c>
      <c r="J17" s="394"/>
      <c r="K17" s="394"/>
      <c r="L17" s="394"/>
      <c r="M17" s="394"/>
      <c r="N17" s="394"/>
      <c r="O17" s="280"/>
    </row>
    <row r="18" spans="1:15" x14ac:dyDescent="0.3">
      <c r="A18" s="408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/>
      <c r="H18" s="109"/>
      <c r="I18" s="114">
        <f>IF(H18="",D18*F18,D18*F18*H18)</f>
        <v>0.65</v>
      </c>
      <c r="J18" s="394"/>
      <c r="K18" s="394"/>
      <c r="L18" s="394"/>
      <c r="M18" s="394"/>
      <c r="N18" s="394"/>
      <c r="O18" s="280"/>
    </row>
    <row r="19" spans="1:15" x14ac:dyDescent="0.3">
      <c r="A19" s="408">
        <v>40</v>
      </c>
      <c r="B19" s="75" t="s">
        <v>47</v>
      </c>
      <c r="C19" s="38" t="s">
        <v>80</v>
      </c>
      <c r="D19" s="13">
        <v>0.04</v>
      </c>
      <c r="E19" s="75" t="s">
        <v>48</v>
      </c>
      <c r="F19" s="109">
        <v>1.5</v>
      </c>
      <c r="G19" s="75" t="s">
        <v>81</v>
      </c>
      <c r="H19" s="109">
        <v>1</v>
      </c>
      <c r="I19" s="114">
        <f>D19*F19*H19</f>
        <v>0.06</v>
      </c>
      <c r="J19" s="394"/>
      <c r="K19" s="394"/>
      <c r="L19" s="394"/>
      <c r="M19" s="394"/>
      <c r="N19" s="394"/>
      <c r="O19" s="280"/>
    </row>
    <row r="20" spans="1:15" x14ac:dyDescent="0.3">
      <c r="A20" s="408">
        <v>50</v>
      </c>
      <c r="B20" s="75" t="s">
        <v>115</v>
      </c>
      <c r="C20" s="38" t="s">
        <v>116</v>
      </c>
      <c r="D20" s="76">
        <v>5.25</v>
      </c>
      <c r="E20" s="75" t="s">
        <v>117</v>
      </c>
      <c r="F20" s="413">
        <f>14*2*10^-4</f>
        <v>2.8E-3</v>
      </c>
      <c r="G20" s="75"/>
      <c r="H20" s="109"/>
      <c r="I20" s="114">
        <f>D20*F20</f>
        <v>1.47E-2</v>
      </c>
      <c r="J20" s="394"/>
      <c r="K20" s="394"/>
      <c r="L20" s="394"/>
      <c r="M20" s="394"/>
      <c r="N20" s="394"/>
      <c r="O20" s="280"/>
    </row>
    <row r="21" spans="1:15" x14ac:dyDescent="0.3">
      <c r="A21" s="403"/>
      <c r="B21" s="404"/>
      <c r="C21" s="404"/>
      <c r="D21" s="404"/>
      <c r="E21" s="404"/>
      <c r="F21" s="404"/>
      <c r="G21" s="404"/>
      <c r="H21" s="57" t="s">
        <v>23</v>
      </c>
      <c r="I21" s="58">
        <f>SUM(I16:I19)</f>
        <v>2.31</v>
      </c>
      <c r="J21" s="404"/>
      <c r="K21" s="404"/>
      <c r="L21" s="404"/>
      <c r="M21" s="404"/>
      <c r="N21" s="404"/>
      <c r="O21" s="280"/>
    </row>
    <row r="22" spans="1:15" x14ac:dyDescent="0.3">
      <c r="A22" s="391"/>
      <c r="B22" s="47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x14ac:dyDescent="0.3">
      <c r="A23" s="391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280"/>
    </row>
    <row r="24" spans="1:15" x14ac:dyDescent="0.3">
      <c r="A24" s="391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3">
      <c r="A25" s="391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x14ac:dyDescent="0.3">
      <c r="A26" s="391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280"/>
    </row>
    <row r="27" spans="1:15" ht="15" thickBot="1" x14ac:dyDescent="0.35">
      <c r="A27" s="312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3" fitToHeight="9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tabSelected="1" workbookViewId="0">
      <selection activeCell="N37" sqref="N37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N13+I24</f>
        <v>6.2552780440000006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74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6.2552780440000006</v>
      </c>
      <c r="O5" s="280"/>
    </row>
    <row r="6" spans="1:15" x14ac:dyDescent="0.3">
      <c r="A6" s="397" t="s">
        <v>11</v>
      </c>
      <c r="B6" s="399" t="s">
        <v>340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0.23052000000000006</v>
      </c>
      <c r="F11" s="10" t="s">
        <v>41</v>
      </c>
      <c r="G11" s="10"/>
      <c r="H11" s="15"/>
      <c r="I11" s="16" t="s">
        <v>75</v>
      </c>
      <c r="J11" s="17">
        <f>0.05*0.05</f>
        <v>2.5000000000000005E-3</v>
      </c>
      <c r="K11" s="152">
        <v>3.4000000000000002E-2</v>
      </c>
      <c r="L11" s="18">
        <v>2712</v>
      </c>
      <c r="M11" s="18">
        <v>1</v>
      </c>
      <c r="N11" s="19">
        <f>IF(J11="",D11*M11,D11*J11*K11*L11*M11)</f>
        <v>0.96818400000000027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4">
        <f>F23</f>
        <v>8.3660000000000002E-3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8.3659999999999998E-2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1.0518440000000002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ht="28.8" x14ac:dyDescent="0.3">
      <c r="A16" s="409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/>
      <c r="H16" s="109"/>
      <c r="I16" s="114">
        <f>IF(H16="",D16*F16,D16*F16*H16)</f>
        <v>1.3</v>
      </c>
      <c r="J16" s="394"/>
      <c r="K16" s="394"/>
      <c r="L16" s="394"/>
      <c r="M16" s="394"/>
      <c r="N16" s="394"/>
      <c r="O16" s="280"/>
    </row>
    <row r="17" spans="1:15" ht="28.8" x14ac:dyDescent="0.3">
      <c r="A17" s="408">
        <v>20</v>
      </c>
      <c r="B17" s="75" t="s">
        <v>47</v>
      </c>
      <c r="C17" s="38" t="s">
        <v>79</v>
      </c>
      <c r="D17" s="13">
        <v>0.04</v>
      </c>
      <c r="E17" s="75" t="s">
        <v>48</v>
      </c>
      <c r="F17" s="118">
        <f>2.7*1.7^2*3.1416 + 4*0.2^2*3.1416</f>
        <v>25.016560800000001</v>
      </c>
      <c r="G17" s="75" t="s">
        <v>81</v>
      </c>
      <c r="H17" s="109">
        <v>1</v>
      </c>
      <c r="I17" s="114">
        <f>D17*F17*H17</f>
        <v>1.0006624319999999</v>
      </c>
      <c r="J17" s="394"/>
      <c r="K17" s="394"/>
      <c r="L17" s="394"/>
      <c r="M17" s="394"/>
      <c r="N17" s="394"/>
      <c r="O17" s="280"/>
    </row>
    <row r="18" spans="1:15" ht="28.8" x14ac:dyDescent="0.3">
      <c r="A18" s="408">
        <v>30</v>
      </c>
      <c r="B18" s="75" t="s">
        <v>82</v>
      </c>
      <c r="C18" s="10" t="s">
        <v>83</v>
      </c>
      <c r="D18" s="13">
        <v>0.1</v>
      </c>
      <c r="E18" s="75" t="s">
        <v>49</v>
      </c>
      <c r="F18" s="109">
        <v>6</v>
      </c>
      <c r="G18" s="109"/>
      <c r="H18" s="109"/>
      <c r="I18" s="114">
        <f>F18*D18</f>
        <v>0.60000000000000009</v>
      </c>
      <c r="J18" s="394"/>
      <c r="K18" s="394"/>
      <c r="L18" s="394"/>
      <c r="M18" s="394"/>
      <c r="N18" s="394"/>
      <c r="O18" s="280"/>
    </row>
    <row r="19" spans="1:15" x14ac:dyDescent="0.3">
      <c r="A19" s="409">
        <v>40</v>
      </c>
      <c r="B19" s="75" t="s">
        <v>52</v>
      </c>
      <c r="C19" s="10" t="s">
        <v>53</v>
      </c>
      <c r="D19" s="13">
        <v>0.65</v>
      </c>
      <c r="E19" s="108" t="s">
        <v>43</v>
      </c>
      <c r="F19" s="109">
        <v>1</v>
      </c>
      <c r="G19" s="109"/>
      <c r="H19" s="109"/>
      <c r="I19" s="114">
        <f>IF(H19="",D19*F19,D19*F19*H19)</f>
        <v>0.65</v>
      </c>
      <c r="J19" s="394"/>
      <c r="K19" s="394"/>
      <c r="L19" s="394"/>
      <c r="M19" s="394"/>
      <c r="N19" s="394"/>
      <c r="O19" s="280"/>
    </row>
    <row r="20" spans="1:15" ht="28.8" x14ac:dyDescent="0.3">
      <c r="A20" s="408">
        <v>50</v>
      </c>
      <c r="B20" s="75" t="s">
        <v>47</v>
      </c>
      <c r="C20" s="38" t="s">
        <v>80</v>
      </c>
      <c r="D20" s="13">
        <v>0.04</v>
      </c>
      <c r="E20" s="75" t="s">
        <v>48</v>
      </c>
      <c r="F20" s="415">
        <f>1.165^2*3.1416*5</f>
        <v>21.319290300000002</v>
      </c>
      <c r="G20" s="75" t="s">
        <v>81</v>
      </c>
      <c r="H20" s="109">
        <v>1</v>
      </c>
      <c r="I20" s="114">
        <f>D20*F20*H20</f>
        <v>0.85277161200000007</v>
      </c>
      <c r="J20" s="394"/>
      <c r="K20" s="394"/>
      <c r="L20" s="394"/>
      <c r="M20" s="394"/>
      <c r="N20" s="394"/>
      <c r="O20" s="280"/>
    </row>
    <row r="21" spans="1:15" x14ac:dyDescent="0.3">
      <c r="A21" s="408">
        <v>60</v>
      </c>
      <c r="B21" s="75" t="s">
        <v>52</v>
      </c>
      <c r="C21" s="10" t="s">
        <v>53</v>
      </c>
      <c r="D21" s="13">
        <v>0.65</v>
      </c>
      <c r="E21" s="108" t="s">
        <v>43</v>
      </c>
      <c r="F21" s="109">
        <v>1</v>
      </c>
      <c r="G21" s="109"/>
      <c r="H21" s="109"/>
      <c r="I21" s="114">
        <f>IF(H21="",D21*F21,D21*F21*H21)</f>
        <v>0.65</v>
      </c>
      <c r="J21" s="394"/>
      <c r="K21" s="394"/>
      <c r="L21" s="394"/>
      <c r="M21" s="394"/>
      <c r="N21" s="394"/>
      <c r="O21" s="280"/>
    </row>
    <row r="22" spans="1:15" ht="28.8" x14ac:dyDescent="0.3">
      <c r="A22" s="409">
        <v>70</v>
      </c>
      <c r="B22" s="75" t="s">
        <v>47</v>
      </c>
      <c r="C22" s="10" t="s">
        <v>84</v>
      </c>
      <c r="D22" s="13">
        <v>0.04</v>
      </c>
      <c r="E22" s="75" t="s">
        <v>48</v>
      </c>
      <c r="F22" s="109">
        <f>0.75*5</f>
        <v>3.75</v>
      </c>
      <c r="G22" s="75" t="s">
        <v>81</v>
      </c>
      <c r="H22" s="109">
        <v>1</v>
      </c>
      <c r="I22" s="114">
        <f>IF(H22="",D22*F22,D22*F22*H22)</f>
        <v>0.15</v>
      </c>
      <c r="J22" s="394"/>
      <c r="K22" s="394"/>
      <c r="L22" s="394"/>
      <c r="M22" s="394"/>
      <c r="N22" s="394"/>
      <c r="O22" s="280"/>
    </row>
    <row r="23" spans="1:15" x14ac:dyDescent="0.3">
      <c r="A23" s="409">
        <v>80</v>
      </c>
      <c r="B23" s="75" t="s">
        <v>115</v>
      </c>
      <c r="C23" s="38" t="s">
        <v>116</v>
      </c>
      <c r="D23" s="76">
        <v>5.25</v>
      </c>
      <c r="E23" s="75" t="s">
        <v>117</v>
      </c>
      <c r="F23" s="406">
        <f>(9.33*2 + 14 + 12 + 21 + 18)*10^-4</f>
        <v>8.3660000000000002E-3</v>
      </c>
      <c r="G23" s="75"/>
      <c r="H23" s="109"/>
      <c r="I23" s="114">
        <f>D23*F23</f>
        <v>4.3921500000000002E-2</v>
      </c>
      <c r="J23" s="394"/>
      <c r="K23" s="394"/>
      <c r="L23" s="394"/>
      <c r="M23" s="394"/>
      <c r="N23" s="394"/>
      <c r="O23" s="280"/>
    </row>
    <row r="24" spans="1:15" x14ac:dyDescent="0.3">
      <c r="A24" s="403"/>
      <c r="B24" s="404"/>
      <c r="C24" s="404"/>
      <c r="D24" s="404"/>
      <c r="E24" s="404"/>
      <c r="F24" s="404"/>
      <c r="G24" s="404"/>
      <c r="H24" s="57" t="s">
        <v>23</v>
      </c>
      <c r="I24" s="58">
        <f>SUM(I16:I22)</f>
        <v>5.2034340440000006</v>
      </c>
      <c r="J24" s="404"/>
      <c r="K24" s="404"/>
      <c r="L24" s="404"/>
      <c r="M24" s="404"/>
      <c r="N24" s="404"/>
      <c r="O24" s="280"/>
    </row>
    <row r="25" spans="1:15" x14ac:dyDescent="0.3">
      <c r="A25" s="391"/>
      <c r="B25" s="47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" thickBot="1" x14ac:dyDescent="0.35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N13+I21</f>
        <v>2.3507623102611204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2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87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4.7015246205222407</v>
      </c>
      <c r="O5" s="280"/>
    </row>
    <row r="6" spans="1:15" x14ac:dyDescent="0.3">
      <c r="A6" s="397" t="s">
        <v>11</v>
      </c>
      <c r="B6" s="399" t="s">
        <v>341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8.8143858633600011E-2</v>
      </c>
      <c r="F11" s="10" t="s">
        <v>41</v>
      </c>
      <c r="G11" s="10"/>
      <c r="H11" s="15"/>
      <c r="I11" s="16" t="s">
        <v>88</v>
      </c>
      <c r="J11" s="17">
        <f>0.0165^2*3.1416</f>
        <v>8.5530060000000012E-4</v>
      </c>
      <c r="K11" s="152">
        <v>3.7999999999999999E-2</v>
      </c>
      <c r="L11" s="18">
        <v>2712</v>
      </c>
      <c r="M11" s="18">
        <v>1</v>
      </c>
      <c r="N11" s="19">
        <f>IF(J11="",D11*M11,D11*J11*K11*L11*M11)</f>
        <v>0.37020420626112005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2">
        <f>F20</f>
        <v>4.9399999999999999E-3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4.9399999999999999E-2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0.41960420626112005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ht="28.8" x14ac:dyDescent="0.3">
      <c r="A16" s="409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4"/>
      <c r="K16" s="394"/>
      <c r="L16" s="394"/>
      <c r="M16" s="394"/>
      <c r="N16" s="394"/>
      <c r="O16" s="280"/>
    </row>
    <row r="17" spans="1:15" x14ac:dyDescent="0.3">
      <c r="A17" s="408">
        <v>20</v>
      </c>
      <c r="B17" s="75" t="s">
        <v>47</v>
      </c>
      <c r="C17" s="38" t="s">
        <v>90</v>
      </c>
      <c r="D17" s="13">
        <v>0.04</v>
      </c>
      <c r="E17" s="75" t="s">
        <v>48</v>
      </c>
      <c r="F17" s="118">
        <f>3.1416*0.8^2*3.5+(1.65^2-1.05^2)*3.1416*1.3 + (1.65^2-1.15^2)*3.1416*1.6</f>
        <v>20.690577600000001</v>
      </c>
      <c r="G17" s="75" t="s">
        <v>81</v>
      </c>
      <c r="H17" s="109">
        <v>1</v>
      </c>
      <c r="I17" s="114">
        <f>D17*F17*H17</f>
        <v>0.82762310400000005</v>
      </c>
      <c r="J17" s="394"/>
      <c r="K17" s="394"/>
      <c r="L17" s="394"/>
      <c r="M17" s="394"/>
      <c r="N17" s="394"/>
      <c r="O17" s="280"/>
    </row>
    <row r="18" spans="1:15" x14ac:dyDescent="0.3">
      <c r="A18" s="408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1</v>
      </c>
      <c r="G18" s="109" t="s">
        <v>89</v>
      </c>
      <c r="H18" s="109">
        <v>0.5</v>
      </c>
      <c r="I18" s="114">
        <f>IF(H18="",D18*F18,D18*F18*H18)</f>
        <v>0.32500000000000001</v>
      </c>
      <c r="J18" s="394"/>
      <c r="K18" s="394"/>
      <c r="L18" s="394"/>
      <c r="M18" s="394"/>
      <c r="N18" s="394"/>
      <c r="O18" s="280"/>
    </row>
    <row r="19" spans="1:15" x14ac:dyDescent="0.3">
      <c r="A19" s="408">
        <v>40</v>
      </c>
      <c r="B19" s="75" t="s">
        <v>47</v>
      </c>
      <c r="C19" s="10" t="s">
        <v>91</v>
      </c>
      <c r="D19" s="13">
        <v>0.04</v>
      </c>
      <c r="E19" s="75" t="s">
        <v>48</v>
      </c>
      <c r="F19" s="416">
        <f>8.55*0.3</f>
        <v>2.5649999999999999</v>
      </c>
      <c r="G19" s="75" t="s">
        <v>81</v>
      </c>
      <c r="H19" s="109">
        <v>1</v>
      </c>
      <c r="I19" s="114">
        <f>D19*F19*H19</f>
        <v>0.1026</v>
      </c>
      <c r="J19" s="394"/>
      <c r="K19" s="394"/>
      <c r="L19" s="394"/>
      <c r="M19" s="394"/>
      <c r="N19" s="394"/>
      <c r="O19" s="280"/>
    </row>
    <row r="20" spans="1:15" x14ac:dyDescent="0.3">
      <c r="A20" s="408">
        <v>50</v>
      </c>
      <c r="B20" s="75" t="s">
        <v>115</v>
      </c>
      <c r="C20" s="38" t="s">
        <v>116</v>
      </c>
      <c r="D20" s="76">
        <v>5.25</v>
      </c>
      <c r="E20" s="75" t="s">
        <v>117</v>
      </c>
      <c r="F20" s="413">
        <f>(5 + 4*3 + 10.4 + 8 + 14)*10^-4</f>
        <v>4.9399999999999999E-3</v>
      </c>
      <c r="G20" s="75"/>
      <c r="H20" s="109"/>
      <c r="I20" s="114">
        <f>D20*F20</f>
        <v>2.5935E-2</v>
      </c>
      <c r="J20" s="394"/>
      <c r="K20" s="394"/>
      <c r="L20" s="394"/>
      <c r="M20" s="394"/>
      <c r="N20" s="394"/>
      <c r="O20" s="280"/>
    </row>
    <row r="21" spans="1:15" x14ac:dyDescent="0.3">
      <c r="A21" s="403"/>
      <c r="B21" s="404"/>
      <c r="C21" s="404"/>
      <c r="D21" s="404"/>
      <c r="E21" s="404"/>
      <c r="F21" s="404"/>
      <c r="G21" s="404"/>
      <c r="H21" s="57" t="s">
        <v>23</v>
      </c>
      <c r="I21" s="58">
        <f>SUM(I16:I20)</f>
        <v>1.9311581040000001</v>
      </c>
      <c r="J21" s="404"/>
      <c r="K21" s="404"/>
      <c r="L21" s="404"/>
      <c r="M21" s="404"/>
      <c r="N21" s="404"/>
      <c r="O21" s="280"/>
    </row>
    <row r="22" spans="1:15" x14ac:dyDescent="0.3">
      <c r="A22" s="391"/>
      <c r="B22" s="98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280"/>
    </row>
    <row r="23" spans="1:15" ht="15" thickBot="1" x14ac:dyDescent="0.35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8"/>
  <sheetViews>
    <sheetView tabSelected="1" zoomScale="80" zoomScaleNormal="80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7.664062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N13+I26</f>
        <v>2.3883601172108797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2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92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4.7767202344217594</v>
      </c>
      <c r="O5" s="280"/>
    </row>
    <row r="6" spans="1:15" x14ac:dyDescent="0.3">
      <c r="A6" s="397" t="s">
        <v>11</v>
      </c>
      <c r="B6" s="399" t="s">
        <v>342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1" t="s">
        <v>77</v>
      </c>
      <c r="C11" s="12" t="s">
        <v>76</v>
      </c>
      <c r="D11" s="159">
        <v>4.2</v>
      </c>
      <c r="E11" s="14">
        <f>J11*K11*L11</f>
        <v>6.1914979526399988E-2</v>
      </c>
      <c r="F11" s="10" t="s">
        <v>41</v>
      </c>
      <c r="G11" s="10"/>
      <c r="H11" s="15"/>
      <c r="I11" s="16" t="s">
        <v>93</v>
      </c>
      <c r="J11" s="17">
        <f>0.013^2*3.1416</f>
        <v>5.3093039999999991E-4</v>
      </c>
      <c r="K11" s="152">
        <v>4.2999999999999997E-2</v>
      </c>
      <c r="L11" s="18">
        <v>2712</v>
      </c>
      <c r="M11" s="18">
        <v>1</v>
      </c>
      <c r="N11" s="19">
        <f>IF(J11="",D11*M11,D11*J11*K11*L11*M11)</f>
        <v>0.26004291401087992</v>
      </c>
      <c r="O11" s="280"/>
    </row>
    <row r="12" spans="1:15" x14ac:dyDescent="0.3">
      <c r="A12" s="408">
        <v>20</v>
      </c>
      <c r="B12" s="11" t="s">
        <v>121</v>
      </c>
      <c r="C12" s="12"/>
      <c r="D12" s="411">
        <v>10</v>
      </c>
      <c r="E12" s="412">
        <f>F25</f>
        <v>3.6600000000000005E-3</v>
      </c>
      <c r="F12" s="81" t="s">
        <v>117</v>
      </c>
      <c r="G12" s="10"/>
      <c r="H12" s="15"/>
      <c r="I12" s="16"/>
      <c r="J12" s="17"/>
      <c r="K12" s="15"/>
      <c r="L12" s="18"/>
      <c r="M12" s="18"/>
      <c r="N12" s="19">
        <f>E12*D12</f>
        <v>3.6600000000000008E-2</v>
      </c>
      <c r="O12" s="280"/>
    </row>
    <row r="13" spans="1:15" x14ac:dyDescent="0.3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57" t="s">
        <v>23</v>
      </c>
      <c r="N13" s="59">
        <f>SUM(N11:N12)</f>
        <v>0.29664291401087994</v>
      </c>
      <c r="O13" s="280"/>
    </row>
    <row r="14" spans="1:15" x14ac:dyDescent="0.3">
      <c r="A14" s="400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280"/>
    </row>
    <row r="15" spans="1:15" x14ac:dyDescent="0.3">
      <c r="A15" s="410" t="s">
        <v>19</v>
      </c>
      <c r="B15" s="55" t="s">
        <v>42</v>
      </c>
      <c r="C15" s="55" t="s">
        <v>29</v>
      </c>
      <c r="D15" s="55" t="s">
        <v>30</v>
      </c>
      <c r="E15" s="55" t="s">
        <v>43</v>
      </c>
      <c r="F15" s="55" t="s">
        <v>22</v>
      </c>
      <c r="G15" s="55" t="s">
        <v>44</v>
      </c>
      <c r="H15" s="55" t="s">
        <v>45</v>
      </c>
      <c r="I15" s="55" t="s">
        <v>23</v>
      </c>
      <c r="J15" s="404"/>
      <c r="K15" s="404"/>
      <c r="L15" s="404"/>
      <c r="M15" s="404"/>
      <c r="N15" s="404"/>
      <c r="O15" s="280"/>
    </row>
    <row r="16" spans="1:15" x14ac:dyDescent="0.3">
      <c r="A16" s="409">
        <v>10</v>
      </c>
      <c r="B16" s="108" t="s">
        <v>46</v>
      </c>
      <c r="C16" s="153" t="s">
        <v>51</v>
      </c>
      <c r="D16" s="13">
        <v>1.3</v>
      </c>
      <c r="E16" s="108" t="s">
        <v>43</v>
      </c>
      <c r="F16" s="109">
        <v>1</v>
      </c>
      <c r="G16" s="109" t="s">
        <v>89</v>
      </c>
      <c r="H16" s="109">
        <v>0.5</v>
      </c>
      <c r="I16" s="114">
        <f>IF(H16="",D16*F16,D16*F16*H16)</f>
        <v>0.65</v>
      </c>
      <c r="J16" s="394"/>
      <c r="K16" s="394"/>
      <c r="L16" s="394"/>
      <c r="M16" s="394"/>
      <c r="N16" s="394"/>
      <c r="O16" s="280"/>
    </row>
    <row r="17" spans="1:15" x14ac:dyDescent="0.3">
      <c r="A17" s="408">
        <v>20</v>
      </c>
      <c r="B17" s="75" t="s">
        <v>47</v>
      </c>
      <c r="C17" s="38" t="s">
        <v>90</v>
      </c>
      <c r="D17" s="13">
        <v>0.04</v>
      </c>
      <c r="E17" s="75" t="s">
        <v>48</v>
      </c>
      <c r="F17" s="118">
        <f>0.8*1.3^2*3.1416 + 0.8*0.4^2*3.1416</f>
        <v>4.6495680000000013</v>
      </c>
      <c r="G17" s="75" t="s">
        <v>81</v>
      </c>
      <c r="H17" s="109">
        <v>1</v>
      </c>
      <c r="I17" s="114">
        <f>D17*F17*H17</f>
        <v>0.18598272000000005</v>
      </c>
      <c r="J17" s="394"/>
      <c r="K17" s="394"/>
      <c r="L17" s="394"/>
      <c r="M17" s="394"/>
      <c r="N17" s="394"/>
      <c r="O17" s="280"/>
    </row>
    <row r="18" spans="1:15" x14ac:dyDescent="0.3">
      <c r="A18" s="408">
        <v>30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0.5</v>
      </c>
      <c r="G18" s="109" t="s">
        <v>89</v>
      </c>
      <c r="H18" s="109">
        <v>0.5</v>
      </c>
      <c r="I18" s="114">
        <f>IF(H18="",D18*F18,D18*F18*H18)</f>
        <v>0.16250000000000001</v>
      </c>
      <c r="J18" s="394"/>
      <c r="K18" s="394"/>
      <c r="L18" s="394"/>
      <c r="M18" s="394"/>
      <c r="N18" s="394"/>
      <c r="O18" s="280"/>
    </row>
    <row r="19" spans="1:15" x14ac:dyDescent="0.3">
      <c r="A19" s="408">
        <v>40</v>
      </c>
      <c r="B19" s="75" t="s">
        <v>47</v>
      </c>
      <c r="C19" s="38" t="s">
        <v>95</v>
      </c>
      <c r="D19" s="13">
        <v>0.04</v>
      </c>
      <c r="E19" s="75" t="s">
        <v>48</v>
      </c>
      <c r="F19" s="118">
        <f>0.86*(1.3^2 - 0.6^2)*3.1416</f>
        <v>3.5933620800000003</v>
      </c>
      <c r="G19" s="75" t="s">
        <v>81</v>
      </c>
      <c r="H19" s="109">
        <v>1</v>
      </c>
      <c r="I19" s="114">
        <f>D19*F19*H19</f>
        <v>0.14373448320000001</v>
      </c>
      <c r="J19" s="394"/>
      <c r="K19" s="394"/>
      <c r="L19" s="394"/>
      <c r="M19" s="394"/>
      <c r="N19" s="394"/>
      <c r="O19" s="280"/>
    </row>
    <row r="20" spans="1:15" x14ac:dyDescent="0.3">
      <c r="A20" s="409">
        <v>50</v>
      </c>
      <c r="B20" s="108" t="s">
        <v>46</v>
      </c>
      <c r="C20" s="153" t="s">
        <v>96</v>
      </c>
      <c r="D20" s="13">
        <v>1.3</v>
      </c>
      <c r="E20" s="108" t="s">
        <v>43</v>
      </c>
      <c r="F20" s="109">
        <v>0.5</v>
      </c>
      <c r="G20" s="109" t="s">
        <v>89</v>
      </c>
      <c r="H20" s="109">
        <v>0.5</v>
      </c>
      <c r="I20" s="114">
        <f>IF(H20="",D20*F20,D20*F20*H20)</f>
        <v>0.32500000000000001</v>
      </c>
      <c r="J20" s="394"/>
      <c r="K20" s="394"/>
      <c r="L20" s="394"/>
      <c r="M20" s="394"/>
      <c r="N20" s="394"/>
      <c r="O20" s="280"/>
    </row>
    <row r="21" spans="1:15" x14ac:dyDescent="0.3">
      <c r="A21" s="408">
        <v>60</v>
      </c>
      <c r="B21" s="75" t="s">
        <v>47</v>
      </c>
      <c r="C21" s="38" t="s">
        <v>94</v>
      </c>
      <c r="D21" s="13">
        <v>0.04</v>
      </c>
      <c r="E21" s="75" t="s">
        <v>48</v>
      </c>
      <c r="F21" s="118">
        <f>2.5*1.9*1.8+3</f>
        <v>11.55</v>
      </c>
      <c r="G21" s="75" t="s">
        <v>81</v>
      </c>
      <c r="H21" s="109">
        <v>1</v>
      </c>
      <c r="I21" s="114">
        <f>D21*F21*H21</f>
        <v>0.46200000000000002</v>
      </c>
      <c r="J21" s="394"/>
      <c r="K21" s="394"/>
      <c r="L21" s="394"/>
      <c r="M21" s="394"/>
      <c r="N21" s="394"/>
      <c r="O21" s="280"/>
    </row>
    <row r="22" spans="1:15" x14ac:dyDescent="0.3">
      <c r="A22" s="408">
        <v>70</v>
      </c>
      <c r="B22" s="75" t="s">
        <v>52</v>
      </c>
      <c r="C22" s="10" t="s">
        <v>53</v>
      </c>
      <c r="D22" s="13">
        <v>0.65</v>
      </c>
      <c r="E22" s="108" t="s">
        <v>43</v>
      </c>
      <c r="F22" s="109">
        <v>0.5</v>
      </c>
      <c r="G22" s="109" t="s">
        <v>89</v>
      </c>
      <c r="H22" s="109">
        <v>0.5</v>
      </c>
      <c r="I22" s="114">
        <f>IF(H22="",D22*F22,D22*F22*H22)</f>
        <v>0.16250000000000001</v>
      </c>
      <c r="J22" s="394"/>
      <c r="K22" s="394"/>
      <c r="L22" s="394"/>
      <c r="M22" s="394"/>
      <c r="N22" s="394"/>
      <c r="O22" s="280"/>
    </row>
    <row r="23" spans="1:15" x14ac:dyDescent="0.3">
      <c r="A23" s="408">
        <v>80</v>
      </c>
      <c r="B23" s="75" t="s">
        <v>47</v>
      </c>
      <c r="C23" s="38" t="s">
        <v>97</v>
      </c>
      <c r="D23" s="13">
        <v>0.04</v>
      </c>
      <c r="E23" s="75" t="s">
        <v>48</v>
      </c>
      <c r="F23" s="118">
        <f>1.1</f>
        <v>1.1000000000000001</v>
      </c>
      <c r="G23" s="75" t="s">
        <v>81</v>
      </c>
      <c r="H23" s="109">
        <v>1</v>
      </c>
      <c r="I23" s="114">
        <f>D23*F23*H23</f>
        <v>4.4000000000000004E-2</v>
      </c>
      <c r="J23" s="394"/>
      <c r="K23" s="394"/>
      <c r="L23" s="394"/>
      <c r="M23" s="394"/>
      <c r="N23" s="394"/>
      <c r="O23" s="280"/>
    </row>
    <row r="24" spans="1:15" x14ac:dyDescent="0.3">
      <c r="A24" s="408">
        <v>90</v>
      </c>
      <c r="B24" s="75" t="s">
        <v>98</v>
      </c>
      <c r="C24" s="198" t="s">
        <v>100</v>
      </c>
      <c r="D24" s="13">
        <v>0.35</v>
      </c>
      <c r="E24" s="75" t="s">
        <v>99</v>
      </c>
      <c r="F24" s="118">
        <v>2</v>
      </c>
      <c r="G24" s="75"/>
      <c r="H24" s="109"/>
      <c r="I24" s="114">
        <f>D24*F24</f>
        <v>0.7</v>
      </c>
      <c r="J24" s="394"/>
      <c r="K24" s="394"/>
      <c r="L24" s="394"/>
      <c r="M24" s="394"/>
      <c r="N24" s="394"/>
      <c r="O24" s="280"/>
    </row>
    <row r="25" spans="1:15" x14ac:dyDescent="0.3">
      <c r="A25" s="408">
        <v>100</v>
      </c>
      <c r="B25" s="75" t="s">
        <v>115</v>
      </c>
      <c r="C25" s="38" t="s">
        <v>116</v>
      </c>
      <c r="D25" s="76">
        <v>5.25</v>
      </c>
      <c r="E25" s="75" t="s">
        <v>117</v>
      </c>
      <c r="F25" s="413">
        <f>(1.3*2 + 8 + 2 + 6 + 4 + 4 + 7 + 3)*10^-4</f>
        <v>3.6600000000000005E-3</v>
      </c>
      <c r="G25" s="75"/>
      <c r="H25" s="109"/>
      <c r="I25" s="114">
        <f>D25*F25</f>
        <v>1.9215000000000003E-2</v>
      </c>
      <c r="J25" s="394"/>
      <c r="K25" s="394"/>
      <c r="L25" s="394"/>
      <c r="M25" s="394"/>
      <c r="N25" s="394"/>
      <c r="O25" s="280"/>
    </row>
    <row r="26" spans="1:15" x14ac:dyDescent="0.3">
      <c r="A26" s="403"/>
      <c r="B26" s="404"/>
      <c r="C26" s="404"/>
      <c r="D26" s="404"/>
      <c r="E26" s="404"/>
      <c r="F26" s="404"/>
      <c r="G26" s="404"/>
      <c r="H26" s="57" t="s">
        <v>23</v>
      </c>
      <c r="I26" s="58">
        <f>SUM(I16:I22)</f>
        <v>2.0917172032</v>
      </c>
      <c r="J26" s="404"/>
      <c r="K26" s="404"/>
      <c r="L26" s="404"/>
      <c r="M26" s="404"/>
      <c r="N26" s="404"/>
      <c r="O26" s="280"/>
    </row>
    <row r="27" spans="1:15" x14ac:dyDescent="0.3">
      <c r="A27" s="391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280"/>
    </row>
    <row r="28" spans="1:15" ht="15" thickBot="1" x14ac:dyDescent="0.35">
      <c r="A28" s="312"/>
      <c r="B28" s="417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tabSelected="1" workbookViewId="0">
      <selection activeCell="N37" sqref="N37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4" bestFit="1" customWidth="1"/>
    <col min="4" max="4" width="9" bestFit="1" customWidth="1"/>
    <col min="5" max="5" width="8.44140625" bestFit="1" customWidth="1"/>
    <col min="6" max="6" width="12" bestFit="1" customWidth="1"/>
    <col min="7" max="7" width="20.109375" bestFit="1" customWidth="1"/>
    <col min="8" max="8" width="9.6640625" bestFit="1" customWidth="1"/>
    <col min="9" max="9" width="10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5" x14ac:dyDescent="0.3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3">
      <c r="A2" s="393" t="s">
        <v>0</v>
      </c>
      <c r="B2" s="394" t="s">
        <v>1</v>
      </c>
      <c r="C2" s="394"/>
      <c r="D2" s="394"/>
      <c r="E2" s="394"/>
      <c r="F2" s="2" t="s">
        <v>2</v>
      </c>
      <c r="G2" s="394"/>
      <c r="H2" s="394"/>
      <c r="I2" s="394"/>
      <c r="J2" s="56" t="s">
        <v>3</v>
      </c>
      <c r="K2" s="395">
        <v>81</v>
      </c>
      <c r="L2" s="394"/>
      <c r="M2" s="52" t="s">
        <v>21</v>
      </c>
      <c r="N2" s="396">
        <f>N12+I23</f>
        <v>65.587604384969495</v>
      </c>
      <c r="O2" s="280"/>
    </row>
    <row r="3" spans="1:15" x14ac:dyDescent="0.3">
      <c r="A3" s="397" t="s">
        <v>5</v>
      </c>
      <c r="B3" s="394" t="s">
        <v>6</v>
      </c>
      <c r="C3" s="394"/>
      <c r="D3" s="69"/>
      <c r="E3" s="394"/>
      <c r="F3" s="394"/>
      <c r="G3" s="394"/>
      <c r="H3" s="394"/>
      <c r="I3" s="394"/>
      <c r="J3" s="394"/>
      <c r="K3" s="394"/>
      <c r="L3" s="394"/>
      <c r="M3" s="53" t="s">
        <v>7</v>
      </c>
      <c r="N3" s="398">
        <v>1</v>
      </c>
      <c r="O3" s="280"/>
    </row>
    <row r="4" spans="1:15" x14ac:dyDescent="0.3">
      <c r="A4" s="397" t="s">
        <v>8</v>
      </c>
      <c r="B4" s="2" t="s">
        <v>9</v>
      </c>
      <c r="C4" s="394"/>
      <c r="D4" s="68"/>
      <c r="E4" s="394"/>
      <c r="F4" s="394"/>
      <c r="G4" s="394"/>
      <c r="H4" s="394"/>
      <c r="I4" s="394"/>
      <c r="J4" s="52" t="s">
        <v>10</v>
      </c>
      <c r="K4" s="394"/>
      <c r="L4" s="394"/>
      <c r="M4" s="394"/>
      <c r="N4" s="394"/>
      <c r="O4" s="280"/>
    </row>
    <row r="5" spans="1:15" x14ac:dyDescent="0.3">
      <c r="A5" s="397" t="s">
        <v>20</v>
      </c>
      <c r="B5" s="1" t="s">
        <v>106</v>
      </c>
      <c r="C5" s="394"/>
      <c r="D5" s="68"/>
      <c r="E5" s="394"/>
      <c r="F5" s="394"/>
      <c r="G5" s="394"/>
      <c r="H5" s="394"/>
      <c r="I5" s="394"/>
      <c r="J5" s="53" t="s">
        <v>12</v>
      </c>
      <c r="K5" s="394"/>
      <c r="L5" s="394"/>
      <c r="M5" s="52" t="s">
        <v>13</v>
      </c>
      <c r="N5" s="396">
        <f>N2*N3</f>
        <v>65.587604384969495</v>
      </c>
      <c r="O5" s="280"/>
    </row>
    <row r="6" spans="1:15" x14ac:dyDescent="0.3">
      <c r="A6" s="397" t="s">
        <v>11</v>
      </c>
      <c r="B6" s="399" t="s">
        <v>343</v>
      </c>
      <c r="C6" s="394"/>
      <c r="D6" s="394"/>
      <c r="E6" s="394"/>
      <c r="F6" s="394"/>
      <c r="G6" s="394"/>
      <c r="H6" s="394"/>
      <c r="I6" s="394"/>
      <c r="J6" s="53" t="s">
        <v>16</v>
      </c>
      <c r="K6" s="394"/>
      <c r="L6" s="394"/>
      <c r="M6" s="394"/>
      <c r="N6" s="394"/>
      <c r="O6" s="280"/>
    </row>
    <row r="7" spans="1:15" x14ac:dyDescent="0.3">
      <c r="A7" s="397" t="s">
        <v>14</v>
      </c>
      <c r="B7" s="394" t="s">
        <v>15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280"/>
    </row>
    <row r="8" spans="1:15" x14ac:dyDescent="0.3">
      <c r="A8" s="397" t="s">
        <v>17</v>
      </c>
      <c r="B8" s="394" t="s">
        <v>27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280"/>
    </row>
    <row r="9" spans="1:15" x14ac:dyDescent="0.3">
      <c r="A9" s="400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280"/>
    </row>
    <row r="10" spans="1:15" x14ac:dyDescent="0.3">
      <c r="A10" s="410" t="s">
        <v>19</v>
      </c>
      <c r="B10" s="55" t="s">
        <v>28</v>
      </c>
      <c r="C10" s="55" t="s">
        <v>29</v>
      </c>
      <c r="D10" s="55" t="s">
        <v>30</v>
      </c>
      <c r="E10" s="55" t="s">
        <v>31</v>
      </c>
      <c r="F10" s="55" t="s">
        <v>32</v>
      </c>
      <c r="G10" s="55" t="s">
        <v>33</v>
      </c>
      <c r="H10" s="55" t="s">
        <v>34</v>
      </c>
      <c r="I10" s="55" t="s">
        <v>35</v>
      </c>
      <c r="J10" s="55" t="s">
        <v>36</v>
      </c>
      <c r="K10" s="55" t="s">
        <v>37</v>
      </c>
      <c r="L10" s="55" t="s">
        <v>38</v>
      </c>
      <c r="M10" s="55" t="s">
        <v>22</v>
      </c>
      <c r="N10" s="55" t="s">
        <v>23</v>
      </c>
      <c r="O10" s="280"/>
    </row>
    <row r="11" spans="1:15" ht="28.8" x14ac:dyDescent="0.3">
      <c r="A11" s="408">
        <v>10</v>
      </c>
      <c r="B11" s="11" t="s">
        <v>308</v>
      </c>
      <c r="C11" s="149" t="s">
        <v>267</v>
      </c>
      <c r="D11" s="13">
        <v>200</v>
      </c>
      <c r="E11" s="200">
        <f>J11*K11*L11</f>
        <v>0.27536713059986451</v>
      </c>
      <c r="F11" s="10" t="s">
        <v>41</v>
      </c>
      <c r="G11" s="10"/>
      <c r="H11" s="15"/>
      <c r="I11" s="16" t="s">
        <v>309</v>
      </c>
      <c r="J11" s="199">
        <f>PI()*(0.036^2 - 0.033^2)</f>
        <v>6.5030967929308626E-4</v>
      </c>
      <c r="K11" s="152">
        <v>0.26800000000000002</v>
      </c>
      <c r="L11" s="18">
        <v>1580</v>
      </c>
      <c r="M11" s="18">
        <v>1</v>
      </c>
      <c r="N11" s="19">
        <f>IF(J11="",D11*M11,D11*J11*K11*L11*M11)</f>
        <v>55.073426119972893</v>
      </c>
      <c r="O11" s="280"/>
    </row>
    <row r="12" spans="1:15" x14ac:dyDescent="0.3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57" t="s">
        <v>23</v>
      </c>
      <c r="N12" s="59">
        <f>SUM(N11:N11)</f>
        <v>55.073426119972893</v>
      </c>
      <c r="O12" s="280"/>
    </row>
    <row r="13" spans="1:15" x14ac:dyDescent="0.3">
      <c r="A13" s="400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280"/>
    </row>
    <row r="14" spans="1:15" x14ac:dyDescent="0.3">
      <c r="A14" s="410" t="s">
        <v>19</v>
      </c>
      <c r="B14" s="54" t="s">
        <v>42</v>
      </c>
      <c r="C14" s="54" t="s">
        <v>29</v>
      </c>
      <c r="D14" s="54" t="s">
        <v>30</v>
      </c>
      <c r="E14" s="54" t="s">
        <v>43</v>
      </c>
      <c r="F14" s="54" t="s">
        <v>22</v>
      </c>
      <c r="G14" s="54" t="s">
        <v>44</v>
      </c>
      <c r="H14" s="54" t="s">
        <v>45</v>
      </c>
      <c r="I14" s="55" t="s">
        <v>23</v>
      </c>
      <c r="J14" s="404"/>
      <c r="K14" s="404"/>
      <c r="L14" s="404"/>
      <c r="M14" s="404"/>
      <c r="N14" s="404"/>
      <c r="O14" s="280"/>
    </row>
    <row r="15" spans="1:15" ht="28.8" x14ac:dyDescent="0.3">
      <c r="A15" s="409">
        <v>10</v>
      </c>
      <c r="B15" s="108" t="s">
        <v>310</v>
      </c>
      <c r="C15" s="153" t="s">
        <v>311</v>
      </c>
      <c r="D15" s="13">
        <v>25</v>
      </c>
      <c r="E15" s="108" t="s">
        <v>41</v>
      </c>
      <c r="F15" s="197">
        <f>E11</f>
        <v>0.27536713059986451</v>
      </c>
      <c r="G15" s="109"/>
      <c r="H15" s="109"/>
      <c r="I15" s="114">
        <f>IF(H15="",D15*F15,D15*F15*H15)</f>
        <v>6.8841782649966126</v>
      </c>
      <c r="J15" s="394"/>
      <c r="K15" s="394"/>
      <c r="L15" s="394"/>
      <c r="M15" s="394"/>
      <c r="N15" s="394"/>
      <c r="O15" s="280"/>
    </row>
    <row r="16" spans="1:15" ht="28.8" x14ac:dyDescent="0.3">
      <c r="A16" s="408">
        <v>20</v>
      </c>
      <c r="B16" s="108" t="s">
        <v>46</v>
      </c>
      <c r="C16" s="153" t="s">
        <v>51</v>
      </c>
      <c r="D16" s="13">
        <v>1.3</v>
      </c>
      <c r="E16" s="108" t="s">
        <v>43</v>
      </c>
      <c r="F16" s="109"/>
      <c r="G16" s="109"/>
      <c r="H16" s="109"/>
      <c r="I16" s="114">
        <f>D16</f>
        <v>1.3</v>
      </c>
      <c r="J16" s="394"/>
      <c r="K16" s="394"/>
      <c r="L16" s="394"/>
      <c r="M16" s="394"/>
      <c r="N16" s="394"/>
      <c r="O16" s="280"/>
    </row>
    <row r="17" spans="1:15" x14ac:dyDescent="0.3">
      <c r="A17" s="408">
        <v>30</v>
      </c>
      <c r="B17" s="75" t="s">
        <v>98</v>
      </c>
      <c r="C17" s="198" t="s">
        <v>100</v>
      </c>
      <c r="D17" s="13">
        <v>0.35</v>
      </c>
      <c r="E17" s="75" t="s">
        <v>99</v>
      </c>
      <c r="F17" s="118">
        <v>2</v>
      </c>
      <c r="G17" s="75"/>
      <c r="H17" s="109"/>
      <c r="I17" s="114">
        <f>D17*F17</f>
        <v>0.7</v>
      </c>
      <c r="J17" s="394"/>
      <c r="K17" s="394"/>
      <c r="L17" s="394"/>
      <c r="M17" s="394"/>
      <c r="N17" s="394"/>
      <c r="O17" s="280"/>
    </row>
    <row r="18" spans="1:15" x14ac:dyDescent="0.3">
      <c r="A18" s="408">
        <v>40</v>
      </c>
      <c r="B18" s="75" t="s">
        <v>52</v>
      </c>
      <c r="C18" s="10" t="s">
        <v>53</v>
      </c>
      <c r="D18" s="13">
        <v>0.65</v>
      </c>
      <c r="E18" s="108" t="s">
        <v>43</v>
      </c>
      <c r="F18" s="109">
        <v>0.5</v>
      </c>
      <c r="G18" s="109"/>
      <c r="H18" s="109"/>
      <c r="I18" s="114">
        <f>IF(H18="",D18*F18,D18*F18*H18)</f>
        <v>0.32500000000000001</v>
      </c>
      <c r="J18" s="394"/>
      <c r="K18" s="394"/>
      <c r="L18" s="394"/>
      <c r="M18" s="394"/>
      <c r="N18" s="394"/>
      <c r="O18" s="280"/>
    </row>
    <row r="19" spans="1:15" x14ac:dyDescent="0.3">
      <c r="A19" s="409">
        <v>50</v>
      </c>
      <c r="B19" s="75" t="s">
        <v>98</v>
      </c>
      <c r="C19" s="198" t="s">
        <v>100</v>
      </c>
      <c r="D19" s="13">
        <v>0.35</v>
      </c>
      <c r="E19" s="75" t="s">
        <v>99</v>
      </c>
      <c r="F19" s="118">
        <v>2</v>
      </c>
      <c r="G19" s="75"/>
      <c r="H19" s="109"/>
      <c r="I19" s="114">
        <f>D19*F19</f>
        <v>0.7</v>
      </c>
      <c r="J19" s="74"/>
      <c r="K19" s="394"/>
      <c r="L19" s="394"/>
      <c r="M19" s="394"/>
      <c r="N19" s="394"/>
      <c r="O19" s="280"/>
    </row>
    <row r="20" spans="1:15" x14ac:dyDescent="0.3">
      <c r="A20" s="408">
        <v>60</v>
      </c>
      <c r="B20" s="75" t="s">
        <v>47</v>
      </c>
      <c r="C20" s="38" t="s">
        <v>312</v>
      </c>
      <c r="D20" s="13">
        <v>0.04</v>
      </c>
      <c r="E20" s="75" t="s">
        <v>48</v>
      </c>
      <c r="F20" s="118">
        <v>3.5</v>
      </c>
      <c r="G20" s="75" t="s">
        <v>313</v>
      </c>
      <c r="H20" s="38">
        <v>2</v>
      </c>
      <c r="I20" s="114">
        <f>D20*F20*H20</f>
        <v>0.28000000000000003</v>
      </c>
      <c r="J20" s="394"/>
      <c r="K20" s="394"/>
      <c r="L20" s="394"/>
      <c r="M20" s="394"/>
      <c r="N20" s="394"/>
      <c r="O20" s="280"/>
    </row>
    <row r="21" spans="1:15" x14ac:dyDescent="0.3">
      <c r="A21" s="408">
        <v>70</v>
      </c>
      <c r="B21" s="75" t="s">
        <v>52</v>
      </c>
      <c r="C21" s="10" t="s">
        <v>314</v>
      </c>
      <c r="D21" s="13">
        <v>0.65</v>
      </c>
      <c r="E21" s="108" t="s">
        <v>43</v>
      </c>
      <c r="F21" s="109">
        <v>0.5</v>
      </c>
      <c r="G21" s="109"/>
      <c r="H21" s="109"/>
      <c r="I21" s="114">
        <f>IF(H21="",D21*F21,D21*F21*H21)</f>
        <v>0.32500000000000001</v>
      </c>
      <c r="J21" s="394"/>
      <c r="K21" s="394"/>
      <c r="L21" s="394"/>
      <c r="M21" s="394"/>
      <c r="N21" s="394"/>
      <c r="O21" s="280"/>
    </row>
    <row r="22" spans="1:15" x14ac:dyDescent="0.3">
      <c r="A22" s="408">
        <v>80</v>
      </c>
      <c r="B22" s="75" t="s">
        <v>315</v>
      </c>
      <c r="C22" s="38"/>
      <c r="D22" s="171">
        <v>0.7</v>
      </c>
      <c r="E22" s="75" t="s">
        <v>99</v>
      </c>
      <c r="F22" s="118">
        <v>1</v>
      </c>
      <c r="G22" s="75"/>
      <c r="H22" s="109"/>
      <c r="I22" s="114">
        <f>F22*D22</f>
        <v>0.7</v>
      </c>
      <c r="J22" s="394"/>
      <c r="K22" s="394"/>
      <c r="L22" s="394"/>
      <c r="M22" s="394"/>
      <c r="N22" s="394"/>
      <c r="O22" s="280"/>
    </row>
    <row r="23" spans="1:15" x14ac:dyDescent="0.3">
      <c r="A23" s="403"/>
      <c r="B23" s="404"/>
      <c r="C23" s="404"/>
      <c r="D23" s="404"/>
      <c r="E23" s="404"/>
      <c r="F23" s="404"/>
      <c r="G23" s="404"/>
      <c r="H23" s="57" t="s">
        <v>23</v>
      </c>
      <c r="I23" s="58">
        <f>SUM(I15:I21)</f>
        <v>10.514178264996609</v>
      </c>
      <c r="J23" s="404"/>
      <c r="K23" s="404"/>
      <c r="L23" s="404"/>
      <c r="M23" s="404"/>
      <c r="N23" s="404"/>
      <c r="O23" s="280"/>
    </row>
    <row r="24" spans="1:15" x14ac:dyDescent="0.3">
      <c r="A24" s="391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280"/>
    </row>
    <row r="25" spans="1:15" x14ac:dyDescent="0.3">
      <c r="A25" s="391"/>
      <c r="B25" s="98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280"/>
    </row>
    <row r="26" spans="1:15" ht="15" thickBot="1" x14ac:dyDescent="0.35">
      <c r="A26" s="312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292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125</vt:i4>
      </vt:variant>
    </vt:vector>
  </HeadingPairs>
  <TitlesOfParts>
    <vt:vector size="163" baseType="lpstr">
      <vt:lpstr>BOM</vt:lpstr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ST A0500</vt:lpstr>
      <vt:lpstr>ST 05001</vt:lpstr>
      <vt:lpstr>ST 05002</vt:lpstr>
      <vt:lpstr>dST 05002</vt:lpstr>
      <vt:lpstr>ST 05003</vt:lpstr>
      <vt:lpstr>dSU 05003</vt:lpstr>
      <vt:lpstr>dST_05002</vt:lpstr>
      <vt:lpstr>dST_05003</vt:lpstr>
      <vt:lpstr>ST_01001</vt:lpstr>
      <vt:lpstr>ST_01001_m</vt:lpstr>
      <vt:lpstr>ST_01001_p</vt:lpstr>
      <vt:lpstr>ST_01001_q</vt:lpstr>
      <vt:lpstr>ST_01002</vt:lpstr>
      <vt:lpstr>ST_01002_m</vt:lpstr>
      <vt:lpstr>ST_01002_p</vt:lpstr>
      <vt:lpstr>ST_01002_q</vt:lpstr>
      <vt:lpstr>ST_01003</vt:lpstr>
      <vt:lpstr>ST_01003_m</vt:lpstr>
      <vt:lpstr>ST_01003_p</vt:lpstr>
      <vt:lpstr>ST_01003_q</vt:lpstr>
      <vt:lpstr>ST_01004</vt:lpstr>
      <vt:lpstr>ST_01004_m</vt:lpstr>
      <vt:lpstr>ST_01004_p</vt:lpstr>
      <vt:lpstr>ST_01004_q</vt:lpstr>
      <vt:lpstr>ST_01005</vt:lpstr>
      <vt:lpstr>ST_01005_m</vt:lpstr>
      <vt:lpstr>ST_01005_p</vt:lpstr>
      <vt:lpstr>ST_01005_q</vt:lpstr>
      <vt:lpstr>ST_01006</vt:lpstr>
      <vt:lpstr>ST_01006_m</vt:lpstr>
      <vt:lpstr>ST_01006_p</vt:lpstr>
      <vt:lpstr>ST_01006_q</vt:lpstr>
      <vt:lpstr>ST_01007</vt:lpstr>
      <vt:lpstr>ST_01007_m</vt:lpstr>
      <vt:lpstr>ST_01007_p</vt:lpstr>
      <vt:lpstr>ST_01007_q</vt:lpstr>
      <vt:lpstr>ST_01008</vt:lpstr>
      <vt:lpstr>ST_01008_m</vt:lpstr>
      <vt:lpstr>ST_01008_p</vt:lpstr>
      <vt:lpstr>ST_01008_q</vt:lpstr>
      <vt:lpstr>ST_01009</vt:lpstr>
      <vt:lpstr>ST_01009_m</vt:lpstr>
      <vt:lpstr>ST_01009_p</vt:lpstr>
      <vt:lpstr>ST_01009_q</vt:lpstr>
      <vt:lpstr>ST_01010</vt:lpstr>
      <vt:lpstr>ST_01010_m</vt:lpstr>
      <vt:lpstr>ST_01010_p</vt:lpstr>
      <vt:lpstr>ST_01010_q</vt:lpstr>
      <vt:lpstr>ST_01011</vt:lpstr>
      <vt:lpstr>ST_01011_m</vt:lpstr>
      <vt:lpstr>ST_01011_p</vt:lpstr>
      <vt:lpstr>ST_01011_q</vt:lpstr>
      <vt:lpstr>ST_02001</vt:lpstr>
      <vt:lpstr>ST_02001_m</vt:lpstr>
      <vt:lpstr>ST_02001_p</vt:lpstr>
      <vt:lpstr>ST_02001_q</vt:lpstr>
      <vt:lpstr>ST_02002</vt:lpstr>
      <vt:lpstr>ST_02002_m</vt:lpstr>
      <vt:lpstr>ST_02002_p</vt:lpstr>
      <vt:lpstr>ST_02002_q</vt:lpstr>
      <vt:lpstr>ST_02003</vt:lpstr>
      <vt:lpstr>ST_02003_m</vt:lpstr>
      <vt:lpstr>ST_02003_p</vt:lpstr>
      <vt:lpstr>ST_02003_q</vt:lpstr>
      <vt:lpstr>ST_02004</vt:lpstr>
      <vt:lpstr>ST_02004_m</vt:lpstr>
      <vt:lpstr>ST_02004_p</vt:lpstr>
      <vt:lpstr>ST_02004_q</vt:lpstr>
      <vt:lpstr>ST_02005</vt:lpstr>
      <vt:lpstr>ST_02005_m</vt:lpstr>
      <vt:lpstr>ST_02005_p</vt:lpstr>
      <vt:lpstr>ST_02005_q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ST_04001</vt:lpstr>
      <vt:lpstr>ST_04001_m</vt:lpstr>
      <vt:lpstr>ST_04001_p</vt:lpstr>
      <vt:lpstr>ST_04001_q</vt:lpstr>
      <vt:lpstr>ST_04002</vt:lpstr>
      <vt:lpstr>ST_04002_m</vt:lpstr>
      <vt:lpstr>ST_04002_p</vt:lpstr>
      <vt:lpstr>ST_04002_q</vt:lpstr>
      <vt:lpstr>ST_05001</vt:lpstr>
      <vt:lpstr>ST_05001_m</vt:lpstr>
      <vt:lpstr>ST_05001_p</vt:lpstr>
      <vt:lpstr>ST_05001_q</vt:lpstr>
      <vt:lpstr>ST_05002</vt:lpstr>
      <vt:lpstr>ST_05002_m</vt:lpstr>
      <vt:lpstr>ST_05002_p</vt:lpstr>
      <vt:lpstr>ST_05002_q</vt:lpstr>
      <vt:lpstr>ST_05003</vt:lpstr>
      <vt:lpstr>ST_05003_m</vt:lpstr>
      <vt:lpstr>ST_05003_p</vt:lpstr>
      <vt:lpstr>ST_05003_q</vt:lpstr>
      <vt:lpstr>ST_A0100</vt:lpstr>
      <vt:lpstr>ST_A0100_f</vt:lpstr>
      <vt:lpstr>ST_A0100_m</vt:lpstr>
      <vt:lpstr>ST_A0100_p</vt:lpstr>
      <vt:lpstr>ST_A0100_q</vt:lpstr>
      <vt:lpstr>ST_A0100_t</vt:lpstr>
      <vt:lpstr>ST_A0200</vt:lpstr>
      <vt:lpstr>ST_A0200_f</vt:lpstr>
      <vt:lpstr>ST_A0200_m</vt:lpstr>
      <vt:lpstr>ST_A0200_p</vt:lpstr>
      <vt:lpstr>ST_A0200_q</vt:lpstr>
      <vt:lpstr>ST_A0200_t</vt:lpstr>
      <vt:lpstr>ST_A0300</vt:lpstr>
      <vt:lpstr>ST_A0300_f</vt:lpstr>
      <vt:lpstr>ST_A0300_m</vt:lpstr>
      <vt:lpstr>ST_A0300_p</vt:lpstr>
      <vt:lpstr>ST_A0300_q</vt:lpstr>
      <vt:lpstr>ST_A0400</vt:lpstr>
      <vt:lpstr>ST_A0400_f</vt:lpstr>
      <vt:lpstr>ST_A0400_p</vt:lpstr>
      <vt:lpstr>ST_A0400_q</vt:lpstr>
      <vt:lpstr>ST_A0500</vt:lpstr>
      <vt:lpstr>ST_A0500_f</vt:lpstr>
      <vt:lpstr>ST_A0500_m</vt:lpstr>
      <vt:lpstr>ST_A0500_p</vt:lpstr>
      <vt:lpstr>ST_A0500_pa</vt:lpstr>
      <vt:lpstr>ST_A0500_q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2018-05-04T18:04:56Z</dcterms:modified>
</cp:coreProperties>
</file>