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rien\Documents\ECL\EPSA\Github\EN - Engine &amp; Powertrain\Cost\"/>
    </mc:Choice>
  </mc:AlternateContent>
  <xr:revisionPtr revIDLastSave="0" documentId="13_ncr:1_{CD8E82EF-3999-49B6-9B28-6D7366D5D7C7}" xr6:coauthVersionLast="28" xr6:coauthVersionMax="28" xr10:uidLastSave="{00000000-0000-0000-0000-000000000000}"/>
  <bookViews>
    <workbookView xWindow="4740" yWindow="60" windowWidth="16380" windowHeight="8190" firstSheet="21" activeTab="22" xr2:uid="{00000000-000D-0000-FFFF-FFFF00000000}"/>
  </bookViews>
  <sheets>
    <sheet name="Instructions" sheetId="7" r:id="rId1"/>
    <sheet name="BOM" sheetId="8" r:id="rId2"/>
    <sheet name="EN_A0900" sheetId="1" r:id="rId3"/>
    <sheet name="EN_0900_001" sheetId="2" r:id="rId4"/>
    <sheet name="EN_0900_002" sheetId="10" r:id="rId5"/>
    <sheet name="EN_0900_002 Drawing" sheetId="9" r:id="rId6"/>
    <sheet name="EN_0900_003" sheetId="13" r:id="rId7"/>
    <sheet name="EN_0900_003 Drawing" sheetId="22" r:id="rId8"/>
    <sheet name="EN_0900_004" sheetId="14" r:id="rId9"/>
    <sheet name="EN_0900_004 Drawing" sheetId="23" r:id="rId10"/>
    <sheet name="EN_0900_005" sheetId="15" r:id="rId11"/>
    <sheet name="EN_0900_005 Drawing" sheetId="24" r:id="rId12"/>
    <sheet name="EN_0900_006" sheetId="16" r:id="rId13"/>
    <sheet name="EN_0900_006 Drawing" sheetId="25" r:id="rId14"/>
    <sheet name="EN_0900_007" sheetId="17" r:id="rId15"/>
    <sheet name="EN_0900_007 Drawing" sheetId="26" r:id="rId16"/>
    <sheet name="EN_0900_008" sheetId="19" r:id="rId17"/>
    <sheet name="EN_0900_008 Drawing" sheetId="27" r:id="rId18"/>
    <sheet name="EN_0900_009" sheetId="20" r:id="rId19"/>
    <sheet name="EN_0900_009 Drawing" sheetId="28" r:id="rId20"/>
    <sheet name="EN_A1000" sheetId="29" r:id="rId21"/>
    <sheet name="EN_1000_001" sheetId="30" r:id="rId22"/>
    <sheet name="EN_1000_002" sheetId="32" r:id="rId23"/>
    <sheet name="EN_1000_003" sheetId="34" r:id="rId24"/>
    <sheet name="EN_1000_003 Drawing" sheetId="37" r:id="rId25"/>
    <sheet name="EN_1000_004" sheetId="33" r:id="rId26"/>
    <sheet name="EN_1000_004 Drawing" sheetId="38" r:id="rId27"/>
  </sheets>
  <externalReferences>
    <externalReference r:id="rId28"/>
    <externalReference r:id="rId29"/>
    <externalReference r:id="rId30"/>
  </externalReferences>
  <definedNames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'EN_0900_002 Drawing'!$B$1</definedName>
    <definedName name="dede">#REF!</definedName>
    <definedName name="dEL_01001">'EN_0900_002 Drawing'!$B$1</definedName>
    <definedName name="dqwdqd">#REF!</definedName>
    <definedName name="eded">#REF!</definedName>
    <definedName name="EN_0900_001">EN_0900_001!$B$6</definedName>
    <definedName name="EN_0900_001_f">EN_0900_001!$J$40</definedName>
    <definedName name="EN_0900_001_m">EN_0900_001!$N$16</definedName>
    <definedName name="EN_0900_001_p">EN_0900_001!$I$33</definedName>
    <definedName name="EN_0900_002">EN_0900_002!$B$6</definedName>
    <definedName name="EN_0900_002_m">EN_0900_002!$N$13</definedName>
    <definedName name="EN_0900_002_p">EN_0900_002!$I$18</definedName>
    <definedName name="EN_0900_002_q">EN_0900_002!$N$3</definedName>
    <definedName name="EN_0900_003">EN_0900_003!$B$6</definedName>
    <definedName name="EN_0900_003_m">EN_0900_003!$N$13</definedName>
    <definedName name="EN_0900_003_p">EN_0900_003!$I$18</definedName>
    <definedName name="EN_0900_003_q">EN_0900_003!$N$3</definedName>
    <definedName name="EN_0900_004">EN_0900_004!$B$6</definedName>
    <definedName name="EN_0900_004_m">EN_0900_004!$N$13</definedName>
    <definedName name="EN_0900_004_p">EN_0900_004!$I$18</definedName>
    <definedName name="EN_0900_004_q">EN_0900_004!$N$3</definedName>
    <definedName name="EN_0900_005">EN_0900_005!$B$6</definedName>
    <definedName name="EN_0900_005_m">EN_0900_005!$N$13</definedName>
    <definedName name="EN_0900_005_p">EN_0900_005!$I$18</definedName>
    <definedName name="EN_0900_005_q">EN_0900_005!$N$3</definedName>
    <definedName name="EN_0900_006">EN_0900_006!$B$6</definedName>
    <definedName name="EN_0900_006_m">EN_0900_006!$N$13</definedName>
    <definedName name="EN_0900_006_p">EN_0900_006!$I$18</definedName>
    <definedName name="EN_0900_006_q">EN_0900_006!$N$3</definedName>
    <definedName name="EN_0900_007">EN_0900_007!$B$6</definedName>
    <definedName name="EN_0900_007_m">EN_0900_007!$N$13</definedName>
    <definedName name="EN_0900_007_p">EN_0900_007!$I$18</definedName>
    <definedName name="EN_0900_007_q">EN_0900_007!$N$3</definedName>
    <definedName name="EN_0900_008">EN_0900_008!$B$6</definedName>
    <definedName name="EN_0900_008_m">EN_0900_008!$N$13</definedName>
    <definedName name="EN_0900_008_p">EN_0900_008!$I$18</definedName>
    <definedName name="EN_0900_008_q">EN_0900_008!$N$3</definedName>
    <definedName name="EN_0900_009">EN_0900_009!$B$6</definedName>
    <definedName name="EN_0900_009_m">EN_0900_009!$N$13</definedName>
    <definedName name="EN_0900_009_p">EN_0900_009!$I$18</definedName>
    <definedName name="EN_0900_009_q">EN_0900_009!$N$3</definedName>
    <definedName name="EN_1000_001">EN_1000_001!$B$6</definedName>
    <definedName name="EN_1000_001_m">EN_1000_001!$N$13</definedName>
    <definedName name="EN_1000_001_p">EN_1000_001!$I$22</definedName>
    <definedName name="EN_1000_001_q">EN_1000_001!$N$3</definedName>
    <definedName name="EN_1000_002">EN_1000_002!$B$6</definedName>
    <definedName name="EN_1000_002_m">EN_1000_002!$N$12</definedName>
    <definedName name="EN_1000_002_p">EN_1000_002!$I$23</definedName>
    <definedName name="EN_1000_002_q">EN_1000_002!$N$3</definedName>
    <definedName name="EN_1000_003">EN_1000_003!$B$6</definedName>
    <definedName name="EN_1000_003_m">EN_1000_003!$N$12</definedName>
    <definedName name="EN_1000_003_p">EN_1000_003!$I$21</definedName>
    <definedName name="EN_1000_003_q">EN_1000_003!$N$3</definedName>
    <definedName name="EN_1000_004">EN_1000_004!$B$6</definedName>
    <definedName name="EN_1000_004_m">EN_1000_004!$N$13</definedName>
    <definedName name="EN_1000_004_p">EN_1000_004!$I$21</definedName>
    <definedName name="EN_1000_004_q">EN_1000_004!$N$3</definedName>
    <definedName name="EN_A0900">EN_A0900!$B$5</definedName>
    <definedName name="EN_A0900_f">EN_A0900!$J$56</definedName>
    <definedName name="EN_A0900_m">EN_A0900!$N$27</definedName>
    <definedName name="EN_A0900_p">EN_A0900!$I$44</definedName>
    <definedName name="EN_A0900_pa">EN_A0900!$E$19</definedName>
    <definedName name="EN_A0900_q">EN_A0900!$N$3</definedName>
    <definedName name="EN_A0900_t">EN_A0900!$I$60</definedName>
    <definedName name="EN_A0900p">EN_A0900!$I$44</definedName>
    <definedName name="EN_A090f">EN_A0900!$J$56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_xlnm.Print_Titles" localSheetId="1">BOM!$6:$6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71027" iterateDelta="1E-4"/>
</workbook>
</file>

<file path=xl/calcChain.xml><?xml version="1.0" encoding="utf-8"?>
<calcChain xmlns="http://schemas.openxmlformats.org/spreadsheetml/2006/main">
  <c r="F20" i="34" l="1"/>
  <c r="F20" i="33"/>
  <c r="F18" i="33"/>
  <c r="I18" i="33"/>
  <c r="I20" i="33"/>
  <c r="I19" i="33"/>
  <c r="I17" i="33"/>
  <c r="F18" i="34"/>
  <c r="I18" i="34"/>
  <c r="I19" i="34"/>
  <c r="I15" i="33"/>
  <c r="J11" i="33"/>
  <c r="N11" i="33" s="1"/>
  <c r="N12" i="33" s="1"/>
  <c r="N2" i="33"/>
  <c r="N5" i="33" s="1"/>
  <c r="I20" i="34"/>
  <c r="I17" i="34"/>
  <c r="I15" i="34"/>
  <c r="J11" i="34"/>
  <c r="N11" i="34" s="1"/>
  <c r="N12" i="34" s="1"/>
  <c r="I22" i="32"/>
  <c r="I21" i="32"/>
  <c r="C11" i="29"/>
  <c r="D13" i="29"/>
  <c r="D12" i="29"/>
  <c r="D11" i="29"/>
  <c r="I20" i="32"/>
  <c r="I19" i="32"/>
  <c r="I18" i="32"/>
  <c r="I17" i="32"/>
  <c r="I16" i="32"/>
  <c r="I15" i="32"/>
  <c r="J11" i="32"/>
  <c r="N11" i="32" s="1"/>
  <c r="N12" i="32" s="1"/>
  <c r="I20" i="30"/>
  <c r="I21" i="30"/>
  <c r="I22" i="30" s="1"/>
  <c r="I17" i="30"/>
  <c r="I18" i="30"/>
  <c r="I19" i="30"/>
  <c r="F16" i="33" l="1"/>
  <c r="F16" i="34"/>
  <c r="I16" i="34" s="1"/>
  <c r="I21" i="34" s="1"/>
  <c r="E11" i="33"/>
  <c r="I16" i="33"/>
  <c r="N2" i="34"/>
  <c r="N5" i="34" s="1"/>
  <c r="N2" i="32"/>
  <c r="N5" i="32" s="1"/>
  <c r="E11" i="34"/>
  <c r="I23" i="32"/>
  <c r="E11" i="32"/>
  <c r="I21" i="33" l="1"/>
  <c r="J42" i="29" l="1"/>
  <c r="N19" i="29"/>
  <c r="C13" i="29"/>
  <c r="E13" i="29" s="1"/>
  <c r="C12" i="29"/>
  <c r="D10" i="29"/>
  <c r="I16" i="30"/>
  <c r="J11" i="30"/>
  <c r="N11" i="30" s="1"/>
  <c r="E11" i="30"/>
  <c r="J41" i="29"/>
  <c r="D40" i="29"/>
  <c r="J40" i="29" s="1"/>
  <c r="E39" i="29"/>
  <c r="D39" i="29" s="1"/>
  <c r="J39" i="29" s="1"/>
  <c r="E38" i="29"/>
  <c r="D38" i="29" s="1"/>
  <c r="J38" i="29" s="1"/>
  <c r="D37" i="29"/>
  <c r="J37" i="29" s="1"/>
  <c r="I33" i="29"/>
  <c r="I32" i="29"/>
  <c r="I31" i="29"/>
  <c r="I30" i="29"/>
  <c r="I29" i="29"/>
  <c r="I28" i="29"/>
  <c r="I27" i="29"/>
  <c r="I26" i="29"/>
  <c r="I25" i="29"/>
  <c r="I24" i="29"/>
  <c r="I23" i="29"/>
  <c r="I22" i="29"/>
  <c r="N18" i="29"/>
  <c r="N17" i="29"/>
  <c r="N2" i="29"/>
  <c r="N5" i="29" s="1"/>
  <c r="E12" i="29" l="1"/>
  <c r="E11" i="29"/>
  <c r="N13" i="30"/>
  <c r="N2" i="30" s="1"/>
  <c r="E14" i="29"/>
  <c r="I34" i="29"/>
  <c r="N5" i="30" l="1"/>
  <c r="C10" i="29"/>
  <c r="E10" i="29" s="1"/>
  <c r="D18" i="1"/>
  <c r="D17" i="1"/>
  <c r="D16" i="1"/>
  <c r="D15" i="1"/>
  <c r="D14" i="1"/>
  <c r="D13" i="1"/>
  <c r="D12" i="1"/>
  <c r="D11" i="1"/>
  <c r="D10" i="1"/>
  <c r="C18" i="1"/>
  <c r="C17" i="1"/>
  <c r="C16" i="1"/>
  <c r="C15" i="1"/>
  <c r="C14" i="1"/>
  <c r="C13" i="1"/>
  <c r="C12" i="1"/>
  <c r="C11" i="1"/>
  <c r="J11" i="20"/>
  <c r="I17" i="20" l="1"/>
  <c r="H16" i="20"/>
  <c r="I16" i="20" s="1"/>
  <c r="K11" i="20"/>
  <c r="E11" i="20"/>
  <c r="H16" i="19"/>
  <c r="J11" i="19"/>
  <c r="E11" i="19" s="1"/>
  <c r="I17" i="19"/>
  <c r="I16" i="19"/>
  <c r="K11" i="19"/>
  <c r="N2" i="17"/>
  <c r="N5" i="17" s="1"/>
  <c r="J11" i="17"/>
  <c r="I17" i="17"/>
  <c r="H16" i="17"/>
  <c r="I16" i="17" s="1"/>
  <c r="K11" i="17"/>
  <c r="E11" i="17"/>
  <c r="N2" i="16"/>
  <c r="N5" i="16" s="1"/>
  <c r="I17" i="16"/>
  <c r="H16" i="16"/>
  <c r="I16" i="16" s="1"/>
  <c r="J11" i="16"/>
  <c r="E11" i="16" s="1"/>
  <c r="N11" i="16"/>
  <c r="N13" i="16" s="1"/>
  <c r="K11" i="16"/>
  <c r="N2" i="15"/>
  <c r="N2" i="14"/>
  <c r="N2" i="13"/>
  <c r="N5" i="13" s="1"/>
  <c r="N2" i="2"/>
  <c r="E16" i="1" s="1"/>
  <c r="J11" i="15"/>
  <c r="E11" i="15" s="1"/>
  <c r="K11" i="15"/>
  <c r="I17" i="15"/>
  <c r="I16" i="15"/>
  <c r="N11" i="15"/>
  <c r="N13" i="15" s="1"/>
  <c r="N5" i="15"/>
  <c r="I17" i="14"/>
  <c r="I18" i="14" s="1"/>
  <c r="I16" i="14"/>
  <c r="J11" i="14"/>
  <c r="P7" i="14"/>
  <c r="K11" i="14"/>
  <c r="N11" i="14"/>
  <c r="N13" i="14" s="1"/>
  <c r="E11" i="14"/>
  <c r="N5" i="14"/>
  <c r="J11" i="13"/>
  <c r="I17" i="13"/>
  <c r="I16" i="13"/>
  <c r="I18" i="13" s="1"/>
  <c r="N2" i="10"/>
  <c r="N5" i="10" s="1"/>
  <c r="I17" i="10"/>
  <c r="I16" i="10"/>
  <c r="J11" i="10"/>
  <c r="D22" i="1"/>
  <c r="N22" i="1" s="1"/>
  <c r="D55" i="1"/>
  <c r="J55" i="1" s="1"/>
  <c r="D54" i="1"/>
  <c r="J54" i="1" s="1"/>
  <c r="D53" i="1"/>
  <c r="J53" i="1" s="1"/>
  <c r="D52" i="1"/>
  <c r="J52" i="1" s="1"/>
  <c r="J51" i="1"/>
  <c r="D50" i="1"/>
  <c r="J50" i="1" s="1"/>
  <c r="D49" i="1"/>
  <c r="J49" i="1" s="1"/>
  <c r="D48" i="1"/>
  <c r="J48" i="1" s="1"/>
  <c r="D47" i="1"/>
  <c r="J47" i="1" s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E17" i="1"/>
  <c r="E14" i="1"/>
  <c r="J39" i="2"/>
  <c r="D38" i="2"/>
  <c r="J38" i="2" s="1"/>
  <c r="J37" i="2"/>
  <c r="D36" i="2"/>
  <c r="J36" i="2" s="1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J11" i="2"/>
  <c r="N11" i="2" s="1"/>
  <c r="N14" i="2"/>
  <c r="J13" i="2"/>
  <c r="N13" i="2" s="1"/>
  <c r="J12" i="2"/>
  <c r="N12" i="2" s="1"/>
  <c r="E11" i="2"/>
  <c r="D23" i="1"/>
  <c r="N23" i="1" s="1"/>
  <c r="N26" i="1"/>
  <c r="N25" i="1"/>
  <c r="N24" i="1"/>
  <c r="I44" i="1" l="1"/>
  <c r="I18" i="20"/>
  <c r="N11" i="20"/>
  <c r="N13" i="20" s="1"/>
  <c r="I18" i="19"/>
  <c r="N11" i="19"/>
  <c r="N13" i="19" s="1"/>
  <c r="I18" i="17"/>
  <c r="N11" i="17"/>
  <c r="N13" i="17" s="1"/>
  <c r="I18" i="16"/>
  <c r="E15" i="1"/>
  <c r="I18" i="15"/>
  <c r="E11" i="13"/>
  <c r="N11" i="13" s="1"/>
  <c r="N13" i="13" s="1"/>
  <c r="E13" i="1"/>
  <c r="E11" i="1"/>
  <c r="E12" i="1"/>
  <c r="C10" i="1"/>
  <c r="E10" i="1" s="1"/>
  <c r="E18" i="1"/>
  <c r="I18" i="10"/>
  <c r="E11" i="10"/>
  <c r="N11" i="10" s="1"/>
  <c r="N13" i="10" s="1"/>
  <c r="I33" i="2"/>
  <c r="E13" i="2"/>
  <c r="E12" i="2"/>
  <c r="N2" i="20" l="1"/>
  <c r="N5" i="20" s="1"/>
  <c r="N2" i="19"/>
  <c r="N5" i="19" s="1"/>
  <c r="E19" i="1"/>
  <c r="C7" i="8" l="1"/>
  <c r="B9" i="8"/>
  <c r="B10" i="8"/>
  <c r="B11" i="8"/>
  <c r="B12" i="8"/>
  <c r="B13" i="8"/>
  <c r="B14" i="8"/>
  <c r="B15" i="8"/>
  <c r="B16" i="8"/>
  <c r="B17" i="8"/>
  <c r="B8" i="8"/>
  <c r="B7" i="8"/>
  <c r="I7" i="8"/>
  <c r="C8" i="8"/>
  <c r="F8" i="8"/>
  <c r="F7" i="8"/>
  <c r="I8" i="8"/>
  <c r="B18" i="8" l="1"/>
  <c r="E8" i="8" l="1"/>
  <c r="H9" i="8" l="1"/>
  <c r="N9" i="8" s="1"/>
  <c r="H10" i="8"/>
  <c r="N10" i="8" s="1"/>
  <c r="H11" i="8"/>
  <c r="N11" i="8" s="1"/>
  <c r="H12" i="8"/>
  <c r="N12" i="8" s="1"/>
  <c r="H13" i="8"/>
  <c r="N13" i="8" s="1"/>
  <c r="H14" i="8"/>
  <c r="N14" i="8" s="1"/>
  <c r="H15" i="8"/>
  <c r="N15" i="8" s="1"/>
  <c r="H16" i="8"/>
  <c r="N16" i="8" s="1"/>
  <c r="H17" i="8"/>
  <c r="N17" i="8" s="1"/>
  <c r="M8" i="8"/>
  <c r="N16" i="2"/>
  <c r="I59" i="1"/>
  <c r="J40" i="2" l="1"/>
  <c r="L8" i="8" s="1"/>
  <c r="J8" i="8"/>
  <c r="J56" i="1"/>
  <c r="L7" i="8" s="1"/>
  <c r="K7" i="8"/>
  <c r="I60" i="1"/>
  <c r="M7" i="8" s="1"/>
  <c r="M18" i="8" s="1"/>
  <c r="K8" i="8"/>
  <c r="N27" i="1"/>
  <c r="J7" i="8" l="1"/>
  <c r="H7" i="8" s="1"/>
  <c r="N2" i="1"/>
  <c r="L18" i="8"/>
  <c r="N5" i="2"/>
  <c r="K18" i="8"/>
  <c r="N7" i="8"/>
  <c r="H8" i="8"/>
  <c r="N8" i="8" s="1"/>
  <c r="J18" i="8"/>
  <c r="O1" i="8"/>
  <c r="N18" i="8" l="1"/>
  <c r="N5" i="1" l="1"/>
</calcChain>
</file>

<file path=xl/sharedStrings.xml><?xml version="1.0" encoding="utf-8"?>
<sst xmlns="http://schemas.openxmlformats.org/spreadsheetml/2006/main" count="1332" uniqueCount="308">
  <si>
    <t>University</t>
  </si>
  <si>
    <t>Car #</t>
  </si>
  <si>
    <t>Asm Cost</t>
  </si>
  <si>
    <t>System</t>
  </si>
  <si>
    <t>Qty</t>
  </si>
  <si>
    <t>Assembly</t>
  </si>
  <si>
    <t>FileLink1</t>
  </si>
  <si>
    <t>P/N Base</t>
  </si>
  <si>
    <t>FileLink2</t>
  </si>
  <si>
    <t>Extended Cost</t>
  </si>
  <si>
    <t>Suffix</t>
  </si>
  <si>
    <t>AA</t>
  </si>
  <si>
    <t>FileLink3</t>
  </si>
  <si>
    <t>Details</t>
  </si>
  <si>
    <t>ItemOrder</t>
  </si>
  <si>
    <t>Part</t>
  </si>
  <si>
    <t>Part Cost</t>
  </si>
  <si>
    <t>Quantity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</si>
  <si>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</si>
  <si>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</si>
  <si>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</si>
  <si>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</si>
  <si>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</si>
  <si>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</si>
  <si>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</si>
  <si>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</si>
  <si>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</si>
  <si>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</si>
  <si>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</si>
  <si>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</si>
  <si>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mm</t>
  </si>
  <si>
    <t>Process</t>
  </si>
  <si>
    <t>Unit</t>
  </si>
  <si>
    <t>Multiplier</t>
  </si>
  <si>
    <t>Mult. Val.</t>
  </si>
  <si>
    <t>unit</t>
  </si>
  <si>
    <t>Fastener</t>
  </si>
  <si>
    <t>Tooling</t>
  </si>
  <si>
    <t>PVF</t>
  </si>
  <si>
    <t>FractionIncluded</t>
  </si>
  <si>
    <t>Welds - Welding Fixture</t>
  </si>
  <si>
    <t>point</t>
  </si>
  <si>
    <t>Ecole Centrale de Lyon</t>
  </si>
  <si>
    <t>Machining Setup, Install and remove</t>
  </si>
  <si>
    <t>Laser Cut</t>
  </si>
  <si>
    <t>cm</t>
  </si>
  <si>
    <t>Total Vehicle Cost</t>
  </si>
  <si>
    <t>Competition Code</t>
  </si>
  <si>
    <t>Year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</si>
  <si>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</si>
  <si>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</si>
  <si>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</si>
  <si>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</si>
  <si>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</si>
  <si>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</si>
  <si>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</si>
  <si>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</si>
  <si>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</si>
  <si>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Material Cost</t>
  </si>
  <si>
    <t>Process Cost</t>
  </si>
  <si>
    <t>Fastener Cost</t>
  </si>
  <si>
    <t>Tooling Cost</t>
  </si>
  <si>
    <t>Total Cost</t>
  </si>
  <si>
    <t>Details Page Number</t>
  </si>
  <si>
    <t>Area Total</t>
  </si>
  <si>
    <t>Etape 1</t>
  </si>
  <si>
    <t>Créer l'assemblage</t>
  </si>
  <si>
    <t>Donner une brève description (en anglais) de l'assemblage dans la ligne Details</t>
  </si>
  <si>
    <t>Cette étape est importante pour créer des hyperliens ensuite</t>
  </si>
  <si>
    <t>Etape 2</t>
  </si>
  <si>
    <t>Remplir les données</t>
  </si>
  <si>
    <t>Etape 3</t>
  </si>
  <si>
    <t>Créer les parts</t>
  </si>
  <si>
    <t>Lui donner un nom en clair (et en anglais ^^) dans la ligne Part</t>
  </si>
  <si>
    <t>Donner une brève description (en anglais) de la Part dans la ligne Details</t>
  </si>
  <si>
    <t>Etape 4</t>
  </si>
  <si>
    <t>Etape 5</t>
  </si>
  <si>
    <t>Inserer les Parts dans l'assemblage</t>
  </si>
  <si>
    <t>Dans la ligne Assembly, indiquer le nom de l'assemblage parent en mettant = puis en sélectionnant le bonne cellule de la page assemblies</t>
  </si>
  <si>
    <t>Remplir dans l'assemblage les cellules nom / part cost et quantity pour chaque parts (toujours en dynamique, ne faites pas de copier coller svp)</t>
  </si>
  <si>
    <t>Etape 6</t>
  </si>
  <si>
    <t>Remplir la BOM</t>
  </si>
  <si>
    <t>Il s'agit de faire la nomenclature de votre partie dans l'onglet BOM</t>
  </si>
  <si>
    <t>Commencez par l'assemblage (de couleur plus foncée)</t>
  </si>
  <si>
    <t>De manière générale la colonne description ne sera pas remplie</t>
  </si>
  <si>
    <t>Cellule ASM/PRT# mettre le code de l'assemblage</t>
  </si>
  <si>
    <t>Laisser la cellule ASM vide</t>
  </si>
  <si>
    <t>Mettre le nom de l'assemblage dans Component, avec un lien vers l'assemblage en question</t>
  </si>
  <si>
    <t>Code dans ASM/PRT# aligné à droite, nom de l'assemblage parent dans ASM, Nom de la part dans Component</t>
  </si>
  <si>
    <t>Mettre un lien vers la part en question sur le nom de cette dernière</t>
  </si>
  <si>
    <t>Drawing</t>
  </si>
  <si>
    <t>Etape 7</t>
  </si>
  <si>
    <t>Ajouter les plans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</si>
  <si>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</si>
  <si>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</si>
  <si>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zone où le code P/N Base est entré. Pour cela selectionner la cellule par un simple clic, cliquer ensuite dans le menu déroulant en haut à gauche indiquant le nom de la cellule (à côté de la barre de formule)</t>
  </si>
  <si>
    <r>
      <t xml:space="preserve">Pour la quantité des parts : mettre la </t>
    </r>
    <r>
      <rPr>
        <b/>
        <sz val="11"/>
        <color rgb="FFFF0000"/>
        <rFont val="Calibri"/>
        <family val="2"/>
      </rPr>
      <t>quantité absolue</t>
    </r>
    <r>
      <rPr>
        <b/>
        <sz val="11"/>
        <color rgb="FF000000"/>
        <rFont val="Calibri"/>
        <family val="2"/>
      </rPr>
      <t xml:space="preserve"> sur la voiture !!! Du coup c'est quantité de l'assemblage * quantité de cette part dans l'assemblage</t>
    </r>
  </si>
  <si>
    <t>Renommer les cases quantité (cellule N3), et sous-totaux par respectivement code_de_l'assemblage_x avec x = q pour quantité, pa pour part, m pour material, f pour fastener, t pour tooling et p pour process</t>
  </si>
  <si>
    <t>Donner un nom clair à l'assemblage (et en anglais ^^) dans la ligne Assembly</t>
  </si>
  <si>
    <t>Ajouter une illustration de la part (photo propre sur fond blanc si possible, vue CATIA sinon) dans la plus basse définition possible svp, on est limité en taille de fichier</t>
  </si>
  <si>
    <t>Remplir les données de l'assemblage</t>
  </si>
  <si>
    <t>Pour toute question, contacter Raphaël Mounet ou Clément Marie par Messenger de préférence, par mail sinon.</t>
  </si>
  <si>
    <t>Renommer l'onglet avec ce même code. Enregistrer le document Excel sous ce même nom.</t>
  </si>
  <si>
    <t>Renommer l'onglet avec ce même code.</t>
  </si>
  <si>
    <t>Lui donner un code suivant la règle XX AYYYY dans la ligne P/N Base , avec XX le code de votre partie et YYYY le numéro de l'assemblage (c'est le même code que celui que vous avez dû utiliser sous CATIA)</t>
  </si>
  <si>
    <t>Lui donner un code suivant la règle XX YYZZZ dans la ligne P/N Base , avec XX le code de votre partie et YY le numéro de l'assemblage et ZZZ le numéro de la part dans cet assemblage (même code que sous CATIA)</t>
  </si>
  <si>
    <t>Renommer les cases quantité (cellule N3), et sous-totaux de chaque part respectivement code_de_la_part_x avec x = q pour quantité, m pour material, f pour fastener, t pour tooling et p pour process</t>
  </si>
  <si>
    <t>Remplir la quantité, Material, Process, Fastener, Tooling. Dans le cas où une table n'est pas concernée (elle est restée vide), la supprimer complètement.</t>
  </si>
  <si>
    <t>Vérifier que la formule dans Asm Cost (cellule N2) renvoie aux noms corrects des cellules prcédentes. Sinon, faire les modifications nécessaires.</t>
  </si>
  <si>
    <t>Vérifier que la formule dans Part Cost (cellule N2) renvoie aux noms corrects des cellules prcédentes. Sinon, faire les modifications nécessaires.</t>
  </si>
  <si>
    <t>On peut faire 2 colonnes de plan pour des tailles différentes. La référence reste les plans en paysage.</t>
  </si>
  <si>
    <t>Insérer un lien vers la part sur le nom de celle-ci. Pour cela :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</si>
  <si>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</si>
  <si>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</si>
  <si>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r>
      <t xml:space="preserve">Remplir la quantité (nombre d'occurrence de la pièce dans </t>
    </r>
    <r>
      <rPr>
        <u/>
        <sz val="11"/>
        <color rgb="FF000000"/>
        <rFont val="Calibri"/>
        <family val="2"/>
      </rPr>
      <t>un seul</t>
    </r>
    <r>
      <rPr>
        <sz val="11"/>
        <color rgb="FF000000"/>
        <rFont val="Calibri"/>
        <family val="2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</si>
  <si>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</si>
  <si>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Renommer l'onglet avec ce même code</t>
  </si>
  <si>
    <t>Viennent ensuite les Parts. Pour chaque Part :</t>
  </si>
  <si>
    <t>FSAEI</t>
  </si>
  <si>
    <t>Back to BOM</t>
  </si>
  <si>
    <t>Petite marche à suivre pour remplir cette merveille qu'est le cost</t>
  </si>
  <si>
    <t>Feuille EN Assembly : Feuille pour 1 assemblage du système EN. Pour un nouvel assemblage, créer un nouveau document à partir du template. 1 document Excel = 1 assemblage</t>
  </si>
  <si>
    <t>ex EN_A0001_q, …</t>
  </si>
  <si>
    <t>Feuille EN Part x : Feuille pour 1 part de l'assemblage. Pour faire une nouvelle part, créer un nouvel onglet à partir du template. 1 onglet = 1 part.</t>
  </si>
  <si>
    <t>Renommer cette cellule du nom du code qu'elle comprend mais avec un _ comme séparateur : ex EN_01001</t>
  </si>
  <si>
    <t>Créer un lien vers l'assemblage : sélectionner la cellule, faites Ctrl+K, il apparait une fenetre, en référence de la cellule (A1 par défaut) indiquez le nom de la cellule renommé de l'assemblage (par ex EN_A0001)</t>
  </si>
  <si>
    <t>ex : EN_01001_q, …</t>
  </si>
  <si>
    <t>Faites une capture d'écran du plan de la part en question et coller l'image dans l'onglet "EN Drawing 1"</t>
  </si>
  <si>
    <t>Renommer la cellule avec le nouveau lien d_code_de_la_part, ex dEN_01001</t>
  </si>
  <si>
    <t>Dans le détail de la part (onglet "EN Part x") écrire à côté de cellule File Link "Drawing" et mettre un lien vers la cellule surplombant le plan ayant le code d_code_de_la_part (ex dEN_01001)</t>
  </si>
  <si>
    <t>sélectionner la cellule, faites Ctrl+K, apparait une fenetre, en référence de la cellule (A1 par défaut) indiquez le nom de la cellule renommé de la Part (par ex EN_01001)</t>
  </si>
  <si>
    <t>Insérer un lien vers la Part sur le plan par clic droit sur l'image. Cible du lien vers la Part (ex EN_01001)</t>
  </si>
  <si>
    <t>Renomme cette cellule du nom du code qu'elle comprend mais avec un _ comme séparateur : ex EN_A0001</t>
  </si>
  <si>
    <t>Consulter le tutoriel disponible sur GitHub, dans Vulcanix-v1.0/Cost Report, pour plus d'informations sur cette étape.</t>
  </si>
  <si>
    <t>Engine &amp; Drivetrain</t>
  </si>
  <si>
    <t>Differential</t>
  </si>
  <si>
    <t>Differential housing and mounting assembly</t>
  </si>
  <si>
    <t>Housing</t>
  </si>
  <si>
    <t>Right Eccentric</t>
  </si>
  <si>
    <t>Left Eccentric</t>
  </si>
  <si>
    <t>Differential Assembly</t>
  </si>
  <si>
    <t>Right differential bearing</t>
  </si>
  <si>
    <t>Left differential bearing</t>
  </si>
  <si>
    <t>Paint</t>
  </si>
  <si>
    <t>Paint the tabs</t>
  </si>
  <si>
    <t>m^2</t>
  </si>
  <si>
    <t>Fluid, Oil</t>
  </si>
  <si>
    <t>Differential oil</t>
  </si>
  <si>
    <t>litre</t>
  </si>
  <si>
    <t>Differential Internals, Limited Slip, Salisbury or Powerflow or Clutch Style</t>
  </si>
  <si>
    <t>Bearing, Ball, Deep groove</t>
  </si>
  <si>
    <t>Paint the brackets</t>
  </si>
  <si>
    <t>Left Jacking Bar bracket</t>
  </si>
  <si>
    <t>Bought, cost as made</t>
  </si>
  <si>
    <t>Aluminium, Premium</t>
  </si>
  <si>
    <t>kg</t>
  </si>
  <si>
    <t>Round 102mm diam.</t>
  </si>
  <si>
    <t>Seal, O-Ring, Elastomer</t>
  </si>
  <si>
    <t>EN_0900_001</t>
  </si>
  <si>
    <t>EN_A0900</t>
  </si>
  <si>
    <t>Setup and removal</t>
  </si>
  <si>
    <t>Machining</t>
  </si>
  <si>
    <t>cm^3</t>
  </si>
  <si>
    <t>Material-Aluminium</t>
  </si>
  <si>
    <t>Tapping holes</t>
  </si>
  <si>
    <t>Tapping lateral holes</t>
  </si>
  <si>
    <t>hole</t>
  </si>
  <si>
    <t>Tapping central holes</t>
  </si>
  <si>
    <t>Drilled holes &lt; 25.4 mm dia.</t>
  </si>
  <si>
    <t>Hole for the diff. Housing</t>
  </si>
  <si>
    <t>Broach, External</t>
  </si>
  <si>
    <t>Broach the housing cover</t>
  </si>
  <si>
    <t>Hole for the diff. Cover</t>
  </si>
  <si>
    <t>Assemble, 1 kg, Line-on-Line</t>
  </si>
  <si>
    <t>Assemble the three parts</t>
  </si>
  <si>
    <t>Ratchet &lt;= 6.35 mm</t>
  </si>
  <si>
    <t>Ratchet &lt;= 25.4 mm</t>
  </si>
  <si>
    <t>Bolt the drain</t>
  </si>
  <si>
    <t>Bolt, Grade 12.9</t>
  </si>
  <si>
    <t>Assembly of the three parts</t>
  </si>
  <si>
    <t>Washer, Grade 12.9</t>
  </si>
  <si>
    <t>Bolt, Grade 10.9 (SAE 8)</t>
  </si>
  <si>
    <t>Washer, Crush</t>
  </si>
  <si>
    <t>Weld</t>
  </si>
  <si>
    <t>Weld tabs to frame</t>
  </si>
  <si>
    <t>Aerosol apply</t>
  </si>
  <si>
    <t>Assemble, 3 kg, Interference</t>
  </si>
  <si>
    <t>Assemble the housing</t>
  </si>
  <si>
    <t>Assemble, 1 kg, Interference</t>
  </si>
  <si>
    <t>Assemble the right bearing and eccentric</t>
  </si>
  <si>
    <t>Assemble the left bearing and eccentric</t>
  </si>
  <si>
    <t>Assemble the bearing carriers and the bearings</t>
  </si>
  <si>
    <t>Ratchet &lt;= 6,35mm</t>
  </si>
  <si>
    <t>Bolt the bearing carriers to eccentric</t>
  </si>
  <si>
    <t>Reaction Tool &lt;=6,35mm</t>
  </si>
  <si>
    <t>Assemble, 3kg, Line-on-Line</t>
  </si>
  <si>
    <t>Put the bearing carriers and tabs in place</t>
  </si>
  <si>
    <t>Assemble, 1kg, Loose</t>
  </si>
  <si>
    <t>Put two washers on bolt</t>
  </si>
  <si>
    <t>Ratchet &lt;=25,4mm</t>
  </si>
  <si>
    <t>Bolt the left bearing carrier to tabs</t>
  </si>
  <si>
    <t>Reaction Tool &lt;=25,4mm</t>
  </si>
  <si>
    <t>Bolt the right bearing carrier to tabs</t>
  </si>
  <si>
    <t>Bolt, Grade 8,8 (SAE 5)</t>
  </si>
  <si>
    <t>Assemble left bearing carrier and tabs</t>
  </si>
  <si>
    <t>Nut, Grade 8,8 (SAE 5)</t>
  </si>
  <si>
    <t>Blocking left bearing carrier and left eccentric</t>
  </si>
  <si>
    <t>Washer, Grade 8,8 (SAE 5)</t>
  </si>
  <si>
    <t>Blocking eccentric</t>
  </si>
  <si>
    <t>Assemble right bearing carrier and tabs</t>
  </si>
  <si>
    <t>Blocking right bearing carrier and right eccentric</t>
  </si>
  <si>
    <t>EN_0900_002</t>
  </si>
  <si>
    <t>Left Eccentric Carrier</t>
  </si>
  <si>
    <t>Right Eccentric Carrier</t>
  </si>
  <si>
    <t>Upper Eccentric Carrier bracket</t>
  </si>
  <si>
    <t>Lower Eccentric Carrier bracket</t>
  </si>
  <si>
    <t>Plastic, Polyoxymethylene (POM)</t>
  </si>
  <si>
    <t>175mm diam</t>
  </si>
  <si>
    <t>Setup for machining</t>
  </si>
  <si>
    <t>Holes</t>
  </si>
  <si>
    <t>Material - Plastic</t>
  </si>
  <si>
    <t>EN_0900_003</t>
  </si>
  <si>
    <t>165mm diam</t>
  </si>
  <si>
    <t>EN_0900_004</t>
  </si>
  <si>
    <t>Left Eccentric carrier</t>
  </si>
  <si>
    <t>Material for the left bearing carrier</t>
  </si>
  <si>
    <t>Rectangular area 374x130 mm</t>
  </si>
  <si>
    <t>Setup and removal of the machining of the right bearing carrier</t>
  </si>
  <si>
    <t>Shaping of the differential bearing carrier</t>
  </si>
  <si>
    <t>Material - Aluminium</t>
  </si>
  <si>
    <t>Right Eccentric carrier</t>
  </si>
  <si>
    <t>EN_0900_005</t>
  </si>
  <si>
    <t>Rectangular area 374x120 mm</t>
  </si>
  <si>
    <t>EN_0900_006</t>
  </si>
  <si>
    <t>Steel, Mild</t>
  </si>
  <si>
    <t>Material for the bracket</t>
  </si>
  <si>
    <t>Rectangular area 46x34 mm</t>
  </si>
  <si>
    <t>8 parts cut from a single machine setup</t>
  </si>
  <si>
    <t>Material, Steel</t>
  </si>
  <si>
    <t>Shaping of the brackets and holes</t>
  </si>
  <si>
    <t>EN_0900_007</t>
  </si>
  <si>
    <t>Rectangular area 46x29 mm</t>
  </si>
  <si>
    <t>EN_0900_008</t>
  </si>
  <si>
    <t>Rectangular area 60x47 mm</t>
  </si>
  <si>
    <t>2 parts cut from a single machine setup</t>
  </si>
  <si>
    <t>Right Jacking Bar bracket</t>
  </si>
  <si>
    <t>EN_0900_009</t>
  </si>
  <si>
    <t>Rectangular area 61x47 mm</t>
  </si>
  <si>
    <t>EN_A1000</t>
  </si>
  <si>
    <t>Driveshaft</t>
  </si>
  <si>
    <t>Inboard tripod housing</t>
  </si>
  <si>
    <t>Outboard tripod housing</t>
  </si>
  <si>
    <t>Right axle</t>
  </si>
  <si>
    <t>Left axle</t>
  </si>
  <si>
    <t>Constant Velocity Joint, Tripod</t>
  </si>
  <si>
    <t>Tripods</t>
  </si>
  <si>
    <t>Constant Velocity Joint, Boot</t>
  </si>
  <si>
    <t>Boots for driveshatfts</t>
  </si>
  <si>
    <t>Assemble a tripod housing and the differential</t>
  </si>
  <si>
    <t>Wrench &lt;= 25,4 mm</t>
  </si>
  <si>
    <t>Fasten the differential and the tripod housing</t>
  </si>
  <si>
    <t>Assemble a boot and an axle</t>
  </si>
  <si>
    <t>Assemble an axle and a snap ring</t>
  </si>
  <si>
    <t>Assemble a tripod and an axle</t>
  </si>
  <si>
    <t>Assemble, 3 kg, Loose</t>
  </si>
  <si>
    <t>Assemble an axle and a tripod housing</t>
  </si>
  <si>
    <t>Assemble a boot and a tripod housing</t>
  </si>
  <si>
    <t>Assemble a tripod housing and a hub</t>
  </si>
  <si>
    <t>Ratchet &lt;= 25,4 mm</t>
  </si>
  <si>
    <t>Bolt tripod housing to hub</t>
  </si>
  <si>
    <t>Assemble a hose clamp and a tripod housing</t>
  </si>
  <si>
    <t>Assemble a hose clamp and an axle</t>
  </si>
  <si>
    <t>Retaining Ring, External</t>
  </si>
  <si>
    <t>Snap ring for retaining the tripods</t>
  </si>
  <si>
    <t>Hose Clamp, Worm Drive</t>
  </si>
  <si>
    <t>Fasten the boot</t>
  </si>
  <si>
    <t>Assemble the tripod housing to the differential</t>
  </si>
  <si>
    <t>Nut, Grade 8.8 (SAE 5)</t>
  </si>
  <si>
    <t>Fasten the tripod housing and the hub</t>
  </si>
  <si>
    <t>EN_1000_001</t>
  </si>
  <si>
    <t>Steel, Alloy</t>
  </si>
  <si>
    <t>Material for the housing</t>
  </si>
  <si>
    <t>Round 65.5 mm diam.</t>
  </si>
  <si>
    <t>Setup and removal of the machining of the tripod housing</t>
  </si>
  <si>
    <t>Material-Steel</t>
  </si>
  <si>
    <t>Machining Setup, Change</t>
  </si>
  <si>
    <t>Broach of the tripod housing</t>
  </si>
  <si>
    <t>Machining the ext shape of the tripod housing (turning)</t>
  </si>
  <si>
    <t>Material - Steel</t>
  </si>
  <si>
    <t>Machining the int shape of the tripod housing (milling)</t>
  </si>
  <si>
    <t>Changing of the machining of the tripod housing</t>
  </si>
  <si>
    <t>Changing of the broach of the tripod housing</t>
  </si>
  <si>
    <t>EN_1000_002</t>
  </si>
  <si>
    <t>EN_1000_003</t>
  </si>
  <si>
    <t>Left Axle</t>
  </si>
  <si>
    <t>Right Axle</t>
  </si>
  <si>
    <t>EN_1000_004</t>
  </si>
  <si>
    <t>Setup and removal of the threading of the tripod housing</t>
  </si>
  <si>
    <t>Threading, External (machining)</t>
  </si>
  <si>
    <t>Threading of the tripod housing</t>
  </si>
  <si>
    <t>Round 22,1 mm diam.</t>
  </si>
  <si>
    <t>Material for driveshaft</t>
  </si>
  <si>
    <t>Setup and removal of the machining of the axle</t>
  </si>
  <si>
    <t>Setup and removal of the broach of the axle</t>
  </si>
  <si>
    <t>Broach of the axle</t>
  </si>
  <si>
    <t>Cut of the edge of the axle</t>
  </si>
  <si>
    <t>Shaping of the int of the axle</t>
  </si>
  <si>
    <t>Drawing of the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</si>
</sst>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(* #,##0.00_);_(* \(#,##0.00\);_(* \-??_);_(@_)"/>
    <numFmt numFmtId="165" formatCode="_(\$* #,##0.00_);_(\$* \(#,##0.00\);_(\$* \-??_);_(@_)"/>
    <numFmt numFmtId="166" formatCode="\$#,##0.00_);&quot;($&quot;#,##0.00\)"/>
    <numFmt numFmtId="167" formatCode="_(* #,##0.000_);_(* \(#,##0.000\);_(* \-??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_-[$$-409]* #,##0.00_ ;_-[$$-409]* \-#,##0.00\ ;_-[$$-409]* &quot;-&quot;??_ ;_-@_ "/>
    <numFmt numFmtId="171" formatCode="0.000"/>
    <numFmt numFmtId="172" formatCode="_(* #,##0_);_(* \(#,##0\);_(* &quot;-&quot;??_);_(@_)"/>
    <numFmt numFmtId="173" formatCode="_(* #,##0.000_);_(* \(#,##0.000\);_(* &quot;-&quot;??_);_(@_)"/>
    <numFmt numFmtId="174" formatCode="_-* #,##0.000\ _€_-;\-* #,##0.000\ _€_-;_-* &quot;-&quot;???\ _€_-;_-@_-"/>
    <numFmt numFmtId="175" formatCode="0.0000E+00"/>
    <numFmt numFmtId="176" formatCode="&quot;$&quot;#,##0.00"/>
    <numFmt numFmtId="179" formatCode="0.0"/>
    <numFmt numFmtId="180" formatCode="0.00000E+00"/>
  </numFmts>
  <fonts count="28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7"/>
      <name val="Arial"/>
      <family val="2"/>
    </font>
    <font>
      <b/>
      <i/>
      <sz val="10"/>
      <name val="Arial"/>
      <family val="2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b/>
      <sz val="11"/>
      <color theme="0"/>
      <name val="Calibri"/>
      <family val="2"/>
    </font>
    <font>
      <u/>
      <sz val="11"/>
      <color theme="1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indexed="62"/>
        <bgColor indexed="62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rgb="FF66CCFF"/>
        <bgColor indexed="4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FCD5B5"/>
      </patternFill>
    </fill>
    <fill>
      <patternFill patternType="solid">
        <fgColor theme="6" tint="0.59999389629810485"/>
        <bgColor rgb="FFFAC090"/>
      </patternFill>
    </fill>
  </fills>
  <borders count="59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theme="0"/>
      </right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/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 style="thin">
        <color theme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7" fillId="0" borderId="0"/>
    <xf numFmtId="168" fontId="7" fillId="0" borderId="0" applyFont="0" applyFill="0" applyBorder="0" applyAlignment="0" applyProtection="0"/>
    <xf numFmtId="168" fontId="15" fillId="0" borderId="0" applyFont="0" applyFill="0" applyBorder="0" applyAlignment="0" applyProtection="0"/>
    <xf numFmtId="168" fontId="6" fillId="2" borderId="6">
      <alignment vertical="center" wrapText="1"/>
    </xf>
    <xf numFmtId="169" fontId="7" fillId="0" borderId="0" applyFont="0" applyFill="0" applyBorder="0" applyAlignment="0" applyProtection="0"/>
    <xf numFmtId="0" fontId="2" fillId="0" borderId="0"/>
    <xf numFmtId="166" fontId="5" fillId="0" borderId="1">
      <alignment vertical="center" wrapText="1"/>
    </xf>
    <xf numFmtId="0" fontId="18" fillId="0" borderId="0" applyNumberFormat="0" applyFill="0" applyBorder="0" applyAlignment="0" applyProtection="0"/>
    <xf numFmtId="169" fontId="15" fillId="0" borderId="0" applyFont="0" applyFill="0" applyBorder="0" applyAlignment="0" applyProtection="0"/>
    <xf numFmtId="0" fontId="26" fillId="0" borderId="0"/>
    <xf numFmtId="0" fontId="5" fillId="0" borderId="0"/>
    <xf numFmtId="168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6" fontId="5" fillId="0" borderId="1">
      <alignment vertical="center" wrapText="1"/>
    </xf>
  </cellStyleXfs>
  <cellXfs count="295">
    <xf numFmtId="0" fontId="0" fillId="0" borderId="0" xfId="0"/>
    <xf numFmtId="18" fontId="11" fillId="0" borderId="7" xfId="1" applyNumberFormat="1" applyFont="1" applyFill="1" applyBorder="1" applyAlignment="1" applyProtection="1">
      <protection locked="0"/>
    </xf>
    <xf numFmtId="0" fontId="11" fillId="0" borderId="7" xfId="1" applyFont="1" applyFill="1" applyBorder="1" applyAlignment="1">
      <alignment horizontal="center"/>
    </xf>
    <xf numFmtId="169" fontId="11" fillId="0" borderId="7" xfId="5" applyFont="1" applyFill="1" applyBorder="1" applyProtection="1">
      <protection locked="0"/>
    </xf>
    <xf numFmtId="0" fontId="11" fillId="0" borderId="7" xfId="1" applyFont="1" applyFill="1" applyBorder="1" applyAlignment="1" applyProtection="1">
      <alignment horizontal="center"/>
      <protection locked="0"/>
    </xf>
    <xf numFmtId="0" fontId="11" fillId="0" borderId="7" xfId="1" applyFont="1" applyFill="1" applyBorder="1" applyProtection="1">
      <protection locked="0"/>
    </xf>
    <xf numFmtId="169" fontId="8" fillId="0" borderId="0" xfId="5" applyFont="1"/>
    <xf numFmtId="0" fontId="8" fillId="0" borderId="0" xfId="1" applyFont="1" applyProtection="1">
      <protection locked="0"/>
    </xf>
    <xf numFmtId="169" fontId="7" fillId="0" borderId="0" xfId="5" applyFont="1"/>
    <xf numFmtId="0" fontId="8" fillId="0" borderId="0" xfId="1" applyFont="1"/>
    <xf numFmtId="0" fontId="10" fillId="0" borderId="0" xfId="1" applyFont="1"/>
    <xf numFmtId="0" fontId="7" fillId="0" borderId="0" xfId="1" applyFont="1" applyProtection="1">
      <protection locked="0"/>
    </xf>
    <xf numFmtId="0" fontId="7" fillId="0" borderId="0" xfId="1" applyFont="1" applyFill="1"/>
    <xf numFmtId="0" fontId="7" fillId="0" borderId="0" xfId="1" applyFont="1"/>
    <xf numFmtId="0" fontId="2" fillId="0" borderId="0" xfId="6" applyBorder="1"/>
    <xf numFmtId="0" fontId="2" fillId="0" borderId="0" xfId="6"/>
    <xf numFmtId="0" fontId="0" fillId="0" borderId="0" xfId="0" applyFont="1"/>
    <xf numFmtId="0" fontId="0" fillId="0" borderId="0" xfId="0" applyAlignment="1"/>
    <xf numFmtId="2" fontId="4" fillId="0" borderId="3" xfId="7" applyNumberFormat="1" applyFont="1" applyBorder="1" applyAlignment="1" applyProtection="1"/>
    <xf numFmtId="0" fontId="3" fillId="0" borderId="0" xfId="0" applyFont="1" applyBorder="1"/>
    <xf numFmtId="0" fontId="0" fillId="0" borderId="0" xfId="0" applyAlignment="1">
      <alignment wrapText="1"/>
    </xf>
    <xf numFmtId="0" fontId="3" fillId="0" borderId="4" xfId="0" applyFont="1" applyBorder="1"/>
    <xf numFmtId="0" fontId="12" fillId="0" borderId="0" xfId="1" applyFont="1" applyAlignment="1">
      <alignment horizontal="center"/>
    </xf>
    <xf numFmtId="0" fontId="13" fillId="0" borderId="0" xfId="1" applyFont="1"/>
    <xf numFmtId="0" fontId="16" fillId="0" borderId="0" xfId="6" applyFont="1" applyFill="1" applyBorder="1"/>
    <xf numFmtId="0" fontId="2" fillId="0" borderId="0" xfId="6" applyFill="1"/>
    <xf numFmtId="0" fontId="2" fillId="0" borderId="0" xfId="6" applyFill="1" applyBorder="1"/>
    <xf numFmtId="0" fontId="2" fillId="0" borderId="0" xfId="6" applyFont="1"/>
    <xf numFmtId="0" fontId="2" fillId="0" borderId="0" xfId="6" applyFont="1" applyFill="1" applyBorder="1"/>
    <xf numFmtId="0" fontId="2" fillId="0" borderId="0" xfId="6" applyFont="1" applyFill="1"/>
    <xf numFmtId="0" fontId="11" fillId="0" borderId="7" xfId="1" applyFont="1" applyFill="1" applyBorder="1" applyAlignment="1">
      <alignment horizontal="left"/>
    </xf>
    <xf numFmtId="0" fontId="9" fillId="0" borderId="0" xfId="1" applyFont="1"/>
    <xf numFmtId="0" fontId="14" fillId="0" borderId="0" xfId="1" applyFont="1"/>
    <xf numFmtId="0" fontId="16" fillId="3" borderId="0" xfId="6" applyFont="1" applyFill="1" applyBorder="1" applyAlignment="1"/>
    <xf numFmtId="169" fontId="7" fillId="0" borderId="0" xfId="1" applyNumberFormat="1" applyFont="1"/>
    <xf numFmtId="0" fontId="12" fillId="0" borderId="8" xfId="1" applyFont="1" applyBorder="1" applyAlignment="1">
      <alignment horizontal="center" wrapText="1"/>
    </xf>
    <xf numFmtId="2" fontId="12" fillId="0" borderId="8" xfId="1" applyNumberFormat="1" applyFont="1" applyBorder="1" applyAlignment="1">
      <alignment horizontal="center" wrapText="1"/>
    </xf>
    <xf numFmtId="169" fontId="12" fillId="0" borderId="8" xfId="5" applyFont="1" applyBorder="1" applyAlignment="1">
      <alignment horizontal="center" wrapText="1"/>
    </xf>
    <xf numFmtId="0" fontId="17" fillId="4" borderId="9" xfId="6" applyFont="1" applyFill="1" applyBorder="1"/>
    <xf numFmtId="0" fontId="17" fillId="4" borderId="11" xfId="6" applyFont="1" applyFill="1" applyBorder="1"/>
    <xf numFmtId="0" fontId="17" fillId="4" borderId="10" xfId="6" applyFont="1" applyFill="1" applyBorder="1"/>
    <xf numFmtId="0" fontId="17" fillId="4" borderId="12" xfId="6" applyFont="1" applyFill="1" applyBorder="1"/>
    <xf numFmtId="0" fontId="2" fillId="5" borderId="14" xfId="6" quotePrefix="1" applyFill="1" applyBorder="1" applyAlignment="1">
      <alignment horizontal="left"/>
    </xf>
    <xf numFmtId="2" fontId="2" fillId="6" borderId="15" xfId="6" quotePrefix="1" applyNumberFormat="1" applyFill="1" applyBorder="1" applyAlignment="1">
      <alignment horizontal="right"/>
    </xf>
    <xf numFmtId="0" fontId="17" fillId="3" borderId="0" xfId="6" applyFont="1" applyFill="1" applyBorder="1" applyAlignment="1"/>
    <xf numFmtId="0" fontId="0" fillId="0" borderId="0" xfId="0" applyBorder="1"/>
    <xf numFmtId="0" fontId="0" fillId="0" borderId="0" xfId="0" applyFont="1" applyBorder="1"/>
    <xf numFmtId="0" fontId="0" fillId="0" borderId="0" xfId="0" applyBorder="1" applyAlignment="1">
      <alignment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ont="1" applyBorder="1"/>
    <xf numFmtId="0" fontId="0" fillId="0" borderId="20" xfId="0" applyBorder="1" applyAlignment="1"/>
    <xf numFmtId="0" fontId="3" fillId="0" borderId="21" xfId="0" applyFont="1" applyBorder="1"/>
    <xf numFmtId="0" fontId="0" fillId="0" borderId="20" xfId="0" applyBorder="1" applyAlignment="1">
      <alignment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16" xfId="0" applyFont="1" applyBorder="1"/>
    <xf numFmtId="165" fontId="4" fillId="0" borderId="16" xfId="7" applyNumberFormat="1" applyFont="1" applyBorder="1" applyAlignment="1" applyProtection="1"/>
    <xf numFmtId="37" fontId="4" fillId="0" borderId="16" xfId="7" applyNumberFormat="1" applyFont="1" applyBorder="1" applyAlignment="1" applyProtection="1"/>
    <xf numFmtId="0" fontId="4" fillId="0" borderId="16" xfId="0" applyFont="1" applyBorder="1" applyAlignment="1">
      <alignment horizontal="right"/>
    </xf>
    <xf numFmtId="0" fontId="3" fillId="0" borderId="27" xfId="0" applyFont="1" applyBorder="1"/>
    <xf numFmtId="0" fontId="19" fillId="0" borderId="0" xfId="0" applyFont="1"/>
    <xf numFmtId="0" fontId="18" fillId="0" borderId="0" xfId="8"/>
    <xf numFmtId="0" fontId="21" fillId="0" borderId="0" xfId="0" applyFont="1"/>
    <xf numFmtId="0" fontId="22" fillId="0" borderId="0" xfId="0" applyFont="1"/>
    <xf numFmtId="0" fontId="2" fillId="5" borderId="14" xfId="6" quotePrefix="1" applyFont="1" applyFill="1" applyBorder="1" applyAlignment="1">
      <alignment horizontal="left"/>
    </xf>
    <xf numFmtId="0" fontId="1" fillId="5" borderId="14" xfId="6" applyFont="1" applyFill="1" applyBorder="1"/>
    <xf numFmtId="0" fontId="1" fillId="5" borderId="13" xfId="6" applyFont="1" applyFill="1" applyBorder="1"/>
    <xf numFmtId="170" fontId="4" fillId="0" borderId="16" xfId="7" applyNumberFormat="1" applyFont="1" applyBorder="1" applyAlignment="1" applyProtection="1"/>
    <xf numFmtId="170" fontId="11" fillId="0" borderId="7" xfId="1" applyNumberFormat="1" applyFont="1" applyFill="1" applyBorder="1" applyAlignment="1">
      <alignment horizontal="right"/>
    </xf>
    <xf numFmtId="0" fontId="11" fillId="7" borderId="3" xfId="1" applyFont="1" applyFill="1" applyBorder="1" applyProtection="1">
      <protection locked="0"/>
    </xf>
    <xf numFmtId="0" fontId="11" fillId="7" borderId="3" xfId="1" applyFont="1" applyFill="1" applyBorder="1" applyAlignment="1">
      <alignment horizontal="left"/>
    </xf>
    <xf numFmtId="18" fontId="11" fillId="7" borderId="3" xfId="1" applyNumberFormat="1" applyFont="1" applyFill="1" applyBorder="1" applyAlignment="1" applyProtection="1">
      <protection locked="0"/>
    </xf>
    <xf numFmtId="0" fontId="18" fillId="7" borderId="3" xfId="8" applyFill="1" applyBorder="1" applyAlignment="1">
      <alignment horizontal="left"/>
    </xf>
    <xf numFmtId="170" fontId="11" fillId="7" borderId="3" xfId="5" applyNumberFormat="1" applyFont="1" applyFill="1" applyBorder="1" applyProtection="1">
      <protection locked="0"/>
    </xf>
    <xf numFmtId="37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 applyProtection="1">
      <alignment horizontal="center"/>
      <protection locked="0"/>
    </xf>
    <xf numFmtId="170" fontId="11" fillId="7" borderId="3" xfId="1" applyNumberFormat="1" applyFont="1" applyFill="1" applyBorder="1" applyAlignment="1">
      <alignment horizontal="right"/>
    </xf>
    <xf numFmtId="0" fontId="11" fillId="7" borderId="3" xfId="1" applyFont="1" applyFill="1" applyBorder="1" applyAlignment="1">
      <alignment horizontal="center"/>
    </xf>
    <xf numFmtId="0" fontId="11" fillId="8" borderId="3" xfId="1" applyFont="1" applyFill="1" applyBorder="1" applyProtection="1">
      <protection locked="0"/>
    </xf>
    <xf numFmtId="0" fontId="11" fillId="8" borderId="3" xfId="1" applyFont="1" applyFill="1" applyBorder="1" applyAlignment="1">
      <alignment horizontal="left"/>
    </xf>
    <xf numFmtId="18" fontId="11" fillId="8" borderId="3" xfId="1" applyNumberFormat="1" applyFont="1" applyFill="1" applyBorder="1" applyAlignment="1" applyProtection="1">
      <alignment horizontal="right"/>
      <protection locked="0"/>
    </xf>
    <xf numFmtId="18" fontId="11" fillId="8" borderId="3" xfId="1" applyNumberFormat="1" applyFont="1" applyFill="1" applyBorder="1" applyAlignment="1" applyProtection="1">
      <protection locked="0"/>
    </xf>
    <xf numFmtId="0" fontId="18" fillId="8" borderId="3" xfId="8" applyFill="1" applyBorder="1" applyAlignment="1">
      <alignment horizontal="left"/>
    </xf>
    <xf numFmtId="170" fontId="11" fillId="8" borderId="3" xfId="5" applyNumberFormat="1" applyFont="1" applyFill="1" applyBorder="1" applyProtection="1">
      <protection locked="0"/>
    </xf>
    <xf numFmtId="37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 applyProtection="1">
      <alignment horizontal="center"/>
      <protection locked="0"/>
    </xf>
    <xf numFmtId="170" fontId="11" fillId="8" borderId="3" xfId="1" applyNumberFormat="1" applyFont="1" applyFill="1" applyBorder="1" applyAlignment="1">
      <alignment horizontal="right"/>
    </xf>
    <xf numFmtId="0" fontId="11" fillId="8" borderId="3" xfId="1" applyFont="1" applyFill="1" applyBorder="1" applyAlignment="1">
      <alignment horizontal="center"/>
    </xf>
    <xf numFmtId="0" fontId="11" fillId="8" borderId="3" xfId="1" applyFont="1" applyFill="1" applyBorder="1" applyAlignment="1" applyProtection="1">
      <alignment horizontal="center"/>
      <protection locked="0"/>
    </xf>
    <xf numFmtId="11" fontId="11" fillId="8" borderId="3" xfId="1" applyNumberFormat="1" applyFont="1" applyFill="1" applyBorder="1" applyAlignment="1" applyProtection="1">
      <protection locked="0"/>
    </xf>
    <xf numFmtId="0" fontId="3" fillId="9" borderId="16" xfId="0" applyFont="1" applyFill="1" applyBorder="1"/>
    <xf numFmtId="0" fontId="3" fillId="9" borderId="16" xfId="0" applyFont="1" applyFill="1" applyBorder="1" applyAlignment="1">
      <alignment horizontal="right"/>
    </xf>
    <xf numFmtId="165" fontId="3" fillId="9" borderId="16" xfId="0" applyNumberFormat="1" applyFont="1" applyFill="1" applyBorder="1"/>
    <xf numFmtId="0" fontId="3" fillId="9" borderId="0" xfId="0" applyFont="1" applyFill="1" applyBorder="1"/>
    <xf numFmtId="0" fontId="3" fillId="9" borderId="26" xfId="0" applyFont="1" applyFill="1" applyBorder="1" applyAlignment="1">
      <alignment horizontal="right"/>
    </xf>
    <xf numFmtId="165" fontId="3" fillId="9" borderId="26" xfId="0" applyNumberFormat="1" applyFont="1" applyFill="1" applyBorder="1"/>
    <xf numFmtId="0" fontId="3" fillId="10" borderId="16" xfId="0" applyFont="1" applyFill="1" applyBorder="1"/>
    <xf numFmtId="0" fontId="3" fillId="10" borderId="16" xfId="0" applyFont="1" applyFill="1" applyBorder="1" applyAlignment="1">
      <alignment horizontal="left"/>
    </xf>
    <xf numFmtId="0" fontId="3" fillId="10" borderId="2" xfId="0" applyFont="1" applyFill="1" applyBorder="1"/>
    <xf numFmtId="0" fontId="3" fillId="10" borderId="3" xfId="0" applyFont="1" applyFill="1" applyBorder="1" applyAlignment="1">
      <alignment horizontal="right"/>
    </xf>
    <xf numFmtId="165" fontId="3" fillId="10" borderId="5" xfId="0" applyNumberFormat="1" applyFont="1" applyFill="1" applyBorder="1"/>
    <xf numFmtId="0" fontId="3" fillId="10" borderId="28" xfId="0" applyFont="1" applyFill="1" applyBorder="1"/>
    <xf numFmtId="0" fontId="3" fillId="10" borderId="5" xfId="0" applyFont="1" applyFill="1" applyBorder="1"/>
    <xf numFmtId="0" fontId="3" fillId="10" borderId="3" xfId="0" applyFont="1" applyFill="1" applyBorder="1"/>
    <xf numFmtId="0" fontId="3" fillId="10" borderId="22" xfId="0" applyFont="1" applyFill="1" applyBorder="1"/>
    <xf numFmtId="0" fontId="3" fillId="10" borderId="5" xfId="0" applyFont="1" applyFill="1" applyBorder="1" applyAlignment="1">
      <alignment horizontal="right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left"/>
    </xf>
    <xf numFmtId="0" fontId="24" fillId="0" borderId="3" xfId="0" applyFont="1" applyFill="1" applyBorder="1"/>
    <xf numFmtId="168" fontId="24" fillId="0" borderId="3" xfId="3" applyFont="1" applyFill="1" applyBorder="1"/>
    <xf numFmtId="0" fontId="24" fillId="0" borderId="3" xfId="0" applyNumberFormat="1" applyFont="1" applyFill="1" applyBorder="1"/>
    <xf numFmtId="170" fontId="24" fillId="0" borderId="3" xfId="3" applyNumberFormat="1" applyFont="1" applyFill="1" applyBorder="1"/>
    <xf numFmtId="0" fontId="3" fillId="9" borderId="29" xfId="0" applyFont="1" applyFill="1" applyBorder="1"/>
    <xf numFmtId="169" fontId="24" fillId="0" borderId="3" xfId="9" applyFont="1" applyFill="1" applyBorder="1"/>
    <xf numFmtId="11" fontId="24" fillId="0" borderId="3" xfId="0" applyNumberFormat="1" applyFont="1" applyFill="1" applyBorder="1"/>
    <xf numFmtId="172" fontId="24" fillId="0" borderId="3" xfId="9" applyNumberFormat="1" applyFont="1" applyFill="1" applyBorder="1"/>
    <xf numFmtId="0" fontId="24" fillId="0" borderId="3" xfId="9" applyNumberFormat="1" applyFont="1" applyFill="1" applyBorder="1"/>
    <xf numFmtId="168" fontId="24" fillId="0" borderId="3" xfId="3" applyNumberFormat="1" applyFont="1" applyFill="1" applyBorder="1"/>
    <xf numFmtId="2" fontId="24" fillId="0" borderId="3" xfId="3" applyNumberFormat="1" applyFont="1" applyFill="1" applyBorder="1"/>
    <xf numFmtId="11" fontId="24" fillId="0" borderId="3" xfId="9" applyNumberFormat="1" applyFont="1" applyFill="1" applyBorder="1"/>
    <xf numFmtId="0" fontId="24" fillId="0" borderId="3" xfId="0" applyFont="1" applyFill="1" applyBorder="1" applyAlignment="1" applyProtection="1">
      <alignment vertical="center" wrapText="1"/>
    </xf>
    <xf numFmtId="0" fontId="25" fillId="0" borderId="0" xfId="0" applyFont="1"/>
    <xf numFmtId="0" fontId="25" fillId="0" borderId="0" xfId="0" applyFont="1" applyAlignment="1">
      <alignment horizontal="left"/>
    </xf>
    <xf numFmtId="0" fontId="4" fillId="0" borderId="21" xfId="0" applyFont="1" applyBorder="1" applyAlignment="1"/>
    <xf numFmtId="0" fontId="4" fillId="0" borderId="0" xfId="0" applyFont="1" applyBorder="1" applyAlignment="1" applyProtection="1"/>
    <xf numFmtId="0" fontId="4" fillId="0" borderId="0" xfId="0" applyFont="1" applyBorder="1" applyAlignment="1"/>
    <xf numFmtId="165" fontId="4" fillId="0" borderId="0" xfId="7" applyNumberFormat="1" applyFont="1" applyBorder="1" applyAlignment="1" applyProtection="1"/>
    <xf numFmtId="164" fontId="4" fillId="0" borderId="0" xfId="7" applyNumberFormat="1" applyFont="1" applyBorder="1" applyAlignment="1" applyProtection="1"/>
    <xf numFmtId="11" fontId="4" fillId="0" borderId="0" xfId="0" applyNumberFormat="1" applyFont="1" applyBorder="1" applyAlignment="1"/>
    <xf numFmtId="171" fontId="4" fillId="0" borderId="0" xfId="7" applyNumberFormat="1" applyFont="1" applyBorder="1" applyAlignment="1" applyProtection="1"/>
    <xf numFmtId="167" fontId="4" fillId="0" borderId="0" xfId="7" applyNumberFormat="1" applyFont="1" applyBorder="1" applyAlignment="1" applyProtection="1"/>
    <xf numFmtId="3" fontId="0" fillId="0" borderId="0" xfId="0" applyNumberFormat="1" applyBorder="1" applyAlignment="1"/>
    <xf numFmtId="165" fontId="4" fillId="0" borderId="5" xfId="7" applyNumberFormat="1" applyFont="1" applyBorder="1" applyAlignment="1" applyProtection="1"/>
    <xf numFmtId="0" fontId="25" fillId="0" borderId="5" xfId="0" applyFont="1" applyBorder="1"/>
    <xf numFmtId="0" fontId="25" fillId="0" borderId="30" xfId="0" applyFont="1" applyBorder="1"/>
    <xf numFmtId="168" fontId="25" fillId="0" borderId="30" xfId="0" applyNumberFormat="1" applyFont="1" applyBorder="1"/>
    <xf numFmtId="171" fontId="25" fillId="0" borderId="30" xfId="0" applyNumberFormat="1" applyFont="1" applyBorder="1"/>
    <xf numFmtId="169" fontId="25" fillId="0" borderId="30" xfId="0" applyNumberFormat="1" applyFont="1" applyBorder="1"/>
    <xf numFmtId="11" fontId="25" fillId="0" borderId="30" xfId="0" applyNumberFormat="1" applyFont="1" applyBorder="1"/>
    <xf numFmtId="173" fontId="25" fillId="0" borderId="30" xfId="0" applyNumberFormat="1" applyFont="1" applyBorder="1"/>
    <xf numFmtId="0" fontId="25" fillId="0" borderId="30" xfId="0" applyNumberFormat="1" applyFont="1" applyBorder="1"/>
    <xf numFmtId="2" fontId="25" fillId="0" borderId="30" xfId="0" applyNumberFormat="1" applyFont="1" applyBorder="1"/>
    <xf numFmtId="172" fontId="25" fillId="0" borderId="30" xfId="0" applyNumberFormat="1" applyFont="1" applyBorder="1"/>
    <xf numFmtId="0" fontId="25" fillId="0" borderId="3" xfId="0" applyFont="1" applyBorder="1"/>
    <xf numFmtId="170" fontId="25" fillId="0" borderId="30" xfId="0" applyNumberFormat="1" applyFont="1" applyBorder="1"/>
    <xf numFmtId="0" fontId="15" fillId="0" borderId="3" xfId="10" applyFont="1" applyFill="1" applyBorder="1" applyAlignment="1">
      <alignment wrapText="1"/>
    </xf>
    <xf numFmtId="170" fontId="25" fillId="0" borderId="3" xfId="3" applyNumberFormat="1" applyFont="1" applyBorder="1"/>
    <xf numFmtId="39" fontId="25" fillId="0" borderId="3" xfId="0" applyNumberFormat="1" applyFont="1" applyBorder="1"/>
    <xf numFmtId="37" fontId="25" fillId="0" borderId="3" xfId="0" applyNumberFormat="1" applyFont="1" applyBorder="1"/>
    <xf numFmtId="170" fontId="25" fillId="0" borderId="3" xfId="0" applyNumberFormat="1" applyFont="1" applyBorder="1"/>
    <xf numFmtId="0" fontId="27" fillId="0" borderId="0" xfId="0" applyFont="1" applyFill="1" applyBorder="1"/>
    <xf numFmtId="170" fontId="24" fillId="0" borderId="3" xfId="0" applyNumberFormat="1" applyFont="1" applyFill="1" applyBorder="1"/>
    <xf numFmtId="39" fontId="24" fillId="0" borderId="3" xfId="3" applyNumberFormat="1" applyFont="1" applyFill="1" applyBorder="1"/>
    <xf numFmtId="37" fontId="24" fillId="0" borderId="3" xfId="3" applyNumberFormat="1" applyFont="1" applyFill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3" fillId="9" borderId="34" xfId="0" applyFont="1" applyFill="1" applyBorder="1"/>
    <xf numFmtId="0" fontId="0" fillId="0" borderId="35" xfId="0" applyBorder="1"/>
    <xf numFmtId="0" fontId="0" fillId="0" borderId="36" xfId="0" applyBorder="1"/>
    <xf numFmtId="0" fontId="24" fillId="0" borderId="37" xfId="0" applyFont="1" applyFill="1" applyBorder="1"/>
    <xf numFmtId="0" fontId="4" fillId="0" borderId="35" xfId="7" applyNumberFormat="1" applyFont="1" applyBorder="1" applyAlignment="1"/>
    <xf numFmtId="0" fontId="0" fillId="0" borderId="35" xfId="0" applyBorder="1" applyAlignment="1"/>
    <xf numFmtId="0" fontId="3" fillId="0" borderId="36" xfId="0" applyFont="1" applyBorder="1"/>
    <xf numFmtId="0" fontId="0" fillId="0" borderId="35" xfId="0" applyBorder="1" applyAlignment="1">
      <alignment wrapText="1"/>
    </xf>
    <xf numFmtId="0" fontId="0" fillId="0" borderId="35" xfId="0" applyFont="1" applyBorder="1"/>
    <xf numFmtId="0" fontId="4" fillId="0" borderId="34" xfId="0" applyFont="1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5" fillId="0" borderId="0" xfId="0" applyFont="1" applyBorder="1" applyAlignment="1">
      <alignment horizontal="left"/>
    </xf>
    <xf numFmtId="37" fontId="24" fillId="0" borderId="3" xfId="0" applyNumberFormat="1" applyFont="1" applyFill="1" applyBorder="1"/>
    <xf numFmtId="11" fontId="0" fillId="0" borderId="0" xfId="0" applyNumberFormat="1" applyBorder="1"/>
    <xf numFmtId="175" fontId="0" fillId="0" borderId="0" xfId="0" applyNumberFormat="1" applyBorder="1"/>
    <xf numFmtId="0" fontId="3" fillId="10" borderId="34" xfId="0" applyFont="1" applyFill="1" applyBorder="1"/>
    <xf numFmtId="0" fontId="25" fillId="0" borderId="0" xfId="0" applyFont="1" applyBorder="1"/>
    <xf numFmtId="0" fontId="3" fillId="10" borderId="41" xfId="0" applyFont="1" applyFill="1" applyBorder="1"/>
    <xf numFmtId="0" fontId="3" fillId="10" borderId="42" xfId="0" applyFont="1" applyFill="1" applyBorder="1"/>
    <xf numFmtId="0" fontId="3" fillId="10" borderId="43" xfId="0" applyFont="1" applyFill="1" applyBorder="1"/>
    <xf numFmtId="0" fontId="3" fillId="0" borderId="44" xfId="0" applyFont="1" applyBorder="1"/>
    <xf numFmtId="0" fontId="3" fillId="10" borderId="45" xfId="0" applyFont="1" applyFill="1" applyBorder="1"/>
    <xf numFmtId="0" fontId="3" fillId="10" borderId="46" xfId="0" applyFont="1" applyFill="1" applyBorder="1"/>
    <xf numFmtId="0" fontId="25" fillId="0" borderId="45" xfId="0" applyFont="1" applyBorder="1"/>
    <xf numFmtId="0" fontId="24" fillId="0" borderId="46" xfId="0" applyFont="1" applyFill="1" applyBorder="1" applyAlignment="1" applyProtection="1">
      <alignment wrapText="1"/>
    </xf>
    <xf numFmtId="0" fontId="25" fillId="0" borderId="46" xfId="0" applyFont="1" applyBorder="1"/>
    <xf numFmtId="0" fontId="4" fillId="0" borderId="36" xfId="0" applyFont="1" applyBorder="1" applyAlignment="1"/>
    <xf numFmtId="2" fontId="4" fillId="0" borderId="46" xfId="7" applyNumberFormat="1" applyFont="1" applyBorder="1" applyAlignment="1" applyProtection="1"/>
    <xf numFmtId="0" fontId="3" fillId="10" borderId="46" xfId="0" applyFont="1" applyFill="1" applyBorder="1" applyAlignment="1">
      <alignment horizontal="right"/>
    </xf>
    <xf numFmtId="0" fontId="25" fillId="0" borderId="42" xfId="0" applyFont="1" applyBorder="1"/>
    <xf numFmtId="0" fontId="24" fillId="0" borderId="46" xfId="10" applyFont="1" applyFill="1" applyBorder="1" applyAlignment="1">
      <alignment wrapText="1"/>
    </xf>
    <xf numFmtId="0" fontId="24" fillId="0" borderId="46" xfId="11" applyNumberFormat="1" applyFont="1" applyFill="1" applyBorder="1"/>
    <xf numFmtId="170" fontId="24" fillId="0" borderId="46" xfId="12" applyNumberFormat="1" applyFont="1" applyFill="1" applyBorder="1" applyAlignment="1">
      <alignment horizontal="left"/>
    </xf>
    <xf numFmtId="0" fontId="24" fillId="0" borderId="46" xfId="11" applyFont="1" applyFill="1" applyBorder="1"/>
    <xf numFmtId="0" fontId="24" fillId="0" borderId="46" xfId="11" applyFont="1" applyFill="1" applyBorder="1" applyAlignment="1">
      <alignment horizontal="center" wrapText="1"/>
    </xf>
    <xf numFmtId="170" fontId="24" fillId="0" borderId="46" xfId="7" applyNumberFormat="1" applyFont="1" applyBorder="1" applyAlignment="1" applyProtection="1"/>
    <xf numFmtId="0" fontId="15" fillId="0" borderId="46" xfId="10" applyFont="1" applyFill="1" applyBorder="1" applyAlignment="1">
      <alignment wrapText="1"/>
    </xf>
    <xf numFmtId="170" fontId="24" fillId="0" borderId="46" xfId="13" applyNumberFormat="1" applyFont="1" applyFill="1" applyBorder="1" applyAlignment="1">
      <alignment horizontal="left" wrapText="1"/>
    </xf>
    <xf numFmtId="0" fontId="24" fillId="0" borderId="46" xfId="11" applyFont="1" applyFill="1" applyBorder="1" applyAlignment="1">
      <alignment horizontal="left" wrapText="1" indent="1"/>
    </xf>
    <xf numFmtId="2" fontId="24" fillId="0" borderId="46" xfId="11" applyNumberFormat="1" applyFont="1" applyFill="1" applyBorder="1"/>
    <xf numFmtId="0" fontId="5" fillId="0" borderId="46" xfId="11" applyBorder="1"/>
    <xf numFmtId="0" fontId="24" fillId="0" borderId="42" xfId="11" applyFont="1" applyFill="1" applyBorder="1"/>
    <xf numFmtId="0" fontId="24" fillId="0" borderId="46" xfId="11" applyFont="1" applyFill="1" applyBorder="1" applyAlignment="1" applyProtection="1">
      <alignment wrapText="1"/>
    </xf>
    <xf numFmtId="0" fontId="24" fillId="0" borderId="46" xfId="11" applyFont="1" applyFill="1" applyBorder="1" applyAlignment="1">
      <alignment horizontal="left" wrapText="1"/>
    </xf>
    <xf numFmtId="168" fontId="24" fillId="0" borderId="46" xfId="3" applyFont="1" applyFill="1" applyBorder="1"/>
    <xf numFmtId="171" fontId="24" fillId="0" borderId="46" xfId="11" applyNumberFormat="1" applyFont="1" applyFill="1" applyBorder="1"/>
    <xf numFmtId="169" fontId="24" fillId="0" borderId="46" xfId="9" applyFont="1" applyFill="1" applyBorder="1"/>
    <xf numFmtId="11" fontId="24" fillId="0" borderId="46" xfId="11" applyNumberFormat="1" applyFont="1" applyFill="1" applyBorder="1" applyAlignment="1">
      <alignment horizontal="left" wrapText="1"/>
    </xf>
    <xf numFmtId="11" fontId="24" fillId="0" borderId="46" xfId="14" applyNumberFormat="1" applyFont="1" applyFill="1" applyBorder="1"/>
    <xf numFmtId="173" fontId="24" fillId="0" borderId="46" xfId="9" applyNumberFormat="1" applyFont="1" applyFill="1" applyBorder="1"/>
    <xf numFmtId="0" fontId="24" fillId="0" borderId="46" xfId="9" applyNumberFormat="1" applyFont="1" applyFill="1" applyBorder="1"/>
    <xf numFmtId="165" fontId="24" fillId="0" borderId="46" xfId="7" applyNumberFormat="1" applyFont="1" applyBorder="1" applyAlignment="1" applyProtection="1"/>
    <xf numFmtId="0" fontId="24" fillId="0" borderId="46" xfId="11" applyNumberFormat="1" applyFont="1" applyFill="1" applyBorder="1" applyAlignment="1">
      <alignment horizontal="left" wrapText="1"/>
    </xf>
    <xf numFmtId="0" fontId="24" fillId="0" borderId="46" xfId="11" applyFont="1" applyBorder="1"/>
    <xf numFmtId="174" fontId="0" fillId="0" borderId="0" xfId="0" applyNumberFormat="1" applyBorder="1"/>
    <xf numFmtId="0" fontId="24" fillId="0" borderId="46" xfId="0" applyFont="1" applyFill="1" applyBorder="1" applyAlignment="1" applyProtection="1">
      <alignment vertical="center" wrapText="1"/>
    </xf>
    <xf numFmtId="0" fontId="24" fillId="0" borderId="47" xfId="10" applyFont="1" applyFill="1" applyBorder="1" applyAlignment="1">
      <alignment wrapText="1"/>
    </xf>
    <xf numFmtId="168" fontId="24" fillId="0" borderId="46" xfId="12" applyFont="1" applyFill="1" applyBorder="1"/>
    <xf numFmtId="0" fontId="18" fillId="10" borderId="16" xfId="8" applyFill="1" applyBorder="1"/>
    <xf numFmtId="0" fontId="18" fillId="0" borderId="0" xfId="8" quotePrefix="1" applyFill="1"/>
    <xf numFmtId="0" fontId="18" fillId="0" borderId="3" xfId="8" applyBorder="1"/>
    <xf numFmtId="0" fontId="18" fillId="0" borderId="0" xfId="8" applyBorder="1"/>
    <xf numFmtId="0" fontId="0" fillId="0" borderId="0" xfId="0" applyFill="1"/>
    <xf numFmtId="0" fontId="3" fillId="9" borderId="48" xfId="0" applyFont="1" applyFill="1" applyBorder="1"/>
    <xf numFmtId="0" fontId="3" fillId="9" borderId="49" xfId="0" applyFont="1" applyFill="1" applyBorder="1"/>
    <xf numFmtId="168" fontId="24" fillId="0" borderId="50" xfId="12" applyFont="1" applyFill="1" applyBorder="1"/>
    <xf numFmtId="0" fontId="24" fillId="0" borderId="51" xfId="0" applyFont="1" applyFill="1" applyBorder="1"/>
    <xf numFmtId="0" fontId="24" fillId="0" borderId="52" xfId="0" applyNumberFormat="1" applyFont="1" applyFill="1" applyBorder="1"/>
    <xf numFmtId="170" fontId="24" fillId="0" borderId="52" xfId="12" applyNumberFormat="1" applyFont="1" applyFill="1" applyBorder="1"/>
    <xf numFmtId="0" fontId="24" fillId="0" borderId="53" xfId="0" applyFont="1" applyFill="1" applyBorder="1"/>
    <xf numFmtId="0" fontId="24" fillId="0" borderId="52" xfId="0" applyFont="1" applyFill="1" applyBorder="1"/>
    <xf numFmtId="168" fontId="24" fillId="0" borderId="52" xfId="12" applyFont="1" applyFill="1" applyBorder="1"/>
    <xf numFmtId="169" fontId="24" fillId="0" borderId="52" xfId="9" applyFont="1" applyFill="1" applyBorder="1"/>
    <xf numFmtId="11" fontId="24" fillId="0" borderId="52" xfId="0" applyNumberFormat="1" applyFont="1" applyFill="1" applyBorder="1"/>
    <xf numFmtId="172" fontId="24" fillId="0" borderId="52" xfId="9" applyNumberFormat="1" applyFont="1" applyFill="1" applyBorder="1"/>
    <xf numFmtId="168" fontId="24" fillId="0" borderId="52" xfId="12" applyNumberFormat="1" applyFont="1" applyFill="1" applyBorder="1"/>
    <xf numFmtId="170" fontId="24" fillId="0" borderId="52" xfId="0" applyNumberFormat="1" applyFont="1" applyFill="1" applyBorder="1"/>
    <xf numFmtId="39" fontId="24" fillId="0" borderId="52" xfId="12" applyNumberFormat="1" applyFont="1" applyFill="1" applyBorder="1"/>
    <xf numFmtId="37" fontId="24" fillId="0" borderId="52" xfId="12" applyNumberFormat="1" applyFont="1" applyFill="1" applyBorder="1"/>
    <xf numFmtId="0" fontId="24" fillId="0" borderId="52" xfId="0" applyFont="1" applyFill="1" applyBorder="1" applyAlignment="1" applyProtection="1">
      <alignment vertical="center" wrapText="1"/>
    </xf>
    <xf numFmtId="176" fontId="5" fillId="0" borderId="52" xfId="15" applyBorder="1">
      <alignment vertical="center" wrapText="1"/>
    </xf>
    <xf numFmtId="0" fontId="3" fillId="9" borderId="52" xfId="0" applyFont="1" applyFill="1" applyBorder="1"/>
    <xf numFmtId="0" fontId="24" fillId="0" borderId="52" xfId="11" applyFont="1" applyBorder="1" applyAlignment="1">
      <alignment wrapText="1"/>
    </xf>
    <xf numFmtId="0" fontId="24" fillId="0" borderId="52" xfId="10" applyFont="1" applyFill="1" applyBorder="1" applyAlignment="1">
      <alignment wrapText="1"/>
    </xf>
    <xf numFmtId="0" fontId="24" fillId="0" borderId="52" xfId="11" applyNumberFormat="1" applyFont="1" applyFill="1" applyBorder="1" applyAlignment="1">
      <alignment horizontal="left" wrapText="1"/>
    </xf>
    <xf numFmtId="168" fontId="24" fillId="0" borderId="52" xfId="3" applyFont="1" applyFill="1" applyBorder="1" applyAlignment="1">
      <alignment wrapText="1"/>
    </xf>
    <xf numFmtId="165" fontId="24" fillId="0" borderId="52" xfId="7" applyNumberFormat="1" applyFont="1" applyBorder="1" applyAlignment="1" applyProtection="1"/>
    <xf numFmtId="2" fontId="24" fillId="0" borderId="52" xfId="11" applyNumberFormat="1" applyFont="1" applyFill="1" applyBorder="1"/>
    <xf numFmtId="0" fontId="0" fillId="0" borderId="0" xfId="0" applyFill="1" applyBorder="1"/>
    <xf numFmtId="0" fontId="3" fillId="10" borderId="53" xfId="0" applyFont="1" applyFill="1" applyBorder="1"/>
    <xf numFmtId="0" fontId="18" fillId="0" borderId="0" xfId="8" applyFill="1" applyBorder="1"/>
    <xf numFmtId="0" fontId="3" fillId="10" borderId="52" xfId="0" applyFont="1" applyFill="1" applyBorder="1"/>
    <xf numFmtId="2" fontId="4" fillId="0" borderId="52" xfId="7" applyNumberFormat="1" applyFont="1" applyBorder="1" applyAlignment="1" applyProtection="1"/>
    <xf numFmtId="0" fontId="3" fillId="10" borderId="52" xfId="0" applyFont="1" applyFill="1" applyBorder="1" applyAlignment="1">
      <alignment horizontal="right"/>
    </xf>
    <xf numFmtId="0" fontId="24" fillId="0" borderId="53" xfId="11" applyFont="1" applyBorder="1" applyAlignment="1">
      <alignment wrapText="1"/>
    </xf>
    <xf numFmtId="0" fontId="24" fillId="0" borderId="53" xfId="11" applyFont="1" applyFill="1" applyBorder="1"/>
    <xf numFmtId="0" fontId="18" fillId="0" borderId="52" xfId="8" applyFill="1" applyBorder="1"/>
    <xf numFmtId="174" fontId="0" fillId="0" borderId="0" xfId="0" applyNumberFormat="1"/>
    <xf numFmtId="11" fontId="0" fillId="0" borderId="0" xfId="0" applyNumberFormat="1"/>
    <xf numFmtId="0" fontId="15" fillId="0" borderId="47" xfId="10" applyFont="1" applyFill="1" applyBorder="1" applyAlignment="1">
      <alignment wrapText="1"/>
    </xf>
    <xf numFmtId="175" fontId="0" fillId="0" borderId="0" xfId="0" applyNumberFormat="1"/>
    <xf numFmtId="0" fontId="15" fillId="0" borderId="0" xfId="10" applyFont="1" applyFill="1" applyBorder="1" applyAlignment="1">
      <alignment wrapText="1"/>
    </xf>
    <xf numFmtId="0" fontId="0" fillId="0" borderId="47" xfId="0" applyBorder="1"/>
    <xf numFmtId="0" fontId="24" fillId="0" borderId="0" xfId="11" applyNumberFormat="1" applyFont="1" applyFill="1" applyBorder="1" applyAlignment="1">
      <alignment horizontal="left" wrapText="1"/>
    </xf>
    <xf numFmtId="0" fontId="24" fillId="0" borderId="55" xfId="11" applyFont="1" applyFill="1" applyBorder="1"/>
    <xf numFmtId="0" fontId="24" fillId="0" borderId="8" xfId="11" applyNumberFormat="1" applyFont="1" applyFill="1" applyBorder="1" applyAlignment="1">
      <alignment horizontal="left" wrapText="1"/>
    </xf>
    <xf numFmtId="0" fontId="15" fillId="0" borderId="56" xfId="10" applyFont="1" applyFill="1" applyBorder="1" applyAlignment="1">
      <alignment wrapText="1"/>
    </xf>
    <xf numFmtId="0" fontId="0" fillId="0" borderId="56" xfId="0" applyBorder="1"/>
    <xf numFmtId="165" fontId="24" fillId="0" borderId="57" xfId="7" applyNumberFormat="1" applyFont="1" applyBorder="1" applyAlignment="1" applyProtection="1"/>
    <xf numFmtId="0" fontId="24" fillId="0" borderId="54" xfId="11" applyFont="1" applyFill="1" applyBorder="1"/>
    <xf numFmtId="0" fontId="24" fillId="0" borderId="54" xfId="11" applyNumberFormat="1" applyFont="1" applyFill="1" applyBorder="1" applyAlignment="1">
      <alignment horizontal="left" wrapText="1"/>
    </xf>
    <xf numFmtId="0" fontId="15" fillId="0" borderId="54" xfId="10" applyFont="1" applyFill="1" applyBorder="1" applyAlignment="1">
      <alignment wrapText="1"/>
    </xf>
    <xf numFmtId="0" fontId="0" fillId="0" borderId="54" xfId="0" applyBorder="1"/>
    <xf numFmtId="165" fontId="24" fillId="0" borderId="54" xfId="7" applyNumberFormat="1" applyFont="1" applyBorder="1" applyAlignment="1" applyProtection="1"/>
    <xf numFmtId="2" fontId="24" fillId="0" borderId="57" xfId="11" applyNumberFormat="1" applyFont="1" applyFill="1" applyBorder="1"/>
    <xf numFmtId="2" fontId="24" fillId="0" borderId="54" xfId="11" applyNumberFormat="1" applyFont="1" applyFill="1" applyBorder="1"/>
    <xf numFmtId="165" fontId="3" fillId="10" borderId="54" xfId="0" applyNumberFormat="1" applyFont="1" applyFill="1" applyBorder="1"/>
    <xf numFmtId="0" fontId="24" fillId="0" borderId="54" xfId="11" applyFont="1" applyFill="1" applyBorder="1" applyAlignment="1">
      <alignment wrapText="1"/>
    </xf>
    <xf numFmtId="170" fontId="24" fillId="0" borderId="54" xfId="13" applyNumberFormat="1" applyFont="1" applyFill="1" applyBorder="1" applyAlignment="1">
      <alignment horizontal="center" wrapText="1"/>
    </xf>
    <xf numFmtId="0" fontId="24" fillId="0" borderId="54" xfId="11" applyFont="1" applyFill="1" applyBorder="1" applyAlignment="1">
      <alignment horizontal="left" wrapText="1" indent="1"/>
    </xf>
    <xf numFmtId="0" fontId="24" fillId="0" borderId="54" xfId="11" applyFont="1" applyFill="1" applyBorder="1" applyAlignment="1">
      <alignment horizontal="right" wrapText="1" indent="1"/>
    </xf>
    <xf numFmtId="0" fontId="24" fillId="0" borderId="54" xfId="11" applyFont="1" applyFill="1" applyBorder="1" applyAlignment="1">
      <alignment horizontal="center" wrapText="1"/>
    </xf>
    <xf numFmtId="0" fontId="18" fillId="0" borderId="0" xfId="8" applyFill="1"/>
    <xf numFmtId="180" fontId="0" fillId="0" borderId="0" xfId="0" applyNumberFormat="1" applyBorder="1"/>
    <xf numFmtId="179" fontId="24" fillId="0" borderId="54" xfId="11" applyNumberFormat="1" applyFont="1" applyFill="1" applyBorder="1" applyAlignment="1">
      <alignment horizontal="right" wrapText="1" indent="1"/>
    </xf>
    <xf numFmtId="179" fontId="24" fillId="0" borderId="54" xfId="11" applyNumberFormat="1" applyFont="1" applyFill="1" applyBorder="1" applyAlignment="1">
      <alignment wrapText="1"/>
    </xf>
    <xf numFmtId="0" fontId="3" fillId="10" borderId="58" xfId="0" applyFont="1" applyFill="1" applyBorder="1"/>
    <xf numFmtId="0" fontId="3" fillId="10" borderId="54" xfId="0" applyFont="1" applyFill="1" applyBorder="1"/>
    <xf numFmtId="0" fontId="24" fillId="0" borderId="54" xfId="0" applyFont="1" applyFill="1" applyBorder="1" applyAlignment="1" applyProtection="1">
      <alignment vertical="center" wrapText="1"/>
    </xf>
    <xf numFmtId="0" fontId="3" fillId="10" borderId="54" xfId="0" applyFont="1" applyFill="1" applyBorder="1" applyAlignment="1">
      <alignment horizontal="right"/>
    </xf>
    <xf numFmtId="0" fontId="24" fillId="0" borderId="58" xfId="11" applyFont="1" applyFill="1" applyBorder="1" applyAlignment="1">
      <alignment wrapText="1"/>
    </xf>
  </cellXfs>
  <cellStyles count="16">
    <cellStyle name="Comma 2" xfId="5" xr:uid="{00000000-0005-0000-0000-000000000000}"/>
    <cellStyle name="Cost_Green" xfId="4" xr:uid="{00000000-0005-0000-0000-000001000000}"/>
    <cellStyle name="Currency 2" xfId="2" xr:uid="{00000000-0005-0000-0000-000002000000}"/>
    <cellStyle name="Lien hypertexte" xfId="8" builtinId="8"/>
    <cellStyle name="Milliers 2" xfId="9" xr:uid="{BCD80422-4E58-4C46-B7FA-7B089F38F7E1}"/>
    <cellStyle name="Milliers 3" xfId="14" xr:uid="{99EADCB2-1CC0-4C85-8772-9542F23A219F}"/>
    <cellStyle name="Monétaire 10" xfId="12" xr:uid="{091E9DD3-9967-4F5F-B96A-4CF785A594E7}"/>
    <cellStyle name="Monétaire 2" xfId="3" xr:uid="{00000000-0005-0000-0000-000004000000}"/>
    <cellStyle name="Monétaire 3" xfId="13" xr:uid="{005E21D1-743F-48E1-8D66-AB10F384CE90}"/>
    <cellStyle name="Normal" xfId="0" builtinId="0"/>
    <cellStyle name="Normal 2" xfId="1" xr:uid="{00000000-0005-0000-0000-000006000000}"/>
    <cellStyle name="Normal 3" xfId="6" xr:uid="{00000000-0005-0000-0000-000007000000}"/>
    <cellStyle name="Normal 4" xfId="11" xr:uid="{CFACC039-0295-4B44-8500-74B870326428}"/>
    <cellStyle name="Normal_Sheet1" xfId="10" xr:uid="{D20A7D3D-6890-435E-937C-A40A028BB702}"/>
    <cellStyle name="Style 1" xfId="15" xr:uid="{E77BDADC-038C-417D-84E2-5F0C1C7D05D1}"/>
    <cellStyle name="TableStyleLight1" xfId="7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D5B5"/>
      <rgbColor rgb="FFC6EFCE"/>
      <rgbColor rgb="FF660066"/>
      <rgbColor rgb="FFFF8080"/>
      <rgbColor rgb="FF0066CC"/>
      <rgbColor rgb="FFD0D7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CCFF"/>
      <color rgb="FF33CCFF"/>
      <color rgb="FF00FF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412216</xdr:colOff>
      <xdr:row>19</xdr:row>
      <xdr:rowOff>174493</xdr:rowOff>
    </xdr:from>
    <xdr:to>
      <xdr:col>13</xdr:col>
      <xdr:colOff>394607</xdr:colOff>
      <xdr:row>30</xdr:row>
      <xdr:rowOff>51893</xdr:rowOff>
    </xdr:to>
    <xdr:pic>
      <xdr:nvPicPr>
        <xdr:cNvPr id="2" name="Image 1" descr="https://murmotorsports.eng.unimelb.edu.au/__data/assets/image/0005/2367968/varieties/medium.jpg">
          <a:extLst>
            <a:ext uri="{FF2B5EF4-FFF2-40B4-BE49-F238E27FC236}">
              <a16:creationId xmlns:a16="http://schemas.microsoft.com/office/drawing/2014/main" id="{26CE718F-865D-443F-9717-D3C7B3167D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91645" y="3793993"/>
          <a:ext cx="3125641" cy="197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393872</xdr:colOff>
      <xdr:row>15</xdr:row>
      <xdr:rowOff>9524</xdr:rowOff>
    </xdr:from>
    <xdr:to>
      <xdr:col>13</xdr:col>
      <xdr:colOff>170517</xdr:colOff>
      <xdr:row>25</xdr:row>
      <xdr:rowOff>180225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1B9F1C7-A378-4716-9DDB-4B0B4ADA3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4947" y="2867024"/>
          <a:ext cx="2824645" cy="226620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3</xdr:row>
      <xdr:rowOff>28575</xdr:rowOff>
    </xdr:from>
    <xdr:to>
      <xdr:col>16</xdr:col>
      <xdr:colOff>150886</xdr:colOff>
      <xdr:row>48</xdr:row>
      <xdr:rowOff>27503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66836FC-CD9E-43CA-B2B8-F93372437C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"/>
          <a:ext cx="12114286" cy="85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9525</xdr:colOff>
      <xdr:row>14</xdr:row>
      <xdr:rowOff>66675</xdr:rowOff>
    </xdr:from>
    <xdr:to>
      <xdr:col>13</xdr:col>
      <xdr:colOff>75451</xdr:colOff>
      <xdr:row>24</xdr:row>
      <xdr:rowOff>94542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3DDF04F-B410-4463-A054-47A66011C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73050" y="2733675"/>
          <a:ext cx="2351926" cy="193286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1</xdr:row>
      <xdr:rowOff>142875</xdr:rowOff>
    </xdr:from>
    <xdr:to>
      <xdr:col>16</xdr:col>
      <xdr:colOff>293762</xdr:colOff>
      <xdr:row>46</xdr:row>
      <xdr:rowOff>141803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2C38CA7-6D69-4ACC-A010-D018B9429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333375"/>
          <a:ext cx="12104762" cy="857142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419922</xdr:colOff>
      <xdr:row>13</xdr:row>
      <xdr:rowOff>152399</xdr:rowOff>
    </xdr:from>
    <xdr:to>
      <xdr:col>11</xdr:col>
      <xdr:colOff>732771</xdr:colOff>
      <xdr:row>23</xdr:row>
      <xdr:rowOff>151586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30A659E-5C3D-4AB5-AC1E-73ADF3B2E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26072" y="2628899"/>
          <a:ext cx="1836849" cy="228518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15</xdr:col>
      <xdr:colOff>693809</xdr:colOff>
      <xdr:row>46</xdr:row>
      <xdr:rowOff>189428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5B1FB30-FAA5-46FF-BEC4-59C9430E8E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2123809" cy="85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477148</xdr:colOff>
      <xdr:row>13</xdr:row>
      <xdr:rowOff>133349</xdr:rowOff>
    </xdr:from>
    <xdr:to>
      <xdr:col>11</xdr:col>
      <xdr:colOff>590549</xdr:colOff>
      <xdr:row>23</xdr:row>
      <xdr:rowOff>183624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3D2AD27-052D-4F7E-8C2F-7B70B3E516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88123" y="2609849"/>
          <a:ext cx="1637401" cy="214577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15</xdr:col>
      <xdr:colOff>693809</xdr:colOff>
      <xdr:row>47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F007648-4F4A-469B-ACDB-5EC10AB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"/>
          <a:ext cx="12123809" cy="857142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458372</xdr:colOff>
      <xdr:row>14</xdr:row>
      <xdr:rowOff>0</xdr:rowOff>
    </xdr:from>
    <xdr:to>
      <xdr:col>14</xdr:col>
      <xdr:colOff>131763</xdr:colOff>
      <xdr:row>28</xdr:row>
      <xdr:rowOff>55790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E1E7AE-3F3C-465D-BFDA-0E7C034EE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42460" y="2667000"/>
          <a:ext cx="3483391" cy="272279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591792</xdr:colOff>
      <xdr:row>13</xdr:row>
      <xdr:rowOff>180975</xdr:rowOff>
    </xdr:from>
    <xdr:to>
      <xdr:col>13</xdr:col>
      <xdr:colOff>589559</xdr:colOff>
      <xdr:row>27</xdr:row>
      <xdr:rowOff>46821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0DB1D4-A93F-47DC-B712-02714B82B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98042" y="2657475"/>
          <a:ext cx="3121967" cy="253284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71467</xdr:colOff>
      <xdr:row>14</xdr:row>
      <xdr:rowOff>104775</xdr:rowOff>
    </xdr:from>
    <xdr:to>
      <xdr:col>13</xdr:col>
      <xdr:colOff>303654</xdr:colOff>
      <xdr:row>24</xdr:row>
      <xdr:rowOff>66675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3FA679-96BD-43D5-BF35-DF976C85D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29842" y="2771775"/>
          <a:ext cx="2518187" cy="2057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584864</xdr:colOff>
      <xdr:row>12</xdr:row>
      <xdr:rowOff>142875</xdr:rowOff>
    </xdr:from>
    <xdr:to>
      <xdr:col>13</xdr:col>
      <xdr:colOff>579917</xdr:colOff>
      <xdr:row>23</xdr:row>
      <xdr:rowOff>18332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7E2411-C110-464B-8EC9-80A06A754A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05314" y="2428875"/>
          <a:ext cx="3043053" cy="1970957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485775</xdr:colOff>
      <xdr:row>13</xdr:row>
      <xdr:rowOff>152400</xdr:rowOff>
    </xdr:from>
    <xdr:to>
      <xdr:col>14</xdr:col>
      <xdr:colOff>18476</xdr:colOff>
      <xdr:row>24</xdr:row>
      <xdr:rowOff>46926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B2ADF5-BFF8-4D8A-9C36-723CED20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2628900"/>
          <a:ext cx="3342701" cy="1990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2</xdr:row>
      <xdr:rowOff>28575</xdr:rowOff>
    </xdr:from>
    <xdr:to>
      <xdr:col>13</xdr:col>
      <xdr:colOff>55912</xdr:colOff>
      <xdr:row>38</xdr:row>
      <xdr:rowOff>170575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D8E5EB1-39DA-4C6D-ADD3-37054688B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409575"/>
          <a:ext cx="9904762" cy="7000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58419</xdr:colOff>
      <xdr:row>14</xdr:row>
      <xdr:rowOff>104775</xdr:rowOff>
    </xdr:from>
    <xdr:to>
      <xdr:col>12</xdr:col>
      <xdr:colOff>590550</xdr:colOff>
      <xdr:row>24</xdr:row>
      <xdr:rowOff>64752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9CF1CCA-D0A1-4C0C-AF3C-C938BFEB8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4319" y="2771775"/>
          <a:ext cx="2056131" cy="224597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171450</xdr:rowOff>
    </xdr:from>
    <xdr:to>
      <xdr:col>13</xdr:col>
      <xdr:colOff>208317</xdr:colOff>
      <xdr:row>38</xdr:row>
      <xdr:rowOff>94378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AC9B739-30D5-4C64-B1F1-7DB8C6C842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61950"/>
          <a:ext cx="9866667" cy="697142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117426</xdr:rowOff>
    </xdr:from>
    <xdr:to>
      <xdr:col>11</xdr:col>
      <xdr:colOff>285750</xdr:colOff>
      <xdr:row>25</xdr:row>
      <xdr:rowOff>8710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FF74699-F881-4FB4-B779-B78B9B95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87000" y="2403426"/>
          <a:ext cx="1495425" cy="293928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16</xdr:col>
      <xdr:colOff>65159</xdr:colOff>
      <xdr:row>46</xdr:row>
      <xdr:rowOff>37028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A16B71-D05A-4ABF-BE69-811FA24349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228600"/>
          <a:ext cx="12123809" cy="857142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314325</xdr:colOff>
      <xdr:row>12</xdr:row>
      <xdr:rowOff>19787</xdr:rowOff>
    </xdr:from>
    <xdr:to>
      <xdr:col>11</xdr:col>
      <xdr:colOff>371475</xdr:colOff>
      <xdr:row>26</xdr:row>
      <xdr:rowOff>110835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CA6A76C-D9AE-4B4E-8BDC-405BE2BA3F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63200" y="2305787"/>
          <a:ext cx="1581150" cy="3139048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1</xdr:row>
      <xdr:rowOff>95250</xdr:rowOff>
    </xdr:from>
    <xdr:to>
      <xdr:col>16</xdr:col>
      <xdr:colOff>131837</xdr:colOff>
      <xdr:row>46</xdr:row>
      <xdr:rowOff>94178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0785991-D816-4A13-9208-5E67E33A94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075" y="285750"/>
          <a:ext cx="12104762" cy="85714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%20Assembl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N_1000_004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BOM"/>
      <sheetName val="BR Assembly"/>
      <sheetName val="BR Part 1"/>
      <sheetName val="BR Drawing Part 1"/>
      <sheetName val="EN Assembly"/>
    </sheetNames>
    <sheetDataSet>
      <sheetData sheetId="0" refreshError="1"/>
      <sheetData sheetId="1" refreshError="1"/>
      <sheetData sheetId="2" refreshError="1">
        <row r="3">
          <cell r="B3" t="str">
            <v>Brake System</v>
          </cell>
        </row>
        <row r="4">
          <cell r="B4" t="str">
            <v>Nom de l'assemblage 1</v>
          </cell>
        </row>
      </sheetData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_1000_004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C82"/>
  <sheetViews>
    <sheetView topLeftCell="A54" workbookViewId="0">
      <selection activeCell="C82" sqref="C82"/>
    </sheetView>
  </sheetViews>
  <sheetFormatPr baseColWidth="10" defaultRowHeight="15" x14ac:dyDescent="0.25"/>
  <sheetData>
    <row r="1" spans="1:2" x14ac:dyDescent="0.25">
      <c r="A1" s="68" t="s">
        <v>120</v>
      </c>
    </row>
    <row r="3" spans="1:2" x14ac:dyDescent="0.25">
      <c r="A3" s="67" t="s">
        <v>65</v>
      </c>
      <c r="B3" s="65" t="s">
        <v>66</v>
      </c>
    </row>
    <row r="5" spans="1:2" x14ac:dyDescent="0.25">
      <c r="A5" t="s">
        <v>121</v>
      </c>
    </row>
    <row r="6" spans="1:2" x14ac:dyDescent="0.25">
      <c r="A6" t="s">
        <v>98</v>
      </c>
    </row>
    <row r="7" spans="1:2" x14ac:dyDescent="0.25">
      <c r="A7" t="s">
        <v>104</v>
      </c>
    </row>
    <row r="8" spans="1:2" x14ac:dyDescent="0.25">
      <c r="A8" t="s">
        <v>102</v>
      </c>
    </row>
    <row r="9" spans="1:2" x14ac:dyDescent="0.25">
      <c r="A9" t="s">
        <v>67</v>
      </c>
    </row>
    <row r="10" spans="1:2" x14ac:dyDescent="0.25">
      <c r="A10" s="65" t="s">
        <v>95</v>
      </c>
    </row>
    <row r="11" spans="1:2" x14ac:dyDescent="0.25">
      <c r="A11" t="s">
        <v>132</v>
      </c>
    </row>
    <row r="12" spans="1:2" x14ac:dyDescent="0.25">
      <c r="A12" t="s">
        <v>68</v>
      </c>
    </row>
    <row r="14" spans="1:2" x14ac:dyDescent="0.25">
      <c r="A14" t="s">
        <v>97</v>
      </c>
    </row>
    <row r="15" spans="1:2" x14ac:dyDescent="0.25">
      <c r="A15" t="s">
        <v>122</v>
      </c>
    </row>
    <row r="16" spans="1:2" x14ac:dyDescent="0.25">
      <c r="A16" t="s">
        <v>108</v>
      </c>
    </row>
    <row r="18" spans="1:3" x14ac:dyDescent="0.25">
      <c r="A18" s="67" t="s">
        <v>69</v>
      </c>
      <c r="B18" s="65" t="s">
        <v>100</v>
      </c>
      <c r="C18" s="65"/>
    </row>
    <row r="20" spans="1:3" x14ac:dyDescent="0.25">
      <c r="A20" t="s">
        <v>107</v>
      </c>
    </row>
    <row r="21" spans="1:3" x14ac:dyDescent="0.25">
      <c r="A21" t="s">
        <v>133</v>
      </c>
    </row>
    <row r="23" spans="1:3" x14ac:dyDescent="0.25">
      <c r="A23" s="67" t="s">
        <v>71</v>
      </c>
      <c r="B23" s="65" t="s">
        <v>72</v>
      </c>
    </row>
    <row r="25" spans="1:3" x14ac:dyDescent="0.25">
      <c r="A25" t="s">
        <v>123</v>
      </c>
    </row>
    <row r="26" spans="1:3" x14ac:dyDescent="0.25">
      <c r="A26" t="s">
        <v>78</v>
      </c>
    </row>
    <row r="27" spans="1:3" x14ac:dyDescent="0.25">
      <c r="A27" t="s">
        <v>73</v>
      </c>
    </row>
    <row r="28" spans="1:3" x14ac:dyDescent="0.25">
      <c r="A28" t="s">
        <v>105</v>
      </c>
    </row>
    <row r="29" spans="1:3" x14ac:dyDescent="0.25">
      <c r="A29" t="s">
        <v>103</v>
      </c>
    </row>
    <row r="30" spans="1:3" x14ac:dyDescent="0.25">
      <c r="A30" t="s">
        <v>74</v>
      </c>
    </row>
    <row r="31" spans="1:3" x14ac:dyDescent="0.25">
      <c r="A31" s="65" t="s">
        <v>95</v>
      </c>
    </row>
    <row r="32" spans="1:3" x14ac:dyDescent="0.25">
      <c r="A32" t="s">
        <v>124</v>
      </c>
    </row>
    <row r="33" spans="1:2" x14ac:dyDescent="0.25">
      <c r="A33" t="s">
        <v>125</v>
      </c>
    </row>
    <row r="35" spans="1:2" x14ac:dyDescent="0.25">
      <c r="A35" t="s">
        <v>106</v>
      </c>
    </row>
    <row r="36" spans="1:2" x14ac:dyDescent="0.25">
      <c r="A36" t="s">
        <v>126</v>
      </c>
    </row>
    <row r="37" spans="1:2" x14ac:dyDescent="0.25">
      <c r="A37" t="s">
        <v>109</v>
      </c>
    </row>
    <row r="39" spans="1:2" x14ac:dyDescent="0.25">
      <c r="A39" s="67" t="s">
        <v>75</v>
      </c>
      <c r="B39" s="65" t="s">
        <v>70</v>
      </c>
    </row>
    <row r="41" spans="1:2" x14ac:dyDescent="0.25">
      <c r="A41" t="s">
        <v>114</v>
      </c>
    </row>
    <row r="42" spans="1:2" x14ac:dyDescent="0.25">
      <c r="A42" t="s">
        <v>115</v>
      </c>
    </row>
    <row r="43" spans="1:2" x14ac:dyDescent="0.25">
      <c r="A43" t="s">
        <v>99</v>
      </c>
    </row>
    <row r="45" spans="1:2" x14ac:dyDescent="0.25">
      <c r="A45" s="67" t="s">
        <v>76</v>
      </c>
      <c r="B45" s="65" t="s">
        <v>92</v>
      </c>
    </row>
    <row r="47" spans="1:2" x14ac:dyDescent="0.25">
      <c r="A47" t="s">
        <v>127</v>
      </c>
    </row>
    <row r="48" spans="1:2" x14ac:dyDescent="0.25">
      <c r="A48" t="s">
        <v>93</v>
      </c>
    </row>
    <row r="49" spans="1:2" x14ac:dyDescent="0.25">
      <c r="A49" t="s">
        <v>94</v>
      </c>
    </row>
    <row r="50" spans="1:2" x14ac:dyDescent="0.25">
      <c r="A50" t="s">
        <v>128</v>
      </c>
    </row>
    <row r="51" spans="1:2" x14ac:dyDescent="0.25">
      <c r="A51" t="s">
        <v>116</v>
      </c>
    </row>
    <row r="52" spans="1:2" x14ac:dyDescent="0.25">
      <c r="A52" t="s">
        <v>129</v>
      </c>
    </row>
    <row r="53" spans="1:2" x14ac:dyDescent="0.25">
      <c r="A53" t="s">
        <v>131</v>
      </c>
    </row>
    <row r="55" spans="1:2" x14ac:dyDescent="0.25">
      <c r="A55" t="s">
        <v>110</v>
      </c>
    </row>
    <row r="57" spans="1:2" x14ac:dyDescent="0.25">
      <c r="A57" s="67" t="s">
        <v>80</v>
      </c>
      <c r="B57" s="65" t="s">
        <v>77</v>
      </c>
    </row>
    <row r="59" spans="1:2" x14ac:dyDescent="0.25">
      <c r="A59" t="s">
        <v>79</v>
      </c>
    </row>
    <row r="60" spans="1:2" x14ac:dyDescent="0.25">
      <c r="A60" t="s">
        <v>111</v>
      </c>
    </row>
    <row r="61" spans="1:2" x14ac:dyDescent="0.25">
      <c r="A61" t="s">
        <v>130</v>
      </c>
    </row>
    <row r="63" spans="1:2" x14ac:dyDescent="0.25">
      <c r="A63" s="67" t="s">
        <v>91</v>
      </c>
      <c r="B63" s="65" t="s">
        <v>81</v>
      </c>
    </row>
    <row r="65" spans="1:1" x14ac:dyDescent="0.25">
      <c r="A65" t="s">
        <v>82</v>
      </c>
    </row>
    <row r="66" spans="1:1" x14ac:dyDescent="0.25">
      <c r="A66" t="s">
        <v>84</v>
      </c>
    </row>
    <row r="67" spans="1:1" x14ac:dyDescent="0.25">
      <c r="A67" t="s">
        <v>83</v>
      </c>
    </row>
    <row r="68" spans="1:1" x14ac:dyDescent="0.25">
      <c r="A68" t="s">
        <v>85</v>
      </c>
    </row>
    <row r="69" spans="1:1" x14ac:dyDescent="0.25">
      <c r="A69" t="s">
        <v>86</v>
      </c>
    </row>
    <row r="70" spans="1:1" x14ac:dyDescent="0.25">
      <c r="A70" t="s">
        <v>87</v>
      </c>
    </row>
    <row r="71" spans="1:1" x14ac:dyDescent="0.25">
      <c r="A71" t="s">
        <v>112</v>
      </c>
    </row>
    <row r="72" spans="1:1" x14ac:dyDescent="0.25">
      <c r="A72" t="s">
        <v>113</v>
      </c>
    </row>
    <row r="74" spans="1:1" x14ac:dyDescent="0.25">
      <c r="A74" t="s">
        <v>117</v>
      </c>
    </row>
    <row r="75" spans="1:1" x14ac:dyDescent="0.25">
      <c r="A75" t="s">
        <v>88</v>
      </c>
    </row>
    <row r="76" spans="1:1" x14ac:dyDescent="0.25">
      <c r="A76" t="s">
        <v>89</v>
      </c>
    </row>
    <row r="77" spans="1:1" x14ac:dyDescent="0.25">
      <c r="A77" t="s">
        <v>112</v>
      </c>
    </row>
    <row r="78" spans="1:1" x14ac:dyDescent="0.25">
      <c r="A78" t="s">
        <v>113</v>
      </c>
    </row>
    <row r="80" spans="1:1" x14ac:dyDescent="0.25">
      <c r="A80" s="65" t="s">
        <v>96</v>
      </c>
    </row>
    <row r="82" spans="1:1" x14ac:dyDescent="0.25">
      <c r="A82" s="6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83026-3302-4202-B427-41AC0D6EAB9C}">
  <sheetPr>
    <tabColor theme="6" tint="0.39997558519241921"/>
  </sheetPr>
  <dimension ref="A1"/>
  <sheetViews>
    <sheetView topLeftCell="A17" zoomScaleNormal="100" workbookViewId="0">
      <selection activeCell="N48" sqref="N48"/>
    </sheetView>
  </sheetViews>
  <sheetFormatPr baseColWidth="10" defaultRowHeight="15" x14ac:dyDescent="0.25"/>
  <sheetData>
    <row r="1" spans="1:1" x14ac:dyDescent="0.25">
      <c r="A1" s="223" t="s">
        <v>223</v>
      </c>
    </row>
  </sheetData>
  <hyperlinks>
    <hyperlink ref="A1" location="EN_0900_004" display="EN_0900_004" xr:uid="{2E4E2DB0-CD4F-4100-BC62-30408841A317}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611C-5FF0-43D8-A173-C5E8D33A1FBB}">
  <sheetPr>
    <tabColor theme="6" tint="0.39997558519241921"/>
  </sheetPr>
  <dimension ref="A1:O28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3.42578125" bestFit="1" customWidth="1"/>
    <col min="9" max="9" width="27.425781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EN_0900_005_m+EN_0900_005_p</f>
        <v>17.198412672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230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17.198412672</v>
      </c>
      <c r="O5" s="163"/>
    </row>
    <row r="6" spans="1:15" x14ac:dyDescent="0.25">
      <c r="A6" s="182" t="s">
        <v>7</v>
      </c>
      <c r="B6" s="175" t="s">
        <v>231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1.3388601600000001</v>
      </c>
      <c r="F11" s="197" t="s">
        <v>155</v>
      </c>
      <c r="G11" s="197"/>
      <c r="H11" s="210"/>
      <c r="I11" s="211" t="s">
        <v>232</v>
      </c>
      <c r="J11" s="212">
        <f>374*120/1000000</f>
        <v>4.4880000000000003E-2</v>
      </c>
      <c r="K11" s="213">
        <f>11/1000</f>
        <v>1.0999999999999999E-2</v>
      </c>
      <c r="L11" s="214">
        <v>2712</v>
      </c>
      <c r="M11" s="214">
        <v>1</v>
      </c>
      <c r="N11" s="215">
        <f>IF(J11="",D11*M11,D11*J11*K11*L11*M11)</f>
        <v>5.6232126720000002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5.6232126720000002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256.88</v>
      </c>
      <c r="G17" s="194" t="s">
        <v>229</v>
      </c>
      <c r="H17" s="204">
        <v>1</v>
      </c>
      <c r="I17" s="215">
        <f>IF(H17="",D17*F17,D17*F17*H17)</f>
        <v>10.2752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11.575200000000001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177"/>
      <c r="F22" s="218"/>
      <c r="G22" s="218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218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ht="15.75" thickBot="1" x14ac:dyDescent="0.3">
      <c r="A28" s="172"/>
      <c r="B28" s="173"/>
      <c r="C28" s="173"/>
      <c r="D28" s="173"/>
      <c r="E28" s="173"/>
      <c r="F28" s="173"/>
      <c r="G28" s="173"/>
      <c r="H28" s="173"/>
      <c r="I28" s="173"/>
      <c r="J28" s="173"/>
      <c r="K28" s="173"/>
      <c r="L28" s="173"/>
      <c r="M28" s="173"/>
      <c r="N28" s="173"/>
      <c r="O28" s="174"/>
    </row>
  </sheetData>
  <hyperlinks>
    <hyperlink ref="D3" location="'EN_0900_005 Drawing'!A1" display="FileLink1" xr:uid="{61892D57-9684-4295-9529-3CA5DC00953C}"/>
    <hyperlink ref="B4" location="EN_A0900!A1" display="Differential" xr:uid="{C621E891-E732-4DF6-A9C8-22D55A42E267}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12B02-713E-4B1A-90B4-9B3E5C72B5DC}">
  <sheetPr>
    <tabColor theme="6" tint="0.39997558519241921"/>
  </sheetPr>
  <dimension ref="A1"/>
  <sheetViews>
    <sheetView topLeftCell="A7" workbookViewId="0">
      <selection activeCell="A2" sqref="A2"/>
    </sheetView>
  </sheetViews>
  <sheetFormatPr baseColWidth="10" defaultRowHeight="15" x14ac:dyDescent="0.25"/>
  <sheetData>
    <row r="1" spans="1:1" x14ac:dyDescent="0.25">
      <c r="A1" s="66" t="s">
        <v>231</v>
      </c>
    </row>
  </sheetData>
  <hyperlinks>
    <hyperlink ref="A1" location="EN_0900_005" display="EN_0900_005" xr:uid="{C4345D02-149F-4EAA-AEE8-2D8364388E73}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1F031-A6B2-4C3F-B011-3A3FB7B7A2BE}">
  <sheetPr>
    <tabColor theme="6" tint="0.39997558519241921"/>
  </sheetPr>
  <dimension ref="A1:O27"/>
  <sheetViews>
    <sheetView workbookViewId="0">
      <selection activeCell="B4" sqref="B4"/>
    </sheetView>
  </sheetViews>
  <sheetFormatPr baseColWidth="10" defaultRowHeight="15" x14ac:dyDescent="0.25"/>
  <cols>
    <col min="2" max="2" width="28.5703125" bestFit="1" customWidth="1"/>
    <col min="3" max="3" width="39.28515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EN_0900_006_m+EN_0900_006_p</f>
        <v>0.83337245000000004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3.3334898000000002</v>
      </c>
      <c r="O5" s="163"/>
    </row>
    <row r="6" spans="1:15" x14ac:dyDescent="0.25">
      <c r="A6" s="182" t="s">
        <v>7</v>
      </c>
      <c r="B6" s="175" t="s">
        <v>233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3.6832200000000002E-2</v>
      </c>
      <c r="F11" s="139" t="s">
        <v>155</v>
      </c>
      <c r="G11" s="139"/>
      <c r="H11" s="142"/>
      <c r="I11" s="143" t="s">
        <v>236</v>
      </c>
      <c r="J11" s="143">
        <f>46*34/1000000</f>
        <v>1.5640000000000001E-3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8.287245E-2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8.287245E-2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19.600000000000001</v>
      </c>
      <c r="G17" s="197" t="s">
        <v>238</v>
      </c>
      <c r="H17" s="197">
        <v>3</v>
      </c>
      <c r="I17" s="140">
        <f>IF(H17="",D17*F17,D17*F17*H17)</f>
        <v>0.58800000000000008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0.75050000000000006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177"/>
      <c r="D22" s="177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</row>
  </sheetData>
  <hyperlinks>
    <hyperlink ref="D3" location="'EN_0900_006 Drawing'!A1" display="FileLink1" xr:uid="{731B3E14-BD29-4A7B-8AEC-C7E1C65CD6EF}"/>
    <hyperlink ref="B4" location="EN_A0900!A1" display="Differential" xr:uid="{C1C6B9F0-5163-4372-B430-5697255E03BF}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C2C23-2CF0-4D1F-B54A-55E717260FC6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233</v>
      </c>
    </row>
  </sheetData>
  <hyperlinks>
    <hyperlink ref="A1" location="EN_0900_006" display="EN_0900_006" xr:uid="{459E7C1C-6BD1-47EF-AA5D-C8488BE4679A}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0DC19-37A4-4EEE-84E9-C63D226B8D65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31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EN_0900_007_m+EN_0900_007_p</f>
        <v>0.806785325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4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215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3.2271413</v>
      </c>
      <c r="O5" s="163"/>
    </row>
    <row r="6" spans="1:15" x14ac:dyDescent="0.25">
      <c r="A6" s="182" t="s">
        <v>7</v>
      </c>
      <c r="B6" s="175" t="s">
        <v>240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3.1415699999999998E-2</v>
      </c>
      <c r="F11" s="139" t="s">
        <v>155</v>
      </c>
      <c r="G11" s="139"/>
      <c r="H11" s="142"/>
      <c r="I11" s="143" t="s">
        <v>241</v>
      </c>
      <c r="J11" s="143">
        <f>46*29/1000000</f>
        <v>1.3339999999999999E-3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7.0685324999999993E-2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7.0685324999999993E-2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237</v>
      </c>
      <c r="H16" s="195">
        <f>1/8</f>
        <v>0.125</v>
      </c>
      <c r="I16" s="140">
        <f>IF(H16="",D16*F16,D16*F16*H16)</f>
        <v>0.16250000000000001</v>
      </c>
      <c r="J16" s="47"/>
      <c r="K16" s="47"/>
      <c r="L16" s="47"/>
      <c r="M16" s="47"/>
      <c r="N16" s="47"/>
      <c r="O16" s="169"/>
    </row>
    <row r="17" spans="1:15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19.12</v>
      </c>
      <c r="G17" s="197" t="s">
        <v>238</v>
      </c>
      <c r="H17" s="197">
        <v>3</v>
      </c>
      <c r="I17" s="140">
        <f>IF(H17="",D17*F17,D17*F17*H17)</f>
        <v>0.5736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0.73609999999999998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7 Drawing'!A1" display="FileLink1" xr:uid="{456BD7D5-0F5C-4D47-BE9E-315D5EC71C92}"/>
    <hyperlink ref="B4" location="EN_A0900!A1" display="Differential" xr:uid="{0B4776C4-222A-4C11-8FD8-6C52C73E682C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CC624-E26D-4C77-98B2-9FCF568FF717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240</v>
      </c>
    </row>
  </sheetData>
  <hyperlinks>
    <hyperlink ref="A1" location="EN_0900_007" display="EN_0900_007" xr:uid="{3D2D908B-3D39-40F3-A8B1-E3AA97A249D9}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03668-160D-42F8-9C78-2918A90FDF49}">
  <sheetPr>
    <tabColor theme="6" tint="0.39997558519241921"/>
  </sheetPr>
  <dimension ref="A1:O25"/>
  <sheetViews>
    <sheetView workbookViewId="0">
      <selection activeCell="B4" sqref="B4"/>
    </sheetView>
  </sheetViews>
  <sheetFormatPr baseColWidth="10" defaultRowHeight="15" x14ac:dyDescent="0.25"/>
  <cols>
    <col min="2" max="2" width="26.14062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EN_0900_008_m+EN_0900_008_p</f>
        <v>1.5521247499999999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152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1.5521247499999999</v>
      </c>
      <c r="O5" s="163"/>
    </row>
    <row r="6" spans="1:15" x14ac:dyDescent="0.25">
      <c r="A6" s="182" t="s">
        <v>7</v>
      </c>
      <c r="B6" s="175" t="s">
        <v>242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6.6410999999999998E-2</v>
      </c>
      <c r="F11" s="139" t="s">
        <v>155</v>
      </c>
      <c r="G11" s="139"/>
      <c r="H11" s="142"/>
      <c r="I11" s="143" t="s">
        <v>243</v>
      </c>
      <c r="J11" s="143">
        <f>60*47/1000000</f>
        <v>2.82E-3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0.14942475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0.14942475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25.09</v>
      </c>
      <c r="G17" s="197" t="s">
        <v>238</v>
      </c>
      <c r="H17" s="197">
        <v>3</v>
      </c>
      <c r="I17" s="140">
        <f>IF(H17="",D17*F17,D17*F17*H17)</f>
        <v>0.75270000000000004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1.4027000000000001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8 Drawing'!A1" display="FileLink1" xr:uid="{CF540C9A-7D70-4139-B381-37726EB07E31}"/>
    <hyperlink ref="B4" location="EN_A0900!A1" display="Differential" xr:uid="{8E555552-4149-49E4-B1BD-DF0DF724A9BC}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C775-5DF4-43D4-A248-EF81D0028773}">
  <sheetPr>
    <tabColor theme="6" tint="0.39997558519241921"/>
  </sheetPr>
  <dimension ref="A1"/>
  <sheetViews>
    <sheetView topLeftCell="A13" workbookViewId="0"/>
  </sheetViews>
  <sheetFormatPr baseColWidth="10" defaultRowHeight="15" x14ac:dyDescent="0.25"/>
  <sheetData>
    <row r="1" spans="1:1" x14ac:dyDescent="0.25">
      <c r="A1" s="66" t="s">
        <v>242</v>
      </c>
    </row>
  </sheetData>
  <hyperlinks>
    <hyperlink ref="A1" location="EN_0900_008" display="EN_0900_008" xr:uid="{5451F878-B3C6-4CD7-9CFD-DA94F1169DC2}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B2C40-352C-4863-A7D8-A4EE5DA4B3A3}">
  <sheetPr>
    <tabColor theme="6" tint="0.39997558519241921"/>
  </sheetPr>
  <dimension ref="A1:O25"/>
  <sheetViews>
    <sheetView topLeftCell="B1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22.140625" bestFit="1" customWidth="1"/>
    <col min="7" max="7" width="35.85546875" bestFit="1" customWidth="1"/>
    <col min="9" max="9" width="25.28515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EN_0900_009_m+EN_0900_009_p</f>
        <v>1.5630151625000002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245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1.5630151625000002</v>
      </c>
      <c r="O5" s="163"/>
    </row>
    <row r="6" spans="1:15" x14ac:dyDescent="0.25">
      <c r="A6" s="182" t="s">
        <v>7</v>
      </c>
      <c r="B6" s="175" t="s">
        <v>246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93">
        <v>10</v>
      </c>
      <c r="B11" s="219" t="s">
        <v>234</v>
      </c>
      <c r="C11" s="189" t="s">
        <v>235</v>
      </c>
      <c r="D11" s="140">
        <v>2.25</v>
      </c>
      <c r="E11" s="141">
        <f>J11*K11*L11</f>
        <v>6.7517850000000004E-2</v>
      </c>
      <c r="F11" s="139" t="s">
        <v>155</v>
      </c>
      <c r="G11" s="139"/>
      <c r="H11" s="142"/>
      <c r="I11" s="143" t="s">
        <v>247</v>
      </c>
      <c r="J11" s="143">
        <f>61*47/1000000</f>
        <v>2.8670000000000002E-3</v>
      </c>
      <c r="K11" s="144">
        <f>3/1000</f>
        <v>3.0000000000000001E-3</v>
      </c>
      <c r="L11" s="145">
        <v>7850</v>
      </c>
      <c r="M11" s="145">
        <v>1</v>
      </c>
      <c r="N11" s="140">
        <f>M11*L11*J11*K11*D11</f>
        <v>0.15191516250000001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0.15191516250000001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87">
        <v>10</v>
      </c>
      <c r="B16" s="220" t="s">
        <v>43</v>
      </c>
      <c r="C16" s="195" t="s">
        <v>218</v>
      </c>
      <c r="D16" s="221">
        <v>1.3</v>
      </c>
      <c r="E16" s="197" t="s">
        <v>32</v>
      </c>
      <c r="F16" s="197">
        <v>1</v>
      </c>
      <c r="G16" s="207" t="s">
        <v>244</v>
      </c>
      <c r="H16" s="195">
        <f>1/2</f>
        <v>0.5</v>
      </c>
      <c r="I16" s="140">
        <f>IF(H16="",D16*F16,D16*F16*H16)</f>
        <v>0.65</v>
      </c>
      <c r="J16" s="47"/>
      <c r="K16" s="47"/>
      <c r="L16" s="47"/>
      <c r="M16" s="47"/>
      <c r="N16" s="47"/>
      <c r="O16" s="169"/>
    </row>
    <row r="17" spans="1:15" ht="30" x14ac:dyDescent="0.25">
      <c r="A17" s="205">
        <v>20</v>
      </c>
      <c r="B17" s="195" t="s">
        <v>44</v>
      </c>
      <c r="C17" s="216" t="s">
        <v>239</v>
      </c>
      <c r="D17" s="221">
        <v>0.01</v>
      </c>
      <c r="E17" s="197" t="s">
        <v>45</v>
      </c>
      <c r="F17" s="197">
        <v>25.37</v>
      </c>
      <c r="G17" s="197" t="s">
        <v>238</v>
      </c>
      <c r="H17" s="197">
        <v>3</v>
      </c>
      <c r="I17" s="140">
        <f>IF(H17="",D17*F17,D17*F17*H17)</f>
        <v>0.76110000000000011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1.4111000000000002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ht="15.75" thickBot="1" x14ac:dyDescent="0.3">
      <c r="A25" s="172"/>
      <c r="B25" s="173"/>
      <c r="C25" s="173"/>
      <c r="D25" s="173"/>
      <c r="E25" s="173"/>
      <c r="F25" s="173"/>
      <c r="G25" s="173"/>
      <c r="H25" s="173"/>
      <c r="I25" s="173"/>
      <c r="J25" s="173"/>
      <c r="K25" s="173"/>
      <c r="L25" s="173"/>
      <c r="M25" s="173"/>
      <c r="N25" s="173"/>
      <c r="O25" s="174"/>
    </row>
  </sheetData>
  <hyperlinks>
    <hyperlink ref="D3" location="'EN_0900_009 Drawing'!A1" display="FileLink1" xr:uid="{C0B6B514-8E88-4C67-A76D-070A1E227D85}"/>
    <hyperlink ref="B4" location="EN_A0900!A1" display="Differential" xr:uid="{137EB44C-786B-48DF-87C7-3D5DCA7C709D}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164"/>
  <sheetViews>
    <sheetView zoomScaleNormal="100" workbookViewId="0">
      <pane xSplit="3" ySplit="6" topLeftCell="E7" activePane="bottomRight" state="frozen"/>
      <selection activeCell="H10" sqref="H10"/>
      <selection pane="topRight" activeCell="H10" sqref="H10"/>
      <selection pane="bottomLeft" activeCell="H10" sqref="H10"/>
      <selection pane="bottomRight" activeCell="I21" sqref="I21"/>
    </sheetView>
  </sheetViews>
  <sheetFormatPr baseColWidth="10" defaultColWidth="9.140625" defaultRowHeight="12.75" x14ac:dyDescent="0.2"/>
  <cols>
    <col min="1" max="1" width="17.42578125" style="9" bestFit="1" customWidth="1"/>
    <col min="2" max="2" width="28.7109375" style="13" bestFit="1" customWidth="1"/>
    <col min="3" max="3" width="13.5703125" style="9" customWidth="1"/>
    <col min="4" max="4" width="10" style="9" bestFit="1" customWidth="1"/>
    <col min="5" max="5" width="23" style="9" customWidth="1"/>
    <col min="6" max="6" width="39.140625" style="31" customWidth="1"/>
    <col min="7" max="7" width="14" style="9" customWidth="1"/>
    <col min="8" max="8" width="11" style="9" bestFit="1" customWidth="1"/>
    <col min="9" max="13" width="10.42578125" style="6" customWidth="1"/>
    <col min="14" max="14" width="9.7109375" style="9" bestFit="1" customWidth="1"/>
    <col min="15" max="15" width="11.140625" style="13" customWidth="1"/>
    <col min="16" max="16384" width="9.140625" style="13"/>
  </cols>
  <sheetData>
    <row r="1" spans="1:15" ht="15.75" thickBot="1" x14ac:dyDescent="0.3">
      <c r="A1" s="41" t="s">
        <v>0</v>
      </c>
      <c r="B1" s="71" t="s">
        <v>42</v>
      </c>
      <c r="D1" s="32"/>
      <c r="M1" s="44" t="s">
        <v>46</v>
      </c>
      <c r="N1" s="33"/>
      <c r="O1" s="43" t="e">
        <f>#REF!</f>
        <v>#REF!</v>
      </c>
    </row>
    <row r="2" spans="1:15" s="15" customFormat="1" ht="15.75" thickBot="1" x14ac:dyDescent="0.3">
      <c r="A2" s="39" t="s">
        <v>47</v>
      </c>
      <c r="B2" s="70" t="s">
        <v>118</v>
      </c>
      <c r="C2" s="14"/>
      <c r="F2" s="27"/>
    </row>
    <row r="3" spans="1:15" s="15" customFormat="1" ht="16.5" thickTop="1" thickBot="1" x14ac:dyDescent="0.3">
      <c r="A3" s="40" t="s">
        <v>48</v>
      </c>
      <c r="B3" s="42">
        <v>2018</v>
      </c>
      <c r="C3" s="14"/>
      <c r="F3" s="27"/>
    </row>
    <row r="4" spans="1:15" s="15" customFormat="1" ht="16.5" thickTop="1" thickBot="1" x14ac:dyDescent="0.3">
      <c r="A4" s="38" t="s">
        <v>1</v>
      </c>
      <c r="B4" s="69">
        <v>81</v>
      </c>
      <c r="C4" s="14"/>
      <c r="D4" s="32" t="s">
        <v>49</v>
      </c>
      <c r="F4" s="27"/>
    </row>
    <row r="5" spans="1:15" s="25" customFormat="1" ht="15.75" thickTop="1" x14ac:dyDescent="0.25">
      <c r="A5" s="24"/>
      <c r="B5" s="28"/>
      <c r="C5" s="26"/>
      <c r="F5" s="29"/>
    </row>
    <row r="6" spans="1:15" s="23" customFormat="1" ht="49.5" customHeight="1" x14ac:dyDescent="0.25">
      <c r="A6" s="22" t="s">
        <v>50</v>
      </c>
      <c r="B6" s="35" t="s">
        <v>51</v>
      </c>
      <c r="C6" s="35" t="s">
        <v>52</v>
      </c>
      <c r="D6" s="35" t="s">
        <v>53</v>
      </c>
      <c r="E6" s="35" t="s">
        <v>54</v>
      </c>
      <c r="F6" s="35" t="s">
        <v>55</v>
      </c>
      <c r="G6" s="35" t="s">
        <v>56</v>
      </c>
      <c r="H6" s="37" t="s">
        <v>57</v>
      </c>
      <c r="I6" s="35" t="s">
        <v>17</v>
      </c>
      <c r="J6" s="35" t="s">
        <v>58</v>
      </c>
      <c r="K6" s="35" t="s">
        <v>59</v>
      </c>
      <c r="L6" s="35" t="s">
        <v>60</v>
      </c>
      <c r="M6" s="35" t="s">
        <v>61</v>
      </c>
      <c r="N6" s="36" t="s">
        <v>62</v>
      </c>
      <c r="O6" s="35" t="s">
        <v>63</v>
      </c>
    </row>
    <row r="7" spans="1:15" ht="15" x14ac:dyDescent="0.25">
      <c r="A7" s="74"/>
      <c r="B7" s="75" t="str">
        <f>EN_A0900!B3</f>
        <v>Engine &amp; Drivetrain</v>
      </c>
      <c r="C7" s="76" t="e">
        <f>EN_A0001</f>
        <v>#NAME?</v>
      </c>
      <c r="D7" s="76" t="s">
        <v>11</v>
      </c>
      <c r="E7" s="76"/>
      <c r="F7" s="77" t="str">
        <f>'[1]BR Assembly'!B4</f>
        <v>Nom de l'assemblage 1</v>
      </c>
      <c r="G7" s="76"/>
      <c r="H7" s="78" t="e">
        <f>SUM(J7:M7)</f>
        <v>#NAME?</v>
      </c>
      <c r="I7" s="79" t="e">
        <f>EN_A0001_q</f>
        <v>#NAME?</v>
      </c>
      <c r="J7" s="80" t="e">
        <f>EN_A0001_m</f>
        <v>#NAME?</v>
      </c>
      <c r="K7" s="80" t="e">
        <f>EN_A0001_p</f>
        <v>#NAME?</v>
      </c>
      <c r="L7" s="80" t="e">
        <f>EN_A0001_f</f>
        <v>#NAME?</v>
      </c>
      <c r="M7" s="80" t="e">
        <f>EN_A0001_t</f>
        <v>#NAME?</v>
      </c>
      <c r="N7" s="81" t="e">
        <f t="shared" ref="N7:N17" si="0">H7*I7</f>
        <v>#NAME?</v>
      </c>
      <c r="O7" s="82"/>
    </row>
    <row r="8" spans="1:15" ht="15" x14ac:dyDescent="0.25">
      <c r="A8" s="83"/>
      <c r="B8" s="84" t="str">
        <f>EN_A0900!$B$3</f>
        <v>Engine &amp; Drivetrain</v>
      </c>
      <c r="C8" s="85" t="e">
        <f>EN_01001</f>
        <v>#NAME?</v>
      </c>
      <c r="D8" s="86" t="s">
        <v>11</v>
      </c>
      <c r="E8" s="86" t="str">
        <f>F7</f>
        <v>Nom de l'assemblage 1</v>
      </c>
      <c r="F8" s="87" t="str">
        <f>EN_0900_001!B5</f>
        <v>Housing</v>
      </c>
      <c r="G8" s="86"/>
      <c r="H8" s="88" t="e">
        <f t="shared" ref="H8:H17" si="1">SUM(J8:M8)</f>
        <v>#NAME?</v>
      </c>
      <c r="I8" s="89" t="e">
        <f>EN_A0001_q*EN_01001_q</f>
        <v>#NAME?</v>
      </c>
      <c r="J8" s="90" t="e">
        <f>EN_01001_m</f>
        <v>#NAME?</v>
      </c>
      <c r="K8" s="90" t="e">
        <f>EN_01001_p</f>
        <v>#NAME?</v>
      </c>
      <c r="L8" s="90" t="e">
        <f>EN_01001_f</f>
        <v>#NAME?</v>
      </c>
      <c r="M8" s="90" t="e">
        <f>EN_01001_t</f>
        <v>#NAME?</v>
      </c>
      <c r="N8" s="91" t="e">
        <f t="shared" si="0"/>
        <v>#NAME?</v>
      </c>
      <c r="O8" s="92"/>
    </row>
    <row r="9" spans="1:15" ht="14.25" x14ac:dyDescent="0.2">
      <c r="A9" s="83"/>
      <c r="B9" s="84" t="str">
        <f>EN_A0900!$B$3</f>
        <v>Engine &amp; Drivetrain</v>
      </c>
      <c r="C9" s="86"/>
      <c r="D9" s="86" t="s">
        <v>11</v>
      </c>
      <c r="E9" s="86"/>
      <c r="F9" s="84"/>
      <c r="G9" s="86"/>
      <c r="H9" s="88">
        <f t="shared" si="1"/>
        <v>0</v>
      </c>
      <c r="I9" s="93"/>
      <c r="J9" s="90"/>
      <c r="K9" s="90"/>
      <c r="L9" s="90"/>
      <c r="M9" s="90"/>
      <c r="N9" s="91">
        <f t="shared" si="0"/>
        <v>0</v>
      </c>
      <c r="O9" s="92"/>
    </row>
    <row r="10" spans="1:15" ht="14.25" x14ac:dyDescent="0.2">
      <c r="A10" s="83"/>
      <c r="B10" s="84" t="str">
        <f>EN_A0900!$B$3</f>
        <v>Engine &amp; Drivetrain</v>
      </c>
      <c r="C10" s="86"/>
      <c r="D10" s="86" t="s">
        <v>11</v>
      </c>
      <c r="E10" s="86"/>
      <c r="F10" s="84"/>
      <c r="G10" s="86"/>
      <c r="H10" s="88">
        <f t="shared" si="1"/>
        <v>0</v>
      </c>
      <c r="I10" s="93"/>
      <c r="J10" s="90"/>
      <c r="K10" s="90"/>
      <c r="L10" s="90"/>
      <c r="M10" s="90"/>
      <c r="N10" s="91">
        <f t="shared" si="0"/>
        <v>0</v>
      </c>
      <c r="O10" s="92"/>
    </row>
    <row r="11" spans="1:15" ht="14.25" x14ac:dyDescent="0.2">
      <c r="A11" s="83"/>
      <c r="B11" s="84" t="str">
        <f>EN_A0900!$B$3</f>
        <v>Engine &amp; Drivetrain</v>
      </c>
      <c r="C11" s="86"/>
      <c r="D11" s="86" t="s">
        <v>11</v>
      </c>
      <c r="E11" s="86"/>
      <c r="F11" s="84"/>
      <c r="G11" s="86"/>
      <c r="H11" s="88">
        <f t="shared" si="1"/>
        <v>0</v>
      </c>
      <c r="I11" s="93"/>
      <c r="J11" s="90"/>
      <c r="K11" s="90"/>
      <c r="L11" s="90"/>
      <c r="M11" s="90"/>
      <c r="N11" s="91">
        <f t="shared" si="0"/>
        <v>0</v>
      </c>
      <c r="O11" s="92"/>
    </row>
    <row r="12" spans="1:15" ht="14.25" x14ac:dyDescent="0.2">
      <c r="A12" s="83"/>
      <c r="B12" s="84" t="str">
        <f>EN_A0900!$B$3</f>
        <v>Engine &amp; Drivetrain</v>
      </c>
      <c r="C12" s="86"/>
      <c r="D12" s="86" t="s">
        <v>11</v>
      </c>
      <c r="E12" s="86"/>
      <c r="F12" s="84"/>
      <c r="G12" s="86"/>
      <c r="H12" s="88">
        <f t="shared" si="1"/>
        <v>0</v>
      </c>
      <c r="I12" s="93"/>
      <c r="J12" s="90"/>
      <c r="K12" s="90"/>
      <c r="L12" s="90"/>
      <c r="M12" s="90"/>
      <c r="N12" s="91">
        <f t="shared" si="0"/>
        <v>0</v>
      </c>
      <c r="O12" s="92"/>
    </row>
    <row r="13" spans="1:15" ht="14.25" x14ac:dyDescent="0.2">
      <c r="A13" s="83"/>
      <c r="B13" s="84" t="str">
        <f>EN_A0900!$B$3</f>
        <v>Engine &amp; Drivetrain</v>
      </c>
      <c r="C13" s="86"/>
      <c r="D13" s="86" t="s">
        <v>11</v>
      </c>
      <c r="E13" s="86"/>
      <c r="F13" s="84"/>
      <c r="G13" s="86"/>
      <c r="H13" s="88">
        <f t="shared" si="1"/>
        <v>0</v>
      </c>
      <c r="I13" s="93"/>
      <c r="J13" s="90"/>
      <c r="K13" s="90"/>
      <c r="L13" s="90"/>
      <c r="M13" s="90"/>
      <c r="N13" s="91">
        <f t="shared" si="0"/>
        <v>0</v>
      </c>
      <c r="O13" s="92"/>
    </row>
    <row r="14" spans="1:15" ht="14.25" x14ac:dyDescent="0.2">
      <c r="A14" s="83"/>
      <c r="B14" s="84" t="str">
        <f>EN_A0900!$B$3</f>
        <v>Engine &amp; Drivetrain</v>
      </c>
      <c r="C14" s="86"/>
      <c r="D14" s="86" t="s">
        <v>11</v>
      </c>
      <c r="E14" s="86"/>
      <c r="F14" s="84"/>
      <c r="G14" s="86"/>
      <c r="H14" s="88">
        <f t="shared" si="1"/>
        <v>0</v>
      </c>
      <c r="I14" s="93"/>
      <c r="J14" s="90"/>
      <c r="K14" s="90"/>
      <c r="L14" s="90"/>
      <c r="M14" s="90"/>
      <c r="N14" s="91">
        <f t="shared" si="0"/>
        <v>0</v>
      </c>
      <c r="O14" s="92"/>
    </row>
    <row r="15" spans="1:15" ht="14.25" x14ac:dyDescent="0.2">
      <c r="A15" s="83"/>
      <c r="B15" s="84" t="str">
        <f>EN_A0900!$B$3</f>
        <v>Engine &amp; Drivetrain</v>
      </c>
      <c r="C15" s="86"/>
      <c r="D15" s="86" t="s">
        <v>11</v>
      </c>
      <c r="E15" s="86"/>
      <c r="F15" s="84"/>
      <c r="G15" s="94"/>
      <c r="H15" s="88">
        <f t="shared" si="1"/>
        <v>0</v>
      </c>
      <c r="I15" s="93"/>
      <c r="J15" s="90"/>
      <c r="K15" s="90"/>
      <c r="L15" s="90"/>
      <c r="M15" s="90"/>
      <c r="N15" s="91">
        <f t="shared" si="0"/>
        <v>0</v>
      </c>
      <c r="O15" s="92"/>
    </row>
    <row r="16" spans="1:15" ht="14.25" x14ac:dyDescent="0.2">
      <c r="A16" s="83"/>
      <c r="B16" s="84" t="str">
        <f>EN_A0900!$B$3</f>
        <v>Engine &amp; Drivetrain</v>
      </c>
      <c r="C16" s="86"/>
      <c r="D16" s="86" t="s">
        <v>11</v>
      </c>
      <c r="E16" s="86"/>
      <c r="F16" s="84"/>
      <c r="G16" s="86"/>
      <c r="H16" s="88">
        <f t="shared" si="1"/>
        <v>0</v>
      </c>
      <c r="I16" s="93"/>
      <c r="J16" s="90"/>
      <c r="K16" s="90"/>
      <c r="L16" s="90"/>
      <c r="M16" s="90"/>
      <c r="N16" s="91">
        <f t="shared" si="0"/>
        <v>0</v>
      </c>
      <c r="O16" s="92"/>
    </row>
    <row r="17" spans="1:15" ht="15" thickBot="1" x14ac:dyDescent="0.25">
      <c r="A17" s="83"/>
      <c r="B17" s="84" t="str">
        <f>EN_A0900!$B$3</f>
        <v>Engine &amp; Drivetrain</v>
      </c>
      <c r="C17" s="86"/>
      <c r="D17" s="86" t="s">
        <v>11</v>
      </c>
      <c r="E17" s="86"/>
      <c r="F17" s="84"/>
      <c r="G17" s="86"/>
      <c r="H17" s="88">
        <f t="shared" si="1"/>
        <v>0</v>
      </c>
      <c r="I17" s="93"/>
      <c r="J17" s="90"/>
      <c r="K17" s="90"/>
      <c r="L17" s="90"/>
      <c r="M17" s="90"/>
      <c r="N17" s="91">
        <f t="shared" si="0"/>
        <v>0</v>
      </c>
      <c r="O17" s="92"/>
    </row>
    <row r="18" spans="1:15" s="12" customFormat="1" ht="15.75" thickTop="1" thickBot="1" x14ac:dyDescent="0.25">
      <c r="A18" s="5"/>
      <c r="B18" s="30" t="str">
        <f>EN_A0900!B3</f>
        <v>Engine &amp; Drivetrain</v>
      </c>
      <c r="C18" s="1"/>
      <c r="D18" s="1"/>
      <c r="E18" s="1"/>
      <c r="F18" s="30" t="s">
        <v>64</v>
      </c>
      <c r="G18" s="1"/>
      <c r="H18" s="3"/>
      <c r="I18" s="4"/>
      <c r="J18" s="73" t="e">
        <f>SUMPRODUCT($I7:$I17,J7:J17)</f>
        <v>#NAME?</v>
      </c>
      <c r="K18" s="73" t="e">
        <f>SUMPRODUCT($I7:$I17,K7:K17)</f>
        <v>#NAME?</v>
      </c>
      <c r="L18" s="73" t="e">
        <f>SUMPRODUCT($I7:$I17,L7:L17)</f>
        <v>#NAME?</v>
      </c>
      <c r="M18" s="73" t="e">
        <f>SUMPRODUCT($I7:$I17,M7:M17)</f>
        <v>#NAME?</v>
      </c>
      <c r="N18" s="73" t="e">
        <f>SUM(N7:N17)</f>
        <v>#NAME?</v>
      </c>
      <c r="O18" s="2"/>
    </row>
    <row r="19" spans="1:15" ht="13.5" thickTop="1" x14ac:dyDescent="0.2">
      <c r="A19" s="11"/>
      <c r="B19" s="31"/>
      <c r="C19" s="13"/>
      <c r="D19" s="13"/>
      <c r="E19" s="13"/>
      <c r="F19" s="13"/>
      <c r="G19" s="13"/>
      <c r="H19" s="8"/>
      <c r="I19" s="13"/>
      <c r="J19" s="13"/>
      <c r="K19" s="13"/>
      <c r="L19" s="13"/>
      <c r="M19" s="13"/>
      <c r="N19" s="13"/>
    </row>
    <row r="20" spans="1:15" x14ac:dyDescent="0.2">
      <c r="A20" s="11"/>
      <c r="B20" s="31"/>
      <c r="C20" s="13"/>
      <c r="D20" s="13"/>
      <c r="E20" s="13"/>
      <c r="F20" s="13"/>
      <c r="G20" s="13"/>
      <c r="H20" s="8"/>
      <c r="I20" s="13"/>
      <c r="J20" s="13"/>
      <c r="K20" s="13"/>
      <c r="L20" s="13"/>
      <c r="M20" s="13"/>
      <c r="N20" s="13"/>
    </row>
    <row r="21" spans="1:15" x14ac:dyDescent="0.2">
      <c r="A21" s="11"/>
      <c r="B21" s="11"/>
      <c r="D21" s="13"/>
      <c r="E21" s="13"/>
      <c r="G21" s="13"/>
      <c r="H21" s="13"/>
      <c r="I21" s="8"/>
      <c r="J21" s="8"/>
      <c r="K21" s="8"/>
      <c r="L21" s="8"/>
      <c r="M21" s="8"/>
      <c r="N21" s="13"/>
    </row>
    <row r="22" spans="1:15" x14ac:dyDescent="0.2">
      <c r="A22" s="11"/>
      <c r="B22" s="11"/>
      <c r="D22" s="13"/>
      <c r="E22" s="13"/>
      <c r="G22" s="13"/>
      <c r="H22" s="13"/>
      <c r="I22" s="8"/>
      <c r="J22" s="8"/>
      <c r="K22" s="8"/>
      <c r="L22" s="8"/>
      <c r="M22" s="8"/>
      <c r="N22" s="34"/>
    </row>
    <row r="23" spans="1:15" x14ac:dyDescent="0.2">
      <c r="A23" s="11"/>
      <c r="B23" s="11"/>
      <c r="D23" s="13"/>
      <c r="E23" s="13"/>
      <c r="G23" s="13"/>
      <c r="H23" s="13"/>
      <c r="I23" s="8"/>
      <c r="J23" s="8"/>
      <c r="K23" s="8"/>
      <c r="L23" s="8"/>
      <c r="M23" s="8"/>
      <c r="N23" s="13"/>
    </row>
    <row r="24" spans="1:15" x14ac:dyDescent="0.2">
      <c r="A24" s="11"/>
      <c r="B24" s="11"/>
      <c r="D24" s="13"/>
      <c r="E24" s="13"/>
      <c r="G24" s="13"/>
      <c r="H24" s="13"/>
      <c r="I24" s="8"/>
      <c r="J24" s="8"/>
      <c r="K24" s="8"/>
      <c r="L24" s="8"/>
      <c r="M24" s="8"/>
      <c r="N24" s="34"/>
    </row>
    <row r="25" spans="1:15" x14ac:dyDescent="0.2">
      <c r="A25" s="11"/>
      <c r="B25" s="11"/>
      <c r="D25" s="13"/>
      <c r="E25" s="13"/>
      <c r="G25" s="13"/>
      <c r="H25" s="13"/>
      <c r="I25" s="8"/>
      <c r="J25" s="8"/>
      <c r="K25" s="8"/>
      <c r="L25" s="8"/>
      <c r="M25" s="8"/>
      <c r="N25" s="13"/>
    </row>
    <row r="26" spans="1:15" x14ac:dyDescent="0.2">
      <c r="A26" s="11"/>
      <c r="B26" s="11"/>
      <c r="D26" s="13"/>
      <c r="E26" s="13"/>
      <c r="G26" s="13"/>
      <c r="H26" s="13"/>
      <c r="I26" s="8"/>
      <c r="J26" s="8"/>
      <c r="K26" s="8"/>
      <c r="L26" s="8"/>
      <c r="M26" s="8"/>
      <c r="N26" s="13"/>
    </row>
    <row r="27" spans="1:15" x14ac:dyDescent="0.2">
      <c r="A27" s="11"/>
      <c r="B27" s="11"/>
      <c r="D27" s="13"/>
      <c r="E27" s="13"/>
      <c r="G27" s="13"/>
      <c r="H27" s="13"/>
      <c r="I27" s="8"/>
      <c r="J27" s="8"/>
      <c r="K27" s="8"/>
      <c r="L27" s="8"/>
      <c r="M27" s="8"/>
      <c r="N27" s="13"/>
    </row>
    <row r="28" spans="1:15" x14ac:dyDescent="0.2">
      <c r="A28" s="11"/>
      <c r="B28" s="11"/>
      <c r="D28" s="13"/>
      <c r="E28" s="13"/>
      <c r="G28" s="13"/>
      <c r="H28" s="13"/>
      <c r="I28" s="8"/>
      <c r="J28" s="8"/>
      <c r="K28" s="8"/>
      <c r="L28" s="8"/>
      <c r="M28" s="8"/>
      <c r="N28" s="13"/>
    </row>
    <row r="29" spans="1:15" x14ac:dyDescent="0.2">
      <c r="A29" s="11"/>
      <c r="B29" s="11"/>
      <c r="D29" s="13"/>
      <c r="E29" s="13"/>
      <c r="G29" s="13"/>
      <c r="H29" s="13"/>
      <c r="I29" s="8"/>
      <c r="J29" s="8"/>
      <c r="K29" s="8"/>
      <c r="L29" s="8"/>
      <c r="M29" s="8"/>
      <c r="N29" s="13"/>
    </row>
    <row r="30" spans="1:15" x14ac:dyDescent="0.2">
      <c r="A30" s="11"/>
      <c r="B30" s="11"/>
      <c r="D30" s="13"/>
      <c r="E30" s="13"/>
      <c r="G30" s="13"/>
      <c r="H30" s="13"/>
      <c r="I30" s="8"/>
      <c r="J30" s="8"/>
      <c r="K30" s="8"/>
      <c r="L30" s="8"/>
      <c r="M30" s="8"/>
      <c r="N30" s="13"/>
    </row>
    <row r="31" spans="1:15" x14ac:dyDescent="0.2">
      <c r="A31" s="11"/>
      <c r="B31" s="11"/>
      <c r="D31" s="13"/>
      <c r="E31" s="13"/>
      <c r="G31" s="13"/>
      <c r="H31" s="13"/>
      <c r="I31" s="8"/>
      <c r="J31" s="8"/>
      <c r="K31" s="8"/>
      <c r="L31" s="8"/>
      <c r="M31" s="8"/>
      <c r="N31" s="13"/>
    </row>
    <row r="32" spans="1:15" x14ac:dyDescent="0.2">
      <c r="A32" s="11"/>
      <c r="B32" s="11"/>
      <c r="D32" s="13"/>
      <c r="E32" s="13"/>
      <c r="G32" s="13"/>
      <c r="H32" s="13"/>
      <c r="I32" s="8"/>
      <c r="J32" s="8"/>
      <c r="K32" s="8"/>
      <c r="L32" s="8"/>
      <c r="M32" s="8"/>
      <c r="N32" s="13"/>
    </row>
    <row r="33" spans="1:14" x14ac:dyDescent="0.2">
      <c r="A33" s="11"/>
      <c r="B33" s="11"/>
      <c r="D33" s="13"/>
      <c r="E33" s="13"/>
      <c r="G33" s="13"/>
      <c r="H33" s="13"/>
      <c r="I33" s="8"/>
      <c r="J33" s="8"/>
      <c r="K33" s="8"/>
      <c r="L33" s="8"/>
      <c r="M33" s="8"/>
      <c r="N33" s="13"/>
    </row>
    <row r="34" spans="1:14" x14ac:dyDescent="0.2">
      <c r="A34" s="11"/>
      <c r="B34" s="11"/>
      <c r="D34" s="13"/>
      <c r="E34" s="13"/>
      <c r="G34" s="13"/>
      <c r="H34" s="13"/>
      <c r="I34" s="8"/>
      <c r="J34" s="8"/>
      <c r="K34" s="8"/>
      <c r="L34" s="8"/>
      <c r="M34" s="8"/>
      <c r="N34" s="13"/>
    </row>
    <row r="35" spans="1:14" x14ac:dyDescent="0.2">
      <c r="A35" s="11"/>
      <c r="B35" s="11"/>
      <c r="D35" s="13"/>
      <c r="E35" s="13"/>
      <c r="G35" s="13"/>
      <c r="H35" s="13"/>
      <c r="I35" s="8"/>
      <c r="J35" s="8"/>
      <c r="K35" s="8"/>
      <c r="L35" s="8"/>
      <c r="M35" s="8"/>
      <c r="N35" s="13"/>
    </row>
    <row r="36" spans="1:14" x14ac:dyDescent="0.2">
      <c r="A36" s="11"/>
      <c r="B36" s="11"/>
      <c r="D36" s="13"/>
      <c r="E36" s="13"/>
      <c r="G36" s="13"/>
      <c r="H36" s="13"/>
      <c r="I36" s="8"/>
      <c r="J36" s="8"/>
      <c r="K36" s="8"/>
      <c r="L36" s="8"/>
      <c r="M36" s="8"/>
      <c r="N36" s="13"/>
    </row>
    <row r="37" spans="1:14" x14ac:dyDescent="0.2">
      <c r="A37" s="11"/>
      <c r="B37" s="11"/>
      <c r="D37" s="13"/>
      <c r="E37" s="13"/>
      <c r="G37" s="13"/>
      <c r="H37" s="13"/>
      <c r="I37" s="8"/>
      <c r="J37" s="8"/>
      <c r="K37" s="8"/>
      <c r="L37" s="8"/>
      <c r="M37" s="8"/>
      <c r="N37" s="13"/>
    </row>
    <row r="38" spans="1:14" x14ac:dyDescent="0.2">
      <c r="A38" s="11"/>
      <c r="B38" s="11"/>
      <c r="D38" s="13"/>
      <c r="E38" s="13"/>
      <c r="G38" s="13"/>
      <c r="H38" s="13"/>
      <c r="I38" s="8"/>
      <c r="J38" s="8"/>
      <c r="K38" s="8"/>
      <c r="L38" s="8"/>
      <c r="M38" s="8"/>
      <c r="N38" s="13"/>
    </row>
    <row r="39" spans="1:14" x14ac:dyDescent="0.2">
      <c r="A39" s="11"/>
      <c r="B39" s="11"/>
      <c r="D39" s="13"/>
      <c r="E39" s="13"/>
      <c r="G39" s="13"/>
      <c r="H39" s="13"/>
      <c r="I39" s="8"/>
      <c r="J39" s="8"/>
      <c r="K39" s="8"/>
      <c r="L39" s="8"/>
      <c r="M39" s="8"/>
      <c r="N39" s="13"/>
    </row>
    <row r="40" spans="1:14" x14ac:dyDescent="0.2">
      <c r="A40" s="11"/>
      <c r="B40" s="11"/>
      <c r="D40" s="13"/>
      <c r="E40" s="13"/>
      <c r="G40" s="13"/>
      <c r="H40" s="13"/>
      <c r="I40" s="8"/>
      <c r="J40" s="8"/>
      <c r="K40" s="8"/>
      <c r="L40" s="8"/>
      <c r="M40" s="8"/>
      <c r="N40" s="13"/>
    </row>
    <row r="41" spans="1:14" x14ac:dyDescent="0.2">
      <c r="A41" s="11"/>
      <c r="B41" s="11"/>
      <c r="D41" s="13"/>
      <c r="E41" s="13"/>
      <c r="G41" s="13"/>
      <c r="H41" s="13"/>
      <c r="I41" s="8"/>
      <c r="J41" s="8"/>
      <c r="K41" s="8"/>
      <c r="L41" s="8"/>
      <c r="M41" s="8"/>
      <c r="N41" s="13"/>
    </row>
    <row r="42" spans="1:14" x14ac:dyDescent="0.2">
      <c r="A42" s="11"/>
      <c r="B42" s="11"/>
      <c r="D42" s="13"/>
      <c r="E42" s="13"/>
      <c r="G42" s="13"/>
      <c r="H42" s="13"/>
      <c r="I42" s="8"/>
      <c r="J42" s="8"/>
      <c r="K42" s="8"/>
      <c r="L42" s="8"/>
      <c r="M42" s="8"/>
      <c r="N42" s="13"/>
    </row>
    <row r="43" spans="1:14" x14ac:dyDescent="0.2">
      <c r="A43" s="11"/>
      <c r="B43" s="11"/>
      <c r="D43" s="13"/>
      <c r="E43" s="13"/>
      <c r="G43" s="13"/>
      <c r="H43" s="13"/>
      <c r="I43" s="8"/>
      <c r="J43" s="8"/>
      <c r="K43" s="8"/>
      <c r="L43" s="8"/>
      <c r="M43" s="8"/>
      <c r="N43" s="13"/>
    </row>
    <row r="44" spans="1:14" x14ac:dyDescent="0.2">
      <c r="A44" s="11"/>
      <c r="B44" s="11"/>
      <c r="D44" s="13"/>
      <c r="E44" s="13"/>
      <c r="G44" s="13"/>
      <c r="H44" s="13"/>
      <c r="I44" s="8"/>
      <c r="J44" s="8"/>
      <c r="K44" s="8"/>
      <c r="L44" s="8"/>
      <c r="M44" s="8"/>
      <c r="N44" s="13"/>
    </row>
    <row r="45" spans="1:14" x14ac:dyDescent="0.2">
      <c r="A45" s="11"/>
      <c r="B45" s="11"/>
      <c r="D45" s="13"/>
      <c r="E45" s="13"/>
      <c r="G45" s="13"/>
      <c r="H45" s="13"/>
      <c r="I45" s="8"/>
      <c r="J45" s="8"/>
      <c r="K45" s="8"/>
      <c r="L45" s="8"/>
      <c r="M45" s="8"/>
      <c r="N45" s="13"/>
    </row>
    <row r="46" spans="1:14" x14ac:dyDescent="0.2">
      <c r="A46" s="11"/>
      <c r="B46" s="11"/>
      <c r="D46" s="13"/>
      <c r="E46" s="13"/>
      <c r="G46" s="13"/>
      <c r="H46" s="13"/>
      <c r="I46" s="8"/>
      <c r="J46" s="8"/>
      <c r="K46" s="8"/>
      <c r="L46" s="8"/>
      <c r="M46" s="8"/>
      <c r="N46" s="13"/>
    </row>
    <row r="47" spans="1:14" x14ac:dyDescent="0.2">
      <c r="A47" s="11"/>
      <c r="B47" s="11"/>
      <c r="D47" s="13"/>
      <c r="E47" s="13"/>
      <c r="G47" s="13"/>
      <c r="H47" s="13"/>
      <c r="I47" s="8"/>
      <c r="J47" s="8"/>
      <c r="K47" s="8"/>
      <c r="L47" s="8"/>
      <c r="M47" s="8"/>
      <c r="N47" s="13"/>
    </row>
    <row r="48" spans="1:14" x14ac:dyDescent="0.2">
      <c r="A48" s="11"/>
      <c r="B48" s="11"/>
      <c r="D48" s="13"/>
      <c r="E48" s="13"/>
      <c r="G48" s="13"/>
      <c r="H48" s="13"/>
      <c r="I48" s="8"/>
      <c r="J48" s="8"/>
      <c r="K48" s="8"/>
      <c r="L48" s="8"/>
      <c r="M48" s="8"/>
      <c r="N48" s="13"/>
    </row>
    <row r="49" spans="1:14" s="9" customFormat="1" x14ac:dyDescent="0.2">
      <c r="A49" s="7"/>
      <c r="B49" s="11"/>
      <c r="F49" s="31"/>
      <c r="I49" s="6"/>
      <c r="J49" s="6"/>
      <c r="K49" s="6"/>
      <c r="L49" s="6"/>
      <c r="M49" s="6"/>
    </row>
    <row r="50" spans="1:14" s="9" customFormat="1" x14ac:dyDescent="0.2">
      <c r="A50" s="7"/>
      <c r="B50" s="11"/>
      <c r="F50" s="31"/>
      <c r="I50" s="6"/>
      <c r="J50" s="6"/>
      <c r="K50" s="6"/>
      <c r="L50" s="6"/>
      <c r="M50" s="6"/>
    </row>
    <row r="51" spans="1:14" s="9" customFormat="1" x14ac:dyDescent="0.2">
      <c r="A51" s="7"/>
      <c r="B51" s="11"/>
      <c r="F51" s="31"/>
      <c r="I51" s="6"/>
      <c r="J51" s="6"/>
      <c r="K51" s="6"/>
      <c r="L51" s="6"/>
      <c r="M51" s="6"/>
    </row>
    <row r="52" spans="1:14" s="9" customFormat="1" x14ac:dyDescent="0.2">
      <c r="A52" s="7"/>
      <c r="B52" s="11"/>
      <c r="F52" s="31"/>
      <c r="I52" s="6"/>
      <c r="J52" s="6"/>
      <c r="K52" s="6"/>
      <c r="L52" s="6"/>
      <c r="M52" s="6"/>
    </row>
    <row r="53" spans="1:14" s="9" customFormat="1" x14ac:dyDescent="0.2">
      <c r="A53" s="7"/>
      <c r="B53" s="11"/>
      <c r="F53" s="31"/>
      <c r="I53" s="6"/>
      <c r="J53" s="6"/>
      <c r="K53" s="6"/>
      <c r="L53" s="6"/>
      <c r="M53" s="6"/>
    </row>
    <row r="54" spans="1:14" s="9" customFormat="1" x14ac:dyDescent="0.2">
      <c r="A54" s="7"/>
      <c r="B54" s="11"/>
      <c r="F54" s="31"/>
      <c r="I54" s="6"/>
      <c r="J54" s="6"/>
      <c r="K54" s="6"/>
      <c r="L54" s="6"/>
      <c r="M54" s="6"/>
    </row>
    <row r="55" spans="1:14" s="9" customFormat="1" x14ac:dyDescent="0.2">
      <c r="A55" s="7"/>
      <c r="B55" s="11"/>
      <c r="F55" s="31"/>
      <c r="I55" s="6"/>
      <c r="J55" s="6"/>
      <c r="K55" s="6"/>
      <c r="L55" s="6"/>
      <c r="M55" s="6"/>
    </row>
    <row r="56" spans="1:14" s="9" customFormat="1" x14ac:dyDescent="0.2">
      <c r="A56" s="7"/>
      <c r="B56" s="11"/>
      <c r="F56" s="31"/>
      <c r="I56" s="6"/>
      <c r="J56" s="6"/>
      <c r="K56" s="6"/>
      <c r="L56" s="6"/>
      <c r="M56" s="6"/>
    </row>
    <row r="57" spans="1:14" s="9" customFormat="1" x14ac:dyDescent="0.2">
      <c r="A57" s="7"/>
      <c r="B57" s="11"/>
      <c r="F57" s="31"/>
      <c r="I57" s="6"/>
      <c r="J57" s="6"/>
      <c r="K57" s="6"/>
      <c r="L57" s="6"/>
      <c r="M57" s="6"/>
    </row>
    <row r="58" spans="1:14" s="9" customFormat="1" x14ac:dyDescent="0.2">
      <c r="A58" s="7"/>
      <c r="B58" s="11"/>
      <c r="F58" s="31"/>
      <c r="I58" s="6"/>
      <c r="J58" s="6"/>
      <c r="K58" s="6"/>
      <c r="L58" s="6"/>
      <c r="M58" s="6"/>
    </row>
    <row r="59" spans="1:14" s="10" customFormat="1" x14ac:dyDescent="0.2">
      <c r="A59" s="7"/>
      <c r="B59" s="11"/>
      <c r="C59" s="9"/>
      <c r="D59" s="9"/>
      <c r="E59" s="9"/>
      <c r="F59" s="31"/>
      <c r="G59" s="9"/>
      <c r="H59" s="9"/>
      <c r="I59" s="6"/>
      <c r="J59" s="6"/>
      <c r="K59" s="6"/>
      <c r="L59" s="6"/>
      <c r="M59" s="6"/>
      <c r="N59" s="9"/>
    </row>
    <row r="60" spans="1:14" s="10" customFormat="1" x14ac:dyDescent="0.2">
      <c r="A60" s="7"/>
      <c r="B60" s="11"/>
      <c r="C60" s="9"/>
      <c r="D60" s="9"/>
      <c r="E60" s="9"/>
      <c r="F60" s="31"/>
      <c r="G60" s="9"/>
      <c r="H60" s="9"/>
      <c r="I60" s="6"/>
      <c r="J60" s="6"/>
      <c r="K60" s="6"/>
      <c r="L60" s="6"/>
      <c r="M60" s="6"/>
      <c r="N60" s="9"/>
    </row>
    <row r="61" spans="1:14" s="10" customFormat="1" x14ac:dyDescent="0.2">
      <c r="A61" s="7"/>
      <c r="B61" s="11"/>
      <c r="C61" s="9"/>
      <c r="D61" s="9"/>
      <c r="E61" s="9"/>
      <c r="F61" s="31"/>
      <c r="G61" s="9"/>
      <c r="H61" s="9"/>
      <c r="I61" s="6"/>
      <c r="J61" s="6"/>
      <c r="K61" s="6"/>
      <c r="L61" s="6"/>
      <c r="M61" s="6"/>
      <c r="N61" s="9"/>
    </row>
    <row r="62" spans="1:14" s="10" customFormat="1" x14ac:dyDescent="0.2">
      <c r="A62" s="7"/>
      <c r="B62" s="11"/>
      <c r="C62" s="9"/>
      <c r="D62" s="9"/>
      <c r="E62" s="9"/>
      <c r="F62" s="31"/>
      <c r="G62" s="9"/>
      <c r="H62" s="9"/>
      <c r="I62" s="6"/>
      <c r="J62" s="6"/>
      <c r="K62" s="6"/>
      <c r="L62" s="6"/>
      <c r="M62" s="6"/>
      <c r="N62" s="9"/>
    </row>
    <row r="63" spans="1:14" s="10" customFormat="1" x14ac:dyDescent="0.2">
      <c r="A63" s="7"/>
      <c r="B63" s="11"/>
      <c r="C63" s="9"/>
      <c r="D63" s="9"/>
      <c r="E63" s="9"/>
      <c r="F63" s="31"/>
      <c r="G63" s="9"/>
      <c r="H63" s="9"/>
      <c r="I63" s="6"/>
      <c r="J63" s="6"/>
      <c r="K63" s="6"/>
      <c r="L63" s="6"/>
      <c r="M63" s="6"/>
      <c r="N63" s="9"/>
    </row>
    <row r="64" spans="1:14" s="10" customFormat="1" x14ac:dyDescent="0.2">
      <c r="A64" s="7"/>
      <c r="B64" s="11"/>
      <c r="C64" s="9"/>
      <c r="D64" s="9"/>
      <c r="E64" s="9"/>
      <c r="F64" s="31"/>
      <c r="G64" s="9"/>
      <c r="H64" s="9"/>
      <c r="I64" s="6"/>
      <c r="J64" s="6"/>
      <c r="K64" s="6"/>
      <c r="L64" s="6"/>
      <c r="M64" s="6"/>
      <c r="N64" s="9"/>
    </row>
    <row r="65" spans="1:14" s="10" customFormat="1" x14ac:dyDescent="0.2">
      <c r="A65" s="7"/>
      <c r="B65" s="11"/>
      <c r="C65" s="9"/>
      <c r="D65" s="9"/>
      <c r="E65" s="9"/>
      <c r="F65" s="31"/>
      <c r="G65" s="9"/>
      <c r="H65" s="9"/>
      <c r="I65" s="6"/>
      <c r="J65" s="6"/>
      <c r="K65" s="6"/>
      <c r="L65" s="6"/>
      <c r="M65" s="6"/>
      <c r="N65" s="9"/>
    </row>
    <row r="66" spans="1:14" s="10" customFormat="1" x14ac:dyDescent="0.2">
      <c r="A66" s="7"/>
      <c r="B66" s="11"/>
      <c r="C66" s="9"/>
      <c r="D66" s="9"/>
      <c r="E66" s="9"/>
      <c r="F66" s="31"/>
      <c r="G66" s="9"/>
      <c r="H66" s="9"/>
      <c r="I66" s="6"/>
      <c r="J66" s="6"/>
      <c r="K66" s="6"/>
      <c r="L66" s="6"/>
      <c r="M66" s="6"/>
      <c r="N66" s="9"/>
    </row>
    <row r="67" spans="1:14" s="10" customFormat="1" x14ac:dyDescent="0.2">
      <c r="A67" s="7"/>
      <c r="B67" s="11"/>
      <c r="C67" s="9"/>
      <c r="D67" s="9"/>
      <c r="E67" s="9"/>
      <c r="F67" s="31"/>
      <c r="G67" s="9"/>
      <c r="H67" s="9"/>
      <c r="I67" s="6"/>
      <c r="J67" s="6"/>
      <c r="K67" s="6"/>
      <c r="L67" s="6"/>
      <c r="M67" s="6"/>
      <c r="N67" s="9"/>
    </row>
    <row r="68" spans="1:14" s="10" customFormat="1" x14ac:dyDescent="0.2">
      <c r="A68" s="7"/>
      <c r="B68" s="11"/>
      <c r="C68" s="9"/>
      <c r="D68" s="9"/>
      <c r="E68" s="9"/>
      <c r="F68" s="31"/>
      <c r="G68" s="9"/>
      <c r="H68" s="9"/>
      <c r="I68" s="6"/>
      <c r="J68" s="6"/>
      <c r="K68" s="6"/>
      <c r="L68" s="6"/>
      <c r="M68" s="6"/>
      <c r="N68" s="9"/>
    </row>
    <row r="69" spans="1:14" s="10" customFormat="1" x14ac:dyDescent="0.2">
      <c r="A69" s="7"/>
      <c r="B69" s="11"/>
      <c r="C69" s="9"/>
      <c r="D69" s="9"/>
      <c r="E69" s="9"/>
      <c r="F69" s="31"/>
      <c r="G69" s="9"/>
      <c r="H69" s="9"/>
      <c r="I69" s="6"/>
      <c r="J69" s="6"/>
      <c r="K69" s="6"/>
      <c r="L69" s="6"/>
      <c r="M69" s="6"/>
      <c r="N69" s="9"/>
    </row>
    <row r="70" spans="1:14" s="10" customFormat="1" x14ac:dyDescent="0.2">
      <c r="A70" s="7"/>
      <c r="B70" s="11"/>
      <c r="C70" s="9"/>
      <c r="D70" s="9"/>
      <c r="E70" s="9"/>
      <c r="F70" s="31"/>
      <c r="G70" s="9"/>
      <c r="H70" s="9"/>
      <c r="I70" s="6"/>
      <c r="J70" s="6"/>
      <c r="K70" s="6"/>
      <c r="L70" s="6"/>
      <c r="M70" s="6"/>
      <c r="N70" s="9"/>
    </row>
    <row r="71" spans="1:14" s="10" customFormat="1" x14ac:dyDescent="0.2">
      <c r="A71" s="7"/>
      <c r="B71" s="11"/>
      <c r="C71" s="9"/>
      <c r="D71" s="9"/>
      <c r="E71" s="9"/>
      <c r="F71" s="31"/>
      <c r="G71" s="9"/>
      <c r="H71" s="9"/>
      <c r="I71" s="6"/>
      <c r="J71" s="6"/>
      <c r="K71" s="6"/>
      <c r="L71" s="6"/>
      <c r="M71" s="6"/>
      <c r="N71" s="9"/>
    </row>
    <row r="72" spans="1:14" s="10" customFormat="1" x14ac:dyDescent="0.2">
      <c r="A72" s="7"/>
      <c r="B72" s="11"/>
      <c r="C72" s="9"/>
      <c r="D72" s="9"/>
      <c r="E72" s="9"/>
      <c r="F72" s="31"/>
      <c r="G72" s="9"/>
      <c r="H72" s="9"/>
      <c r="I72" s="6"/>
      <c r="J72" s="6"/>
      <c r="K72" s="6"/>
      <c r="L72" s="6"/>
      <c r="M72" s="6"/>
      <c r="N72" s="9"/>
    </row>
    <row r="73" spans="1:14" s="10" customFormat="1" x14ac:dyDescent="0.2">
      <c r="A73" s="7"/>
      <c r="B73" s="11"/>
      <c r="C73" s="9"/>
      <c r="D73" s="9"/>
      <c r="E73" s="9"/>
      <c r="F73" s="31"/>
      <c r="G73" s="9"/>
      <c r="H73" s="9"/>
      <c r="I73" s="6"/>
      <c r="J73" s="6"/>
      <c r="K73" s="6"/>
      <c r="L73" s="6"/>
      <c r="M73" s="6"/>
      <c r="N73" s="9"/>
    </row>
    <row r="74" spans="1:14" s="10" customFormat="1" x14ac:dyDescent="0.2">
      <c r="A74" s="7"/>
      <c r="B74" s="11"/>
      <c r="C74" s="9"/>
      <c r="D74" s="9"/>
      <c r="E74" s="9"/>
      <c r="F74" s="31"/>
      <c r="G74" s="9"/>
      <c r="H74" s="9"/>
      <c r="I74" s="6"/>
      <c r="J74" s="6"/>
      <c r="K74" s="6"/>
      <c r="L74" s="6"/>
      <c r="M74" s="6"/>
      <c r="N74" s="9"/>
    </row>
    <row r="75" spans="1:14" s="10" customFormat="1" x14ac:dyDescent="0.2">
      <c r="A75" s="7"/>
      <c r="B75" s="11"/>
      <c r="C75" s="9"/>
      <c r="D75" s="9"/>
      <c r="E75" s="9"/>
      <c r="F75" s="31"/>
      <c r="G75" s="9"/>
      <c r="H75" s="9"/>
      <c r="I75" s="6"/>
      <c r="J75" s="6"/>
      <c r="K75" s="6"/>
      <c r="L75" s="6"/>
      <c r="M75" s="6"/>
      <c r="N75" s="9"/>
    </row>
    <row r="76" spans="1:14" s="10" customFormat="1" x14ac:dyDescent="0.2">
      <c r="A76" s="7"/>
      <c r="B76" s="11"/>
      <c r="C76" s="9"/>
      <c r="D76" s="9"/>
      <c r="E76" s="9"/>
      <c r="F76" s="31"/>
      <c r="G76" s="9"/>
      <c r="H76" s="9"/>
      <c r="I76" s="6"/>
      <c r="J76" s="6"/>
      <c r="K76" s="6"/>
      <c r="L76" s="6"/>
      <c r="M76" s="6"/>
      <c r="N76" s="9"/>
    </row>
    <row r="77" spans="1:14" s="10" customFormat="1" x14ac:dyDescent="0.2">
      <c r="A77" s="7"/>
      <c r="B77" s="11"/>
      <c r="C77" s="9"/>
      <c r="D77" s="9"/>
      <c r="E77" s="9"/>
      <c r="F77" s="31"/>
      <c r="G77" s="9"/>
      <c r="H77" s="9"/>
      <c r="I77" s="6"/>
      <c r="J77" s="6"/>
      <c r="K77" s="6"/>
      <c r="L77" s="6"/>
      <c r="M77" s="6"/>
      <c r="N77" s="9"/>
    </row>
    <row r="78" spans="1:14" s="10" customFormat="1" x14ac:dyDescent="0.2">
      <c r="A78" s="7"/>
      <c r="B78" s="11"/>
      <c r="C78" s="9"/>
      <c r="D78" s="9"/>
      <c r="E78" s="9"/>
      <c r="F78" s="31"/>
      <c r="G78" s="9"/>
      <c r="H78" s="9"/>
      <c r="I78" s="6"/>
      <c r="J78" s="6"/>
      <c r="K78" s="6"/>
      <c r="L78" s="6"/>
      <c r="M78" s="6"/>
      <c r="N78" s="9"/>
    </row>
    <row r="79" spans="1:14" s="10" customFormat="1" x14ac:dyDescent="0.2">
      <c r="A79" s="7"/>
      <c r="B79" s="11"/>
      <c r="C79" s="9"/>
      <c r="D79" s="9"/>
      <c r="E79" s="9"/>
      <c r="F79" s="31"/>
      <c r="G79" s="9"/>
      <c r="H79" s="9"/>
      <c r="I79" s="6"/>
      <c r="J79" s="6"/>
      <c r="K79" s="6"/>
      <c r="L79" s="6"/>
      <c r="M79" s="6"/>
      <c r="N79" s="9"/>
    </row>
    <row r="80" spans="1:14" s="10" customFormat="1" x14ac:dyDescent="0.2">
      <c r="A80" s="7"/>
      <c r="B80" s="11"/>
      <c r="C80" s="9"/>
      <c r="D80" s="9"/>
      <c r="E80" s="9"/>
      <c r="F80" s="31"/>
      <c r="G80" s="9"/>
      <c r="H80" s="9"/>
      <c r="I80" s="6"/>
      <c r="J80" s="6"/>
      <c r="K80" s="6"/>
      <c r="L80" s="6"/>
      <c r="M80" s="6"/>
      <c r="N80" s="9"/>
    </row>
    <row r="81" spans="1:14" s="10" customFormat="1" x14ac:dyDescent="0.2">
      <c r="A81" s="7"/>
      <c r="B81" s="11"/>
      <c r="C81" s="9"/>
      <c r="D81" s="9"/>
      <c r="E81" s="9"/>
      <c r="F81" s="31"/>
      <c r="G81" s="9"/>
      <c r="H81" s="9"/>
      <c r="I81" s="6"/>
      <c r="J81" s="6"/>
      <c r="K81" s="6"/>
      <c r="L81" s="6"/>
      <c r="M81" s="6"/>
      <c r="N81" s="9"/>
    </row>
    <row r="82" spans="1:14" s="10" customFormat="1" x14ac:dyDescent="0.2">
      <c r="A82" s="7"/>
      <c r="B82" s="11"/>
      <c r="C82" s="9"/>
      <c r="D82" s="9"/>
      <c r="E82" s="9"/>
      <c r="F82" s="31"/>
      <c r="G82" s="9"/>
      <c r="H82" s="9"/>
      <c r="I82" s="6"/>
      <c r="J82" s="6"/>
      <c r="K82" s="6"/>
      <c r="L82" s="6"/>
      <c r="M82" s="6"/>
      <c r="N82" s="9"/>
    </row>
    <row r="83" spans="1:14" s="10" customFormat="1" x14ac:dyDescent="0.2">
      <c r="A83" s="7"/>
      <c r="B83" s="11"/>
      <c r="C83" s="9"/>
      <c r="D83" s="9"/>
      <c r="E83" s="9"/>
      <c r="F83" s="31"/>
      <c r="G83" s="9"/>
      <c r="H83" s="9"/>
      <c r="I83" s="6"/>
      <c r="J83" s="6"/>
      <c r="K83" s="6"/>
      <c r="L83" s="6"/>
      <c r="M83" s="6"/>
      <c r="N83" s="9"/>
    </row>
    <row r="84" spans="1:14" s="10" customFormat="1" x14ac:dyDescent="0.2">
      <c r="A84" s="7"/>
      <c r="B84" s="11"/>
      <c r="C84" s="9"/>
      <c r="D84" s="9"/>
      <c r="E84" s="9"/>
      <c r="F84" s="31"/>
      <c r="G84" s="9"/>
      <c r="H84" s="9"/>
      <c r="I84" s="6"/>
      <c r="J84" s="6"/>
      <c r="K84" s="6"/>
      <c r="L84" s="6"/>
      <c r="M84" s="6"/>
      <c r="N84" s="9"/>
    </row>
    <row r="85" spans="1:14" s="10" customFormat="1" x14ac:dyDescent="0.2">
      <c r="A85" s="7"/>
      <c r="B85" s="11"/>
      <c r="C85" s="9"/>
      <c r="D85" s="9"/>
      <c r="E85" s="9"/>
      <c r="F85" s="31"/>
      <c r="G85" s="9"/>
      <c r="H85" s="9"/>
      <c r="I85" s="6"/>
      <c r="J85" s="6"/>
      <c r="K85" s="6"/>
      <c r="L85" s="6"/>
      <c r="M85" s="6"/>
      <c r="N85" s="9"/>
    </row>
    <row r="86" spans="1:14" s="10" customFormat="1" x14ac:dyDescent="0.2">
      <c r="A86" s="7"/>
      <c r="B86" s="11"/>
      <c r="C86" s="9"/>
      <c r="D86" s="9"/>
      <c r="E86" s="9"/>
      <c r="F86" s="31"/>
      <c r="G86" s="9"/>
      <c r="H86" s="9"/>
      <c r="I86" s="6"/>
      <c r="J86" s="6"/>
      <c r="K86" s="6"/>
      <c r="L86" s="6"/>
      <c r="M86" s="6"/>
      <c r="N86" s="9"/>
    </row>
    <row r="87" spans="1:14" s="10" customFormat="1" x14ac:dyDescent="0.2">
      <c r="A87" s="7"/>
      <c r="B87" s="11"/>
      <c r="C87" s="9"/>
      <c r="D87" s="9"/>
      <c r="E87" s="9"/>
      <c r="F87" s="31"/>
      <c r="G87" s="9"/>
      <c r="H87" s="9"/>
      <c r="I87" s="6"/>
      <c r="J87" s="6"/>
      <c r="K87" s="6"/>
      <c r="L87" s="6"/>
      <c r="M87" s="6"/>
      <c r="N87" s="9"/>
    </row>
    <row r="88" spans="1:14" s="10" customFormat="1" x14ac:dyDescent="0.2">
      <c r="A88" s="7"/>
      <c r="B88" s="11"/>
      <c r="C88" s="9"/>
      <c r="D88" s="9"/>
      <c r="E88" s="9"/>
      <c r="F88" s="31"/>
      <c r="G88" s="9"/>
      <c r="H88" s="9"/>
      <c r="I88" s="6"/>
      <c r="J88" s="6"/>
      <c r="K88" s="6"/>
      <c r="L88" s="6"/>
      <c r="M88" s="6"/>
      <c r="N88" s="9"/>
    </row>
    <row r="89" spans="1:14" s="10" customFormat="1" x14ac:dyDescent="0.2">
      <c r="A89" s="7"/>
      <c r="B89" s="11"/>
      <c r="C89" s="9"/>
      <c r="D89" s="9"/>
      <c r="E89" s="9"/>
      <c r="F89" s="31"/>
      <c r="G89" s="9"/>
      <c r="H89" s="9"/>
      <c r="I89" s="6"/>
      <c r="J89" s="6"/>
      <c r="K89" s="6"/>
      <c r="L89" s="6"/>
      <c r="M89" s="6"/>
      <c r="N89" s="9"/>
    </row>
    <row r="90" spans="1:14" s="10" customFormat="1" x14ac:dyDescent="0.2">
      <c r="A90" s="7"/>
      <c r="B90" s="11"/>
      <c r="C90" s="9"/>
      <c r="D90" s="9"/>
      <c r="E90" s="9"/>
      <c r="F90" s="31"/>
      <c r="G90" s="9"/>
      <c r="H90" s="9"/>
      <c r="I90" s="6"/>
      <c r="J90" s="6"/>
      <c r="K90" s="6"/>
      <c r="L90" s="6"/>
      <c r="M90" s="6"/>
      <c r="N90" s="9"/>
    </row>
    <row r="91" spans="1:14" s="10" customFormat="1" x14ac:dyDescent="0.2">
      <c r="A91" s="7"/>
      <c r="B91" s="11"/>
      <c r="C91" s="9"/>
      <c r="D91" s="9"/>
      <c r="E91" s="9"/>
      <c r="F91" s="31"/>
      <c r="G91" s="9"/>
      <c r="H91" s="9"/>
      <c r="I91" s="6"/>
      <c r="J91" s="6"/>
      <c r="K91" s="6"/>
      <c r="L91" s="6"/>
      <c r="M91" s="6"/>
      <c r="N91" s="9"/>
    </row>
    <row r="92" spans="1:14" s="10" customFormat="1" x14ac:dyDescent="0.2">
      <c r="A92" s="7"/>
      <c r="B92" s="11"/>
      <c r="C92" s="9"/>
      <c r="D92" s="9"/>
      <c r="E92" s="9"/>
      <c r="F92" s="31"/>
      <c r="G92" s="9"/>
      <c r="H92" s="9"/>
      <c r="I92" s="6"/>
      <c r="J92" s="6"/>
      <c r="K92" s="6"/>
      <c r="L92" s="6"/>
      <c r="M92" s="6"/>
      <c r="N92" s="9"/>
    </row>
    <row r="93" spans="1:14" s="10" customFormat="1" x14ac:dyDescent="0.2">
      <c r="A93" s="7"/>
      <c r="B93" s="11"/>
      <c r="C93" s="9"/>
      <c r="D93" s="9"/>
      <c r="E93" s="9"/>
      <c r="F93" s="31"/>
      <c r="G93" s="9"/>
      <c r="H93" s="9"/>
      <c r="I93" s="6"/>
      <c r="J93" s="6"/>
      <c r="K93" s="6"/>
      <c r="L93" s="6"/>
      <c r="M93" s="6"/>
      <c r="N93" s="9"/>
    </row>
    <row r="94" spans="1:14" s="10" customFormat="1" x14ac:dyDescent="0.2">
      <c r="A94" s="7"/>
      <c r="B94" s="11"/>
      <c r="C94" s="9"/>
      <c r="D94" s="9"/>
      <c r="E94" s="9"/>
      <c r="F94" s="31"/>
      <c r="G94" s="9"/>
      <c r="H94" s="9"/>
      <c r="I94" s="6"/>
      <c r="J94" s="6"/>
      <c r="K94" s="6"/>
      <c r="L94" s="6"/>
      <c r="M94" s="6"/>
      <c r="N94" s="9"/>
    </row>
    <row r="95" spans="1:14" s="10" customFormat="1" x14ac:dyDescent="0.2">
      <c r="A95" s="7"/>
      <c r="B95" s="11"/>
      <c r="C95" s="9"/>
      <c r="D95" s="9"/>
      <c r="E95" s="9"/>
      <c r="F95" s="31"/>
      <c r="G95" s="9"/>
      <c r="H95" s="9"/>
      <c r="I95" s="6"/>
      <c r="J95" s="6"/>
      <c r="K95" s="6"/>
      <c r="L95" s="6"/>
      <c r="M95" s="6"/>
      <c r="N95" s="9"/>
    </row>
    <row r="96" spans="1:14" s="10" customFormat="1" x14ac:dyDescent="0.2">
      <c r="A96" s="7"/>
      <c r="B96" s="11"/>
      <c r="C96" s="9"/>
      <c r="D96" s="9"/>
      <c r="E96" s="9"/>
      <c r="F96" s="31"/>
      <c r="G96" s="9"/>
      <c r="H96" s="9"/>
      <c r="I96" s="6"/>
      <c r="J96" s="6"/>
      <c r="K96" s="6"/>
      <c r="L96" s="6"/>
      <c r="M96" s="6"/>
      <c r="N96" s="9"/>
    </row>
    <row r="97" spans="1:14" s="10" customFormat="1" x14ac:dyDescent="0.2">
      <c r="A97" s="7"/>
      <c r="B97" s="11"/>
      <c r="C97" s="9"/>
      <c r="D97" s="9"/>
      <c r="E97" s="9"/>
      <c r="F97" s="31"/>
      <c r="G97" s="9"/>
      <c r="H97" s="9"/>
      <c r="I97" s="6"/>
      <c r="J97" s="6"/>
      <c r="K97" s="6"/>
      <c r="L97" s="6"/>
      <c r="M97" s="6"/>
      <c r="N97" s="9"/>
    </row>
    <row r="98" spans="1:14" s="10" customFormat="1" x14ac:dyDescent="0.2">
      <c r="A98" s="7"/>
      <c r="B98" s="11"/>
      <c r="C98" s="9"/>
      <c r="D98" s="9"/>
      <c r="E98" s="9"/>
      <c r="F98" s="31"/>
      <c r="G98" s="9"/>
      <c r="H98" s="9"/>
      <c r="I98" s="6"/>
      <c r="J98" s="6"/>
      <c r="K98" s="6"/>
      <c r="L98" s="6"/>
      <c r="M98" s="6"/>
      <c r="N98" s="9"/>
    </row>
    <row r="99" spans="1:14" s="10" customFormat="1" x14ac:dyDescent="0.2">
      <c r="A99" s="7"/>
      <c r="B99" s="11"/>
      <c r="C99" s="9"/>
      <c r="D99" s="9"/>
      <c r="E99" s="9"/>
      <c r="F99" s="31"/>
      <c r="G99" s="9"/>
      <c r="H99" s="9"/>
      <c r="I99" s="6"/>
      <c r="J99" s="6"/>
      <c r="K99" s="6"/>
      <c r="L99" s="6"/>
      <c r="M99" s="6"/>
      <c r="N99" s="9"/>
    </row>
    <row r="100" spans="1:14" s="10" customFormat="1" x14ac:dyDescent="0.2">
      <c r="A100" s="7"/>
      <c r="B100" s="11"/>
      <c r="C100" s="9"/>
      <c r="D100" s="9"/>
      <c r="E100" s="9"/>
      <c r="F100" s="31"/>
      <c r="G100" s="9"/>
      <c r="H100" s="9"/>
      <c r="I100" s="6"/>
      <c r="J100" s="6"/>
      <c r="K100" s="6"/>
      <c r="L100" s="6"/>
      <c r="M100" s="6"/>
      <c r="N100" s="9"/>
    </row>
    <row r="101" spans="1:14" s="10" customFormat="1" x14ac:dyDescent="0.2">
      <c r="A101" s="7"/>
      <c r="B101" s="11"/>
      <c r="C101" s="9"/>
      <c r="D101" s="9"/>
      <c r="E101" s="9"/>
      <c r="F101" s="31"/>
      <c r="G101" s="9"/>
      <c r="H101" s="9"/>
      <c r="I101" s="6"/>
      <c r="J101" s="6"/>
      <c r="K101" s="6"/>
      <c r="L101" s="6"/>
      <c r="M101" s="6"/>
      <c r="N101" s="9"/>
    </row>
    <row r="102" spans="1:14" s="10" customFormat="1" x14ac:dyDescent="0.2">
      <c r="A102" s="7"/>
      <c r="B102" s="11"/>
      <c r="C102" s="9"/>
      <c r="D102" s="9"/>
      <c r="E102" s="9"/>
      <c r="F102" s="31"/>
      <c r="G102" s="9"/>
      <c r="H102" s="9"/>
      <c r="I102" s="6"/>
      <c r="J102" s="6"/>
      <c r="K102" s="6"/>
      <c r="L102" s="6"/>
      <c r="M102" s="6"/>
      <c r="N102" s="9"/>
    </row>
    <row r="103" spans="1:14" s="10" customFormat="1" x14ac:dyDescent="0.2">
      <c r="A103" s="7"/>
      <c r="B103" s="11"/>
      <c r="C103" s="9"/>
      <c r="D103" s="9"/>
      <c r="E103" s="9"/>
      <c r="F103" s="31"/>
      <c r="G103" s="9"/>
      <c r="H103" s="9"/>
      <c r="I103" s="6"/>
      <c r="J103" s="6"/>
      <c r="K103" s="6"/>
      <c r="L103" s="6"/>
      <c r="M103" s="6"/>
      <c r="N103" s="9"/>
    </row>
    <row r="104" spans="1:14" s="10" customFormat="1" x14ac:dyDescent="0.2">
      <c r="A104" s="7"/>
      <c r="B104" s="11"/>
      <c r="C104" s="9"/>
      <c r="D104" s="9"/>
      <c r="E104" s="9"/>
      <c r="F104" s="31"/>
      <c r="G104" s="9"/>
      <c r="H104" s="9"/>
      <c r="I104" s="6"/>
      <c r="J104" s="6"/>
      <c r="K104" s="6"/>
      <c r="L104" s="6"/>
      <c r="M104" s="6"/>
      <c r="N104" s="9"/>
    </row>
    <row r="105" spans="1:14" s="10" customFormat="1" x14ac:dyDescent="0.2">
      <c r="A105" s="7"/>
      <c r="B105" s="11"/>
      <c r="C105" s="9"/>
      <c r="D105" s="9"/>
      <c r="E105" s="9"/>
      <c r="F105" s="31"/>
      <c r="G105" s="9"/>
      <c r="H105" s="9"/>
      <c r="I105" s="6"/>
      <c r="J105" s="6"/>
      <c r="K105" s="6"/>
      <c r="L105" s="6"/>
      <c r="M105" s="6"/>
      <c r="N105" s="9"/>
    </row>
    <row r="106" spans="1:14" s="10" customFormat="1" x14ac:dyDescent="0.2">
      <c r="A106" s="7"/>
      <c r="B106" s="11"/>
      <c r="C106" s="9"/>
      <c r="D106" s="9"/>
      <c r="E106" s="9"/>
      <c r="F106" s="31"/>
      <c r="G106" s="9"/>
      <c r="H106" s="9"/>
      <c r="I106" s="6"/>
      <c r="J106" s="6"/>
      <c r="K106" s="6"/>
      <c r="L106" s="6"/>
      <c r="M106" s="6"/>
      <c r="N106" s="9"/>
    </row>
    <row r="107" spans="1:14" s="10" customFormat="1" x14ac:dyDescent="0.2">
      <c r="A107" s="7"/>
      <c r="B107" s="11"/>
      <c r="C107" s="9"/>
      <c r="D107" s="9"/>
      <c r="E107" s="9"/>
      <c r="F107" s="31"/>
      <c r="G107" s="9"/>
      <c r="H107" s="9"/>
      <c r="I107" s="6"/>
      <c r="J107" s="6"/>
      <c r="K107" s="6"/>
      <c r="L107" s="6"/>
      <c r="M107" s="6"/>
      <c r="N107" s="9"/>
    </row>
    <row r="108" spans="1:14" s="10" customFormat="1" x14ac:dyDescent="0.2">
      <c r="A108" s="7"/>
      <c r="B108" s="11"/>
      <c r="C108" s="9"/>
      <c r="D108" s="9"/>
      <c r="E108" s="9"/>
      <c r="F108" s="31"/>
      <c r="G108" s="9"/>
      <c r="H108" s="9"/>
      <c r="I108" s="6"/>
      <c r="J108" s="6"/>
      <c r="K108" s="6"/>
      <c r="L108" s="6"/>
      <c r="M108" s="6"/>
      <c r="N108" s="9"/>
    </row>
    <row r="109" spans="1:14" s="10" customFormat="1" x14ac:dyDescent="0.2">
      <c r="A109" s="7"/>
      <c r="B109" s="11"/>
      <c r="C109" s="9"/>
      <c r="D109" s="9"/>
      <c r="E109" s="9"/>
      <c r="F109" s="31"/>
      <c r="G109" s="9"/>
      <c r="H109" s="9"/>
      <c r="I109" s="6"/>
      <c r="J109" s="6"/>
      <c r="K109" s="6"/>
      <c r="L109" s="6"/>
      <c r="M109" s="6"/>
      <c r="N109" s="9"/>
    </row>
    <row r="110" spans="1:14" s="10" customFormat="1" x14ac:dyDescent="0.2">
      <c r="A110" s="7"/>
      <c r="B110" s="11"/>
      <c r="C110" s="9"/>
      <c r="D110" s="9"/>
      <c r="E110" s="9"/>
      <c r="F110" s="31"/>
      <c r="G110" s="9"/>
      <c r="H110" s="9"/>
      <c r="I110" s="6"/>
      <c r="J110" s="6"/>
      <c r="K110" s="6"/>
      <c r="L110" s="6"/>
      <c r="M110" s="6"/>
      <c r="N110" s="9"/>
    </row>
    <row r="111" spans="1:14" s="10" customFormat="1" x14ac:dyDescent="0.2">
      <c r="A111" s="7"/>
      <c r="B111" s="11"/>
      <c r="C111" s="9"/>
      <c r="D111" s="9"/>
      <c r="E111" s="9"/>
      <c r="F111" s="31"/>
      <c r="G111" s="9"/>
      <c r="H111" s="9"/>
      <c r="I111" s="6"/>
      <c r="J111" s="6"/>
      <c r="K111" s="6"/>
      <c r="L111" s="6"/>
      <c r="M111" s="6"/>
      <c r="N111" s="9"/>
    </row>
    <row r="112" spans="1:14" s="10" customFormat="1" x14ac:dyDescent="0.2">
      <c r="A112" s="7"/>
      <c r="B112" s="11"/>
      <c r="C112" s="9"/>
      <c r="D112" s="9"/>
      <c r="E112" s="9"/>
      <c r="F112" s="31"/>
      <c r="G112" s="9"/>
      <c r="H112" s="9"/>
      <c r="I112" s="6"/>
      <c r="J112" s="6"/>
      <c r="K112" s="6"/>
      <c r="L112" s="6"/>
      <c r="M112" s="6"/>
      <c r="N112" s="9"/>
    </row>
    <row r="113" spans="1:14" s="10" customFormat="1" x14ac:dyDescent="0.2">
      <c r="A113" s="7"/>
      <c r="B113" s="11"/>
      <c r="C113" s="9"/>
      <c r="D113" s="9"/>
      <c r="E113" s="9"/>
      <c r="F113" s="31"/>
      <c r="G113" s="9"/>
      <c r="H113" s="9"/>
      <c r="I113" s="6"/>
      <c r="J113" s="6"/>
      <c r="K113" s="6"/>
      <c r="L113" s="6"/>
      <c r="M113" s="6"/>
      <c r="N113" s="9"/>
    </row>
    <row r="114" spans="1:14" s="10" customFormat="1" x14ac:dyDescent="0.2">
      <c r="A114" s="7"/>
      <c r="B114" s="11"/>
      <c r="C114" s="9"/>
      <c r="D114" s="9"/>
      <c r="E114" s="9"/>
      <c r="F114" s="31"/>
      <c r="G114" s="9"/>
      <c r="H114" s="9"/>
      <c r="I114" s="6"/>
      <c r="J114" s="6"/>
      <c r="K114" s="6"/>
      <c r="L114" s="6"/>
      <c r="M114" s="6"/>
      <c r="N114" s="9"/>
    </row>
    <row r="115" spans="1:14" s="10" customFormat="1" x14ac:dyDescent="0.2">
      <c r="A115" s="7"/>
      <c r="B115" s="11"/>
      <c r="C115" s="9"/>
      <c r="D115" s="9"/>
      <c r="E115" s="9"/>
      <c r="F115" s="31"/>
      <c r="G115" s="9"/>
      <c r="H115" s="9"/>
      <c r="I115" s="6"/>
      <c r="J115" s="6"/>
      <c r="K115" s="6"/>
      <c r="L115" s="6"/>
      <c r="M115" s="6"/>
      <c r="N115" s="9"/>
    </row>
    <row r="116" spans="1:14" s="10" customFormat="1" x14ac:dyDescent="0.2">
      <c r="A116" s="7"/>
      <c r="B116" s="11"/>
      <c r="C116" s="9"/>
      <c r="D116" s="9"/>
      <c r="E116" s="9"/>
      <c r="F116" s="31"/>
      <c r="G116" s="9"/>
      <c r="H116" s="9"/>
      <c r="I116" s="6"/>
      <c r="J116" s="6"/>
      <c r="K116" s="6"/>
      <c r="L116" s="6"/>
      <c r="M116" s="6"/>
      <c r="N116" s="9"/>
    </row>
    <row r="117" spans="1:14" s="10" customFormat="1" x14ac:dyDescent="0.2">
      <c r="A117" s="7"/>
      <c r="B117" s="11"/>
      <c r="C117" s="9"/>
      <c r="D117" s="9"/>
      <c r="E117" s="9"/>
      <c r="F117" s="31"/>
      <c r="G117" s="9"/>
      <c r="H117" s="9"/>
      <c r="I117" s="6"/>
      <c r="J117" s="6"/>
      <c r="K117" s="6"/>
      <c r="L117" s="6"/>
      <c r="M117" s="6"/>
      <c r="N117" s="9"/>
    </row>
    <row r="118" spans="1:14" s="10" customFormat="1" x14ac:dyDescent="0.2">
      <c r="A118" s="7"/>
      <c r="B118" s="11"/>
      <c r="C118" s="9"/>
      <c r="D118" s="9"/>
      <c r="E118" s="9"/>
      <c r="F118" s="31"/>
      <c r="G118" s="9"/>
      <c r="H118" s="9"/>
      <c r="I118" s="6"/>
      <c r="J118" s="6"/>
      <c r="K118" s="6"/>
      <c r="L118" s="6"/>
      <c r="M118" s="6"/>
      <c r="N118" s="9"/>
    </row>
    <row r="119" spans="1:14" s="10" customFormat="1" x14ac:dyDescent="0.2">
      <c r="A119" s="7"/>
      <c r="B119" s="11"/>
      <c r="C119" s="9"/>
      <c r="D119" s="9"/>
      <c r="E119" s="9"/>
      <c r="F119" s="31"/>
      <c r="G119" s="9"/>
      <c r="H119" s="9"/>
      <c r="I119" s="6"/>
      <c r="J119" s="6"/>
      <c r="K119" s="6"/>
      <c r="L119" s="6"/>
      <c r="M119" s="6"/>
      <c r="N119" s="9"/>
    </row>
    <row r="120" spans="1:14" s="10" customFormat="1" x14ac:dyDescent="0.2">
      <c r="A120" s="7"/>
      <c r="B120" s="11"/>
      <c r="C120" s="9"/>
      <c r="D120" s="9"/>
      <c r="E120" s="9"/>
      <c r="F120" s="31"/>
      <c r="G120" s="9"/>
      <c r="H120" s="9"/>
      <c r="I120" s="6"/>
      <c r="J120" s="6"/>
      <c r="K120" s="6"/>
      <c r="L120" s="6"/>
      <c r="M120" s="6"/>
      <c r="N120" s="9"/>
    </row>
    <row r="121" spans="1:14" s="10" customFormat="1" x14ac:dyDescent="0.2">
      <c r="A121" s="7"/>
      <c r="B121" s="11"/>
      <c r="C121" s="9"/>
      <c r="D121" s="9"/>
      <c r="E121" s="9"/>
      <c r="F121" s="31"/>
      <c r="G121" s="9"/>
      <c r="H121" s="9"/>
      <c r="I121" s="6"/>
      <c r="J121" s="6"/>
      <c r="K121" s="6"/>
      <c r="L121" s="6"/>
      <c r="M121" s="6"/>
      <c r="N121" s="9"/>
    </row>
    <row r="122" spans="1:14" s="10" customFormat="1" x14ac:dyDescent="0.2">
      <c r="A122" s="7"/>
      <c r="B122" s="11"/>
      <c r="C122" s="9"/>
      <c r="D122" s="9"/>
      <c r="E122" s="9"/>
      <c r="F122" s="31"/>
      <c r="G122" s="9"/>
      <c r="H122" s="9"/>
      <c r="I122" s="6"/>
      <c r="J122" s="6"/>
      <c r="K122" s="6"/>
      <c r="L122" s="6"/>
      <c r="M122" s="6"/>
      <c r="N122" s="9"/>
    </row>
    <row r="123" spans="1:14" s="10" customFormat="1" x14ac:dyDescent="0.2">
      <c r="A123" s="7"/>
      <c r="B123" s="11"/>
      <c r="C123" s="9"/>
      <c r="D123" s="9"/>
      <c r="E123" s="9"/>
      <c r="F123" s="31"/>
      <c r="G123" s="9"/>
      <c r="H123" s="9"/>
      <c r="I123" s="6"/>
      <c r="J123" s="6"/>
      <c r="K123" s="6"/>
      <c r="L123" s="6"/>
      <c r="M123" s="6"/>
      <c r="N123" s="9"/>
    </row>
    <row r="124" spans="1:14" s="10" customFormat="1" x14ac:dyDescent="0.2">
      <c r="A124" s="7"/>
      <c r="B124" s="11"/>
      <c r="C124" s="9"/>
      <c r="D124" s="9"/>
      <c r="E124" s="9"/>
      <c r="F124" s="31"/>
      <c r="G124" s="9"/>
      <c r="H124" s="9"/>
      <c r="I124" s="6"/>
      <c r="J124" s="6"/>
      <c r="K124" s="6"/>
      <c r="L124" s="6"/>
      <c r="M124" s="6"/>
      <c r="N124" s="9"/>
    </row>
    <row r="125" spans="1:14" s="10" customFormat="1" x14ac:dyDescent="0.2">
      <c r="A125" s="7"/>
      <c r="B125" s="11"/>
      <c r="C125" s="9"/>
      <c r="D125" s="9"/>
      <c r="E125" s="9"/>
      <c r="F125" s="31"/>
      <c r="G125" s="9"/>
      <c r="H125" s="9"/>
      <c r="I125" s="6"/>
      <c r="J125" s="6"/>
      <c r="K125" s="6"/>
      <c r="L125" s="6"/>
      <c r="M125" s="6"/>
      <c r="N125" s="9"/>
    </row>
    <row r="126" spans="1:14" s="10" customFormat="1" x14ac:dyDescent="0.2">
      <c r="A126" s="7"/>
      <c r="B126" s="11"/>
      <c r="C126" s="9"/>
      <c r="D126" s="9"/>
      <c r="E126" s="9"/>
      <c r="F126" s="31"/>
      <c r="G126" s="9"/>
      <c r="H126" s="9"/>
      <c r="I126" s="6"/>
      <c r="J126" s="6"/>
      <c r="K126" s="6"/>
      <c r="L126" s="6"/>
      <c r="M126" s="6"/>
      <c r="N126" s="9"/>
    </row>
    <row r="127" spans="1:14" s="10" customFormat="1" x14ac:dyDescent="0.2">
      <c r="A127" s="7"/>
      <c r="B127" s="11"/>
      <c r="C127" s="9"/>
      <c r="D127" s="9"/>
      <c r="E127" s="9"/>
      <c r="F127" s="31"/>
      <c r="G127" s="9"/>
      <c r="H127" s="9"/>
      <c r="I127" s="6"/>
      <c r="J127" s="6"/>
      <c r="K127" s="6"/>
      <c r="L127" s="6"/>
      <c r="M127" s="6"/>
      <c r="N127" s="9"/>
    </row>
    <row r="128" spans="1:14" s="10" customFormat="1" x14ac:dyDescent="0.2">
      <c r="A128" s="7"/>
      <c r="B128" s="11"/>
      <c r="C128" s="9"/>
      <c r="D128" s="9"/>
      <c r="E128" s="9"/>
      <c r="F128" s="31"/>
      <c r="G128" s="9"/>
      <c r="H128" s="9"/>
      <c r="I128" s="6"/>
      <c r="J128" s="6"/>
      <c r="K128" s="6"/>
      <c r="L128" s="6"/>
      <c r="M128" s="6"/>
      <c r="N128" s="9"/>
    </row>
    <row r="129" spans="1:14" s="10" customFormat="1" x14ac:dyDescent="0.2">
      <c r="A129" s="7"/>
      <c r="B129" s="11"/>
      <c r="C129" s="9"/>
      <c r="D129" s="9"/>
      <c r="E129" s="9"/>
      <c r="F129" s="31"/>
      <c r="G129" s="9"/>
      <c r="H129" s="9"/>
      <c r="I129" s="6"/>
      <c r="J129" s="6"/>
      <c r="K129" s="6"/>
      <c r="L129" s="6"/>
      <c r="M129" s="6"/>
      <c r="N129" s="9"/>
    </row>
    <row r="130" spans="1:14" s="10" customFormat="1" x14ac:dyDescent="0.2">
      <c r="A130" s="7"/>
      <c r="B130" s="11"/>
      <c r="C130" s="9"/>
      <c r="D130" s="9"/>
      <c r="E130" s="9"/>
      <c r="F130" s="31"/>
      <c r="G130" s="9"/>
      <c r="H130" s="9"/>
      <c r="I130" s="6"/>
      <c r="J130" s="6"/>
      <c r="K130" s="6"/>
      <c r="L130" s="6"/>
      <c r="M130" s="6"/>
      <c r="N130" s="9"/>
    </row>
    <row r="131" spans="1:14" s="10" customFormat="1" x14ac:dyDescent="0.2">
      <c r="A131" s="7"/>
      <c r="B131" s="11"/>
      <c r="C131" s="9"/>
      <c r="D131" s="9"/>
      <c r="E131" s="9"/>
      <c r="F131" s="31"/>
      <c r="G131" s="9"/>
      <c r="H131" s="9"/>
      <c r="I131" s="6"/>
      <c r="J131" s="6"/>
      <c r="K131" s="6"/>
      <c r="L131" s="6"/>
      <c r="M131" s="6"/>
      <c r="N131" s="9"/>
    </row>
    <row r="132" spans="1:14" s="10" customFormat="1" x14ac:dyDescent="0.2">
      <c r="A132" s="7"/>
      <c r="B132" s="11"/>
      <c r="C132" s="9"/>
      <c r="D132" s="9"/>
      <c r="E132" s="9"/>
      <c r="F132" s="31"/>
      <c r="G132" s="9"/>
      <c r="H132" s="9"/>
      <c r="I132" s="6"/>
      <c r="J132" s="6"/>
      <c r="K132" s="6"/>
      <c r="L132" s="6"/>
      <c r="M132" s="6"/>
      <c r="N132" s="9"/>
    </row>
    <row r="133" spans="1:14" s="10" customFormat="1" x14ac:dyDescent="0.2">
      <c r="A133" s="7"/>
      <c r="B133" s="11"/>
      <c r="C133" s="9"/>
      <c r="D133" s="9"/>
      <c r="E133" s="9"/>
      <c r="F133" s="31"/>
      <c r="G133" s="9"/>
      <c r="H133" s="9"/>
      <c r="I133" s="6"/>
      <c r="J133" s="6"/>
      <c r="K133" s="6"/>
      <c r="L133" s="6"/>
      <c r="M133" s="6"/>
      <c r="N133" s="9"/>
    </row>
    <row r="134" spans="1:14" s="10" customFormat="1" x14ac:dyDescent="0.2">
      <c r="A134" s="7"/>
      <c r="B134" s="11"/>
      <c r="C134" s="9"/>
      <c r="D134" s="9"/>
      <c r="E134" s="9"/>
      <c r="F134" s="31"/>
      <c r="G134" s="9"/>
      <c r="H134" s="9"/>
      <c r="I134" s="6"/>
      <c r="J134" s="6"/>
      <c r="K134" s="6"/>
      <c r="L134" s="6"/>
      <c r="M134" s="6"/>
      <c r="N134" s="9"/>
    </row>
    <row r="135" spans="1:14" s="10" customFormat="1" x14ac:dyDescent="0.2">
      <c r="A135" s="7"/>
      <c r="B135" s="11"/>
      <c r="C135" s="9"/>
      <c r="D135" s="9"/>
      <c r="E135" s="9"/>
      <c r="F135" s="31"/>
      <c r="G135" s="9"/>
      <c r="H135" s="9"/>
      <c r="I135" s="6"/>
      <c r="J135" s="6"/>
      <c r="K135" s="6"/>
      <c r="L135" s="6"/>
      <c r="M135" s="6"/>
      <c r="N135" s="9"/>
    </row>
    <row r="136" spans="1:14" s="10" customFormat="1" x14ac:dyDescent="0.2">
      <c r="A136" s="7"/>
      <c r="B136" s="11"/>
      <c r="C136" s="9"/>
      <c r="D136" s="9"/>
      <c r="E136" s="9"/>
      <c r="F136" s="31"/>
      <c r="G136" s="9"/>
      <c r="H136" s="9"/>
      <c r="I136" s="6"/>
      <c r="J136" s="6"/>
      <c r="K136" s="6"/>
      <c r="L136" s="6"/>
      <c r="M136" s="6"/>
      <c r="N136" s="9"/>
    </row>
    <row r="137" spans="1:14" s="10" customFormat="1" x14ac:dyDescent="0.2">
      <c r="A137" s="7"/>
      <c r="B137" s="11"/>
      <c r="C137" s="9"/>
      <c r="D137" s="9"/>
      <c r="E137" s="9"/>
      <c r="F137" s="31"/>
      <c r="G137" s="9"/>
      <c r="H137" s="9"/>
      <c r="I137" s="6"/>
      <c r="J137" s="6"/>
      <c r="K137" s="6"/>
      <c r="L137" s="6"/>
      <c r="M137" s="6"/>
      <c r="N137" s="9"/>
    </row>
    <row r="138" spans="1:14" s="10" customFormat="1" x14ac:dyDescent="0.2">
      <c r="A138" s="7"/>
      <c r="B138" s="11"/>
      <c r="C138" s="9"/>
      <c r="D138" s="9"/>
      <c r="E138" s="9"/>
      <c r="F138" s="31"/>
      <c r="G138" s="9"/>
      <c r="H138" s="9"/>
      <c r="I138" s="6"/>
      <c r="J138" s="6"/>
      <c r="K138" s="6"/>
      <c r="L138" s="6"/>
      <c r="M138" s="6"/>
      <c r="N138" s="9"/>
    </row>
    <row r="139" spans="1:14" s="10" customFormat="1" x14ac:dyDescent="0.2">
      <c r="A139" s="7"/>
      <c r="B139" s="11"/>
      <c r="C139" s="9"/>
      <c r="D139" s="9"/>
      <c r="E139" s="9"/>
      <c r="F139" s="31"/>
      <c r="G139" s="9"/>
      <c r="H139" s="9"/>
      <c r="I139" s="6"/>
      <c r="J139" s="6"/>
      <c r="K139" s="6"/>
      <c r="L139" s="6"/>
      <c r="M139" s="6"/>
      <c r="N139" s="9"/>
    </row>
    <row r="140" spans="1:14" s="10" customFormat="1" x14ac:dyDescent="0.2">
      <c r="A140" s="7"/>
      <c r="B140" s="11"/>
      <c r="C140" s="9"/>
      <c r="D140" s="9"/>
      <c r="E140" s="9"/>
      <c r="F140" s="31"/>
      <c r="G140" s="9"/>
      <c r="H140" s="9"/>
      <c r="I140" s="6"/>
      <c r="J140" s="6"/>
      <c r="K140" s="6"/>
      <c r="L140" s="6"/>
      <c r="M140" s="6"/>
      <c r="N140" s="9"/>
    </row>
    <row r="141" spans="1:14" s="10" customFormat="1" x14ac:dyDescent="0.2">
      <c r="A141" s="7"/>
      <c r="B141" s="11"/>
      <c r="C141" s="9"/>
      <c r="D141" s="9"/>
      <c r="E141" s="9"/>
      <c r="F141" s="31"/>
      <c r="G141" s="9"/>
      <c r="H141" s="9"/>
      <c r="I141" s="6"/>
      <c r="J141" s="6"/>
      <c r="K141" s="6"/>
      <c r="L141" s="6"/>
      <c r="M141" s="6"/>
      <c r="N141" s="9"/>
    </row>
    <row r="142" spans="1:14" s="10" customFormat="1" x14ac:dyDescent="0.2">
      <c r="A142" s="7"/>
      <c r="B142" s="11"/>
      <c r="C142" s="9"/>
      <c r="D142" s="9"/>
      <c r="E142" s="9"/>
      <c r="F142" s="31"/>
      <c r="G142" s="9"/>
      <c r="H142" s="9"/>
      <c r="I142" s="6"/>
      <c r="J142" s="6"/>
      <c r="K142" s="6"/>
      <c r="L142" s="6"/>
      <c r="M142" s="6"/>
      <c r="N142" s="9"/>
    </row>
    <row r="143" spans="1:14" s="10" customFormat="1" x14ac:dyDescent="0.2">
      <c r="A143" s="7"/>
      <c r="B143" s="11"/>
      <c r="C143" s="9"/>
      <c r="D143" s="9"/>
      <c r="E143" s="9"/>
      <c r="F143" s="31"/>
      <c r="G143" s="9"/>
      <c r="H143" s="9"/>
      <c r="I143" s="6"/>
      <c r="J143" s="6"/>
      <c r="K143" s="6"/>
      <c r="L143" s="6"/>
      <c r="M143" s="6"/>
      <c r="N143" s="9"/>
    </row>
    <row r="144" spans="1:14" s="10" customFormat="1" x14ac:dyDescent="0.2">
      <c r="A144" s="7"/>
      <c r="B144" s="11"/>
      <c r="C144" s="9"/>
      <c r="D144" s="9"/>
      <c r="E144" s="9"/>
      <c r="F144" s="31"/>
      <c r="G144" s="9"/>
      <c r="H144" s="9"/>
      <c r="I144" s="6"/>
      <c r="J144" s="6"/>
      <c r="K144" s="6"/>
      <c r="L144" s="6"/>
      <c r="M144" s="6"/>
      <c r="N144" s="9"/>
    </row>
    <row r="145" spans="1:14" s="10" customFormat="1" x14ac:dyDescent="0.2">
      <c r="A145" s="7"/>
      <c r="B145" s="11"/>
      <c r="C145" s="9"/>
      <c r="D145" s="9"/>
      <c r="E145" s="9"/>
      <c r="F145" s="31"/>
      <c r="G145" s="9"/>
      <c r="H145" s="9"/>
      <c r="I145" s="6"/>
      <c r="J145" s="6"/>
      <c r="K145" s="6"/>
      <c r="L145" s="6"/>
      <c r="M145" s="6"/>
      <c r="N145" s="9"/>
    </row>
    <row r="146" spans="1:14" s="10" customFormat="1" x14ac:dyDescent="0.2">
      <c r="A146" s="7"/>
      <c r="B146" s="11"/>
      <c r="C146" s="9"/>
      <c r="D146" s="9"/>
      <c r="E146" s="9"/>
      <c r="F146" s="31"/>
      <c r="G146" s="9"/>
      <c r="H146" s="9"/>
      <c r="I146" s="6"/>
      <c r="J146" s="6"/>
      <c r="K146" s="6"/>
      <c r="L146" s="6"/>
      <c r="M146" s="6"/>
      <c r="N146" s="9"/>
    </row>
    <row r="147" spans="1:14" s="10" customFormat="1" x14ac:dyDescent="0.2">
      <c r="A147" s="7"/>
      <c r="B147" s="11"/>
      <c r="C147" s="9"/>
      <c r="D147" s="9"/>
      <c r="E147" s="9"/>
      <c r="F147" s="31"/>
      <c r="G147" s="9"/>
      <c r="H147" s="9"/>
      <c r="I147" s="6"/>
      <c r="J147" s="6"/>
      <c r="K147" s="6"/>
      <c r="L147" s="6"/>
      <c r="M147" s="6"/>
      <c r="N147" s="9"/>
    </row>
    <row r="148" spans="1:14" s="10" customFormat="1" x14ac:dyDescent="0.2">
      <c r="A148" s="7"/>
      <c r="B148" s="11"/>
      <c r="C148" s="9"/>
      <c r="D148" s="9"/>
      <c r="E148" s="9"/>
      <c r="F148" s="31"/>
      <c r="G148" s="9"/>
      <c r="H148" s="9"/>
      <c r="I148" s="6"/>
      <c r="J148" s="6"/>
      <c r="K148" s="6"/>
      <c r="L148" s="6"/>
      <c r="M148" s="6"/>
      <c r="N148" s="9"/>
    </row>
    <row r="149" spans="1:14" s="10" customFormat="1" x14ac:dyDescent="0.2">
      <c r="A149" s="7"/>
      <c r="B149" s="11"/>
      <c r="C149" s="9"/>
      <c r="D149" s="9"/>
      <c r="E149" s="9"/>
      <c r="F149" s="31"/>
      <c r="G149" s="9"/>
      <c r="H149" s="9"/>
      <c r="I149" s="6"/>
      <c r="J149" s="6"/>
      <c r="K149" s="6"/>
      <c r="L149" s="6"/>
      <c r="M149" s="6"/>
      <c r="N149" s="9"/>
    </row>
    <row r="150" spans="1:14" s="10" customFormat="1" x14ac:dyDescent="0.2">
      <c r="A150" s="7"/>
      <c r="B150" s="11"/>
      <c r="C150" s="9"/>
      <c r="D150" s="9"/>
      <c r="E150" s="9"/>
      <c r="F150" s="31"/>
      <c r="G150" s="9"/>
      <c r="H150" s="9"/>
      <c r="I150" s="6"/>
      <c r="J150" s="6"/>
      <c r="K150" s="6"/>
      <c r="L150" s="6"/>
      <c r="M150" s="6"/>
      <c r="N150" s="9"/>
    </row>
    <row r="151" spans="1:14" s="10" customFormat="1" x14ac:dyDescent="0.2">
      <c r="A151" s="7"/>
      <c r="B151" s="11"/>
      <c r="C151" s="9"/>
      <c r="D151" s="9"/>
      <c r="E151" s="9"/>
      <c r="F151" s="31"/>
      <c r="G151" s="9"/>
      <c r="H151" s="9"/>
      <c r="I151" s="6"/>
      <c r="J151" s="6"/>
      <c r="K151" s="6"/>
      <c r="L151" s="6"/>
      <c r="M151" s="6"/>
      <c r="N151" s="9"/>
    </row>
    <row r="152" spans="1:14" s="10" customFormat="1" x14ac:dyDescent="0.2">
      <c r="A152" s="7"/>
      <c r="B152" s="11"/>
      <c r="C152" s="9"/>
      <c r="D152" s="9"/>
      <c r="E152" s="9"/>
      <c r="F152" s="31"/>
      <c r="G152" s="9"/>
      <c r="H152" s="9"/>
      <c r="I152" s="6"/>
      <c r="J152" s="6"/>
      <c r="K152" s="6"/>
      <c r="L152" s="6"/>
      <c r="M152" s="6"/>
      <c r="N152" s="9"/>
    </row>
    <row r="153" spans="1:14" s="10" customFormat="1" x14ac:dyDescent="0.2">
      <c r="A153" s="7"/>
      <c r="B153" s="11"/>
      <c r="C153" s="9"/>
      <c r="D153" s="9"/>
      <c r="E153" s="9"/>
      <c r="F153" s="31"/>
      <c r="G153" s="9"/>
      <c r="H153" s="9"/>
      <c r="I153" s="6"/>
      <c r="J153" s="6"/>
      <c r="K153" s="6"/>
      <c r="L153" s="6"/>
      <c r="M153" s="6"/>
      <c r="N153" s="9"/>
    </row>
    <row r="154" spans="1:14" s="10" customFormat="1" x14ac:dyDescent="0.2">
      <c r="A154" s="7"/>
      <c r="B154" s="11"/>
      <c r="C154" s="9"/>
      <c r="D154" s="9"/>
      <c r="E154" s="9"/>
      <c r="F154" s="31"/>
      <c r="G154" s="9"/>
      <c r="H154" s="9"/>
      <c r="I154" s="6"/>
      <c r="J154" s="6"/>
      <c r="K154" s="6"/>
      <c r="L154" s="6"/>
      <c r="M154" s="6"/>
      <c r="N154" s="9"/>
    </row>
    <row r="155" spans="1:14" s="10" customFormat="1" x14ac:dyDescent="0.2">
      <c r="A155" s="7"/>
      <c r="B155" s="11"/>
      <c r="C155" s="9"/>
      <c r="D155" s="9"/>
      <c r="E155" s="9"/>
      <c r="F155" s="31"/>
      <c r="G155" s="9"/>
      <c r="H155" s="9"/>
      <c r="I155" s="6"/>
      <c r="J155" s="6"/>
      <c r="K155" s="6"/>
      <c r="L155" s="6"/>
      <c r="M155" s="6"/>
      <c r="N155" s="9"/>
    </row>
    <row r="156" spans="1:14" s="10" customFormat="1" x14ac:dyDescent="0.2">
      <c r="A156" s="7"/>
      <c r="B156" s="11"/>
      <c r="C156" s="9"/>
      <c r="D156" s="9"/>
      <c r="E156" s="9"/>
      <c r="F156" s="31"/>
      <c r="G156" s="9"/>
      <c r="H156" s="9"/>
      <c r="I156" s="6"/>
      <c r="J156" s="6"/>
      <c r="K156" s="6"/>
      <c r="L156" s="6"/>
      <c r="M156" s="6"/>
      <c r="N156" s="9"/>
    </row>
    <row r="157" spans="1:14" s="10" customFormat="1" x14ac:dyDescent="0.2">
      <c r="A157" s="7"/>
      <c r="B157" s="11"/>
      <c r="C157" s="9"/>
      <c r="D157" s="9"/>
      <c r="E157" s="9"/>
      <c r="F157" s="31"/>
      <c r="G157" s="9"/>
      <c r="H157" s="9"/>
      <c r="I157" s="6"/>
      <c r="J157" s="6"/>
      <c r="K157" s="6"/>
      <c r="L157" s="6"/>
      <c r="M157" s="6"/>
      <c r="N157" s="9"/>
    </row>
    <row r="158" spans="1:14" s="10" customFormat="1" x14ac:dyDescent="0.2">
      <c r="A158" s="7"/>
      <c r="B158" s="11"/>
      <c r="C158" s="9"/>
      <c r="D158" s="9"/>
      <c r="E158" s="9"/>
      <c r="F158" s="31"/>
      <c r="G158" s="9"/>
      <c r="H158" s="9"/>
      <c r="I158" s="6"/>
      <c r="J158" s="6"/>
      <c r="K158" s="6"/>
      <c r="L158" s="6"/>
      <c r="M158" s="6"/>
      <c r="N158" s="9"/>
    </row>
    <row r="159" spans="1:14" s="10" customFormat="1" x14ac:dyDescent="0.2">
      <c r="A159" s="7"/>
      <c r="B159" s="11"/>
      <c r="C159" s="9"/>
      <c r="D159" s="9"/>
      <c r="E159" s="9"/>
      <c r="F159" s="31"/>
      <c r="G159" s="9"/>
      <c r="H159" s="9"/>
      <c r="I159" s="6"/>
      <c r="J159" s="6"/>
      <c r="K159" s="6"/>
      <c r="L159" s="6"/>
      <c r="M159" s="6"/>
      <c r="N159" s="9"/>
    </row>
    <row r="160" spans="1:14" s="10" customFormat="1" x14ac:dyDescent="0.2">
      <c r="A160" s="7"/>
      <c r="B160" s="11"/>
      <c r="C160" s="9"/>
      <c r="D160" s="9"/>
      <c r="E160" s="9"/>
      <c r="F160" s="31"/>
      <c r="G160" s="9"/>
      <c r="H160" s="9"/>
      <c r="I160" s="6"/>
      <c r="J160" s="6"/>
      <c r="K160" s="6"/>
      <c r="L160" s="6"/>
      <c r="M160" s="6"/>
      <c r="N160" s="9"/>
    </row>
    <row r="161" spans="1:14" s="10" customFormat="1" x14ac:dyDescent="0.2">
      <c r="A161" s="7"/>
      <c r="B161" s="11"/>
      <c r="C161" s="9"/>
      <c r="D161" s="9"/>
      <c r="E161" s="9"/>
      <c r="F161" s="31"/>
      <c r="G161" s="9"/>
      <c r="H161" s="9"/>
      <c r="I161" s="6"/>
      <c r="J161" s="6"/>
      <c r="K161" s="6"/>
      <c r="L161" s="6"/>
      <c r="M161" s="6"/>
      <c r="N161" s="9"/>
    </row>
    <row r="162" spans="1:14" s="10" customFormat="1" x14ac:dyDescent="0.2">
      <c r="A162" s="7"/>
      <c r="B162" s="11"/>
      <c r="C162" s="9"/>
      <c r="D162" s="9"/>
      <c r="E162" s="9"/>
      <c r="F162" s="31"/>
      <c r="G162" s="9"/>
      <c r="H162" s="9"/>
      <c r="I162" s="6"/>
      <c r="J162" s="6"/>
      <c r="K162" s="6"/>
      <c r="L162" s="6"/>
      <c r="M162" s="6"/>
      <c r="N162" s="9"/>
    </row>
    <row r="163" spans="1:14" s="10" customFormat="1" x14ac:dyDescent="0.2">
      <c r="A163" s="7"/>
      <c r="B163" s="11"/>
      <c r="C163" s="9"/>
      <c r="D163" s="9"/>
      <c r="E163" s="9"/>
      <c r="F163" s="31"/>
      <c r="G163" s="9"/>
      <c r="H163" s="9"/>
      <c r="I163" s="6"/>
      <c r="J163" s="6"/>
      <c r="K163" s="6"/>
      <c r="L163" s="6"/>
      <c r="M163" s="6"/>
      <c r="N163" s="9"/>
    </row>
    <row r="164" spans="1:14" s="10" customFormat="1" x14ac:dyDescent="0.2">
      <c r="A164" s="7"/>
      <c r="B164" s="11"/>
      <c r="C164" s="9"/>
      <c r="D164" s="9"/>
      <c r="E164" s="9"/>
      <c r="F164" s="31"/>
      <c r="G164" s="9"/>
      <c r="H164" s="9"/>
      <c r="I164" s="6"/>
      <c r="J164" s="6"/>
      <c r="K164" s="6"/>
      <c r="L164" s="6"/>
      <c r="M164" s="6"/>
      <c r="N164" s="9"/>
    </row>
  </sheetData>
  <hyperlinks>
    <hyperlink ref="F7" location="BR_A0001" display="BR_A0001" xr:uid="{00000000-0004-0000-0100-000000000000}"/>
    <hyperlink ref="F8" location="BR_01001" display="BR_01001" xr:uid="{00000000-0004-0000-0100-000002000000}"/>
  </hyperlinks>
  <pageMargins left="0.41" right="0.22" top="0.72" bottom="0.57999999999999996" header="0.5" footer="0.26"/>
  <pageSetup scale="61" fitToHeight="99" orientation="landscape" r:id="rId1"/>
  <headerFooter alignWithMargins="0"/>
  <rowBreaks count="1" manualBreakCount="1">
    <brk id="6" max="16383" man="1"/>
  </rowBreaks>
  <ignoredErrors>
    <ignoredError sqref="H8:M8 H9:H17 C7:C8 I7:M7" unlockedFormula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D844-52BF-4DAC-8E45-9D6F7FAE85A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246</v>
      </c>
    </row>
  </sheetData>
  <hyperlinks>
    <hyperlink ref="A1" location="EN_0900_009" display="EN_0900_009" xr:uid="{35F4E745-4FD9-40E4-8E32-5B4E844C3F5E}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7EEE4-A982-4527-B4DE-123C5F0D382E}">
  <sheetPr>
    <tabColor theme="6" tint="-0.249977111117893"/>
  </sheetPr>
  <dimension ref="A1:O44"/>
  <sheetViews>
    <sheetView workbookViewId="0">
      <selection activeCell="B12" sqref="B12"/>
    </sheetView>
  </sheetViews>
  <sheetFormatPr baseColWidth="10" defaultRowHeight="15" x14ac:dyDescent="0.25"/>
  <cols>
    <col min="2" max="2" width="28.42578125" bestFit="1" customWidth="1"/>
    <col min="3" max="3" width="43.855468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248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249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227" t="s">
        <v>14</v>
      </c>
      <c r="B9" s="245" t="s">
        <v>15</v>
      </c>
      <c r="C9" s="228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230">
        <v>10</v>
      </c>
      <c r="B10" s="260" t="s">
        <v>250</v>
      </c>
      <c r="C10" s="229">
        <f>EN_1000_001!N$2</f>
        <v>66.549787154500507</v>
      </c>
      <c r="D10" s="231">
        <f>EN_1000_001_q</f>
        <v>2</v>
      </c>
      <c r="E10" s="232">
        <f>C10*D10</f>
        <v>133.09957430900101</v>
      </c>
      <c r="F10" s="111"/>
      <c r="G10" s="111"/>
      <c r="H10" s="111"/>
      <c r="I10" s="111"/>
      <c r="J10" s="111"/>
      <c r="K10" s="111"/>
      <c r="L10" s="111"/>
      <c r="M10" s="111"/>
      <c r="N10" s="111"/>
      <c r="O10" s="163"/>
    </row>
    <row r="11" spans="1:15" x14ac:dyDescent="0.25">
      <c r="A11" s="230">
        <v>20</v>
      </c>
      <c r="B11" s="260" t="s">
        <v>251</v>
      </c>
      <c r="C11" s="229" t="e">
        <f>#REF!</f>
        <v>#REF!</v>
      </c>
      <c r="D11" s="231">
        <f>EN_1000_002_q</f>
        <v>2</v>
      </c>
      <c r="E11" s="232" t="e">
        <f>C11*D11</f>
        <v>#REF!</v>
      </c>
      <c r="F11" s="111"/>
      <c r="G11" s="111"/>
      <c r="H11" s="111"/>
      <c r="I11" s="111"/>
      <c r="J11" s="111"/>
      <c r="K11" s="111"/>
      <c r="L11" s="111"/>
      <c r="M11" s="111"/>
      <c r="N11" s="111"/>
      <c r="O11" s="163"/>
    </row>
    <row r="12" spans="1:15" x14ac:dyDescent="0.25">
      <c r="A12" s="230">
        <v>30</v>
      </c>
      <c r="B12" s="286" t="s">
        <v>253</v>
      </c>
      <c r="C12" s="229" t="e">
        <f>[2]EN_1000_003!N$2</f>
        <v>#REF!</v>
      </c>
      <c r="D12" s="231">
        <f>EN_1000_003_q</f>
        <v>2</v>
      </c>
      <c r="E12" s="232" t="e">
        <f>C12*D12</f>
        <v>#REF!</v>
      </c>
      <c r="F12" s="111"/>
      <c r="G12" s="111"/>
      <c r="H12" s="111"/>
      <c r="I12" s="111"/>
      <c r="J12" s="111"/>
      <c r="K12" s="111"/>
      <c r="L12" s="111"/>
      <c r="M12" s="111"/>
      <c r="N12" s="111"/>
      <c r="O12" s="167"/>
    </row>
    <row r="13" spans="1:15" x14ac:dyDescent="0.25">
      <c r="A13" s="230">
        <v>40</v>
      </c>
      <c r="B13" s="260" t="s">
        <v>252</v>
      </c>
      <c r="C13" s="229" t="e">
        <f>[3]EN_1000_004!N$2</f>
        <v>#REF!</v>
      </c>
      <c r="D13" s="231">
        <f>EN_1000_004_q</f>
        <v>2</v>
      </c>
      <c r="E13" s="232" t="e">
        <f>C13*D13</f>
        <v>#REF!</v>
      </c>
      <c r="F13" s="111"/>
      <c r="G13" s="111"/>
      <c r="H13" s="111"/>
      <c r="I13" s="111"/>
      <c r="J13" s="111"/>
      <c r="K13" s="111"/>
      <c r="L13" s="111"/>
      <c r="M13" s="111"/>
      <c r="N13" s="111"/>
      <c r="O13" s="163"/>
    </row>
    <row r="14" spans="1:15" x14ac:dyDescent="0.25">
      <c r="A14" s="164"/>
      <c r="B14" s="45"/>
      <c r="C14" s="45"/>
      <c r="D14" s="99" t="s">
        <v>18</v>
      </c>
      <c r="E14" s="100" t="e">
        <f>SUM(#REF!)</f>
        <v>#REF!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4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167"/>
    </row>
    <row r="16" spans="1:15" x14ac:dyDescent="0.25">
      <c r="A16" s="162" t="s">
        <v>14</v>
      </c>
      <c r="B16" s="95" t="s">
        <v>19</v>
      </c>
      <c r="C16" s="95" t="s">
        <v>20</v>
      </c>
      <c r="D16" s="95" t="s">
        <v>21</v>
      </c>
      <c r="E16" s="95" t="s">
        <v>22</v>
      </c>
      <c r="F16" s="95" t="s">
        <v>23</v>
      </c>
      <c r="G16" s="95" t="s">
        <v>24</v>
      </c>
      <c r="H16" s="95" t="s">
        <v>25</v>
      </c>
      <c r="I16" s="95" t="s">
        <v>26</v>
      </c>
      <c r="J16" s="95" t="s">
        <v>27</v>
      </c>
      <c r="K16" s="95" t="s">
        <v>28</v>
      </c>
      <c r="L16" s="95" t="s">
        <v>29</v>
      </c>
      <c r="M16" s="95" t="s">
        <v>17</v>
      </c>
      <c r="N16" s="95" t="s">
        <v>18</v>
      </c>
      <c r="O16" s="167"/>
    </row>
    <row r="17" spans="1:15" x14ac:dyDescent="0.25">
      <c r="A17" s="233">
        <v>10</v>
      </c>
      <c r="B17" s="234" t="s">
        <v>254</v>
      </c>
      <c r="C17" s="234" t="s">
        <v>255</v>
      </c>
      <c r="D17" s="235">
        <v>45</v>
      </c>
      <c r="E17" s="234"/>
      <c r="F17" s="234" t="s">
        <v>35</v>
      </c>
      <c r="G17" s="234"/>
      <c r="H17" s="236"/>
      <c r="I17" s="237"/>
      <c r="J17" s="238"/>
      <c r="K17" s="236"/>
      <c r="L17" s="236"/>
      <c r="M17" s="238">
        <v>4</v>
      </c>
      <c r="N17" s="239">
        <f>IF(J17="",D17*M17,D17*J17*K17*L17*M17)</f>
        <v>180</v>
      </c>
      <c r="O17" s="170"/>
    </row>
    <row r="18" spans="1:15" x14ac:dyDescent="0.25">
      <c r="A18" s="233">
        <v>20</v>
      </c>
      <c r="B18" s="234" t="s">
        <v>256</v>
      </c>
      <c r="C18" s="234" t="s">
        <v>257</v>
      </c>
      <c r="D18" s="235">
        <v>5</v>
      </c>
      <c r="E18" s="234"/>
      <c r="F18" s="234" t="s">
        <v>35</v>
      </c>
      <c r="G18" s="234"/>
      <c r="H18" s="236"/>
      <c r="I18" s="237"/>
      <c r="J18" s="238"/>
      <c r="K18" s="236"/>
      <c r="L18" s="236"/>
      <c r="M18" s="238">
        <v>4</v>
      </c>
      <c r="N18" s="239">
        <f>IF(J18="",D18*M18,D18*J18*K18*L18*M18)</f>
        <v>20</v>
      </c>
      <c r="O18" s="163"/>
    </row>
    <row r="19" spans="1:15" x14ac:dyDescent="0.25">
      <c r="A19" s="168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95" t="s">
        <v>18</v>
      </c>
      <c r="N19" s="97">
        <f>SUM(N17:N18)</f>
        <v>200</v>
      </c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31</v>
      </c>
      <c r="C21" s="95" t="s">
        <v>20</v>
      </c>
      <c r="D21" s="95" t="s">
        <v>21</v>
      </c>
      <c r="E21" s="95" t="s">
        <v>32</v>
      </c>
      <c r="F21" s="95" t="s">
        <v>17</v>
      </c>
      <c r="G21" s="95" t="s">
        <v>33</v>
      </c>
      <c r="H21" s="95" t="s">
        <v>34</v>
      </c>
      <c r="I21" s="95" t="s">
        <v>18</v>
      </c>
      <c r="J21" s="19"/>
      <c r="K21" s="19"/>
      <c r="L21" s="19"/>
      <c r="M21" s="19"/>
      <c r="N21" s="19"/>
      <c r="O21" s="163"/>
    </row>
    <row r="22" spans="1:15" x14ac:dyDescent="0.25">
      <c r="A22" s="233">
        <v>10</v>
      </c>
      <c r="B22" s="231" t="s">
        <v>186</v>
      </c>
      <c r="C22" s="231" t="s">
        <v>258</v>
      </c>
      <c r="D22" s="235">
        <v>0.56000000000000005</v>
      </c>
      <c r="E22" s="234" t="s">
        <v>35</v>
      </c>
      <c r="F22" s="234">
        <v>2</v>
      </c>
      <c r="G22" s="234"/>
      <c r="H22" s="234">
        <v>1</v>
      </c>
      <c r="I22" s="235">
        <f t="shared" ref="I22:I33" si="0">D22*F22*H22</f>
        <v>1.1200000000000001</v>
      </c>
      <c r="J22" s="111"/>
      <c r="K22" s="111"/>
      <c r="L22" s="111"/>
      <c r="M22" s="46"/>
      <c r="N22" s="46"/>
      <c r="O22" s="163"/>
    </row>
    <row r="23" spans="1:15" x14ac:dyDescent="0.25">
      <c r="A23" s="233">
        <v>20</v>
      </c>
      <c r="B23" s="231" t="s">
        <v>259</v>
      </c>
      <c r="C23" s="231" t="s">
        <v>260</v>
      </c>
      <c r="D23" s="235">
        <v>1.5</v>
      </c>
      <c r="E23" s="234" t="s">
        <v>35</v>
      </c>
      <c r="F23" s="234">
        <v>2</v>
      </c>
      <c r="G23" s="234"/>
      <c r="H23" s="234">
        <v>1</v>
      </c>
      <c r="I23" s="235">
        <f t="shared" si="0"/>
        <v>3</v>
      </c>
      <c r="J23" s="111"/>
      <c r="K23" s="111"/>
      <c r="L23" s="111"/>
      <c r="M23" s="46"/>
      <c r="N23" s="46"/>
      <c r="O23" s="163"/>
    </row>
    <row r="24" spans="1:15" x14ac:dyDescent="0.25">
      <c r="A24" s="233">
        <v>30</v>
      </c>
      <c r="B24" s="231" t="s">
        <v>188</v>
      </c>
      <c r="C24" s="231" t="s">
        <v>261</v>
      </c>
      <c r="D24" s="235">
        <v>0.19</v>
      </c>
      <c r="E24" s="234" t="s">
        <v>35</v>
      </c>
      <c r="F24" s="234">
        <v>4</v>
      </c>
      <c r="G24" s="234"/>
      <c r="H24" s="234">
        <v>1</v>
      </c>
      <c r="I24" s="235">
        <f t="shared" si="0"/>
        <v>0.76</v>
      </c>
      <c r="J24" s="111"/>
      <c r="K24" s="111"/>
      <c r="L24" s="111"/>
      <c r="M24" s="45"/>
      <c r="N24" s="45"/>
      <c r="O24" s="163"/>
    </row>
    <row r="25" spans="1:15" x14ac:dyDescent="0.25">
      <c r="A25" s="233">
        <v>40</v>
      </c>
      <c r="B25" s="231" t="s">
        <v>188</v>
      </c>
      <c r="C25" s="231" t="s">
        <v>262</v>
      </c>
      <c r="D25" s="235">
        <v>0.19</v>
      </c>
      <c r="E25" s="234" t="s">
        <v>35</v>
      </c>
      <c r="F25" s="234">
        <v>4</v>
      </c>
      <c r="G25" s="234"/>
      <c r="H25" s="234">
        <v>1</v>
      </c>
      <c r="I25" s="235">
        <f t="shared" si="0"/>
        <v>0.76</v>
      </c>
      <c r="J25" s="111"/>
      <c r="K25" s="111"/>
      <c r="L25" s="111"/>
      <c r="M25" s="45"/>
      <c r="N25" s="45"/>
      <c r="O25" s="163"/>
    </row>
    <row r="26" spans="1:15" x14ac:dyDescent="0.25">
      <c r="A26" s="233">
        <v>50</v>
      </c>
      <c r="B26" s="231" t="s">
        <v>173</v>
      </c>
      <c r="C26" s="231" t="s">
        <v>263</v>
      </c>
      <c r="D26" s="235">
        <v>0.13</v>
      </c>
      <c r="E26" s="234" t="s">
        <v>35</v>
      </c>
      <c r="F26" s="234">
        <v>4</v>
      </c>
      <c r="G26" s="234"/>
      <c r="H26" s="234">
        <v>1</v>
      </c>
      <c r="I26" s="235">
        <f t="shared" si="0"/>
        <v>0.52</v>
      </c>
      <c r="J26" s="111"/>
      <c r="K26" s="111"/>
      <c r="L26" s="111"/>
      <c r="M26" s="45"/>
      <c r="N26" s="45"/>
      <c r="O26" s="170"/>
    </row>
    <row r="27" spans="1:15" x14ac:dyDescent="0.25">
      <c r="A27" s="233">
        <v>60</v>
      </c>
      <c r="B27" s="231" t="s">
        <v>188</v>
      </c>
      <c r="C27" s="231" t="s">
        <v>262</v>
      </c>
      <c r="D27" s="235">
        <v>0.19</v>
      </c>
      <c r="E27" s="234" t="s">
        <v>35</v>
      </c>
      <c r="F27" s="234">
        <v>4</v>
      </c>
      <c r="G27" s="234"/>
      <c r="H27" s="234">
        <v>1</v>
      </c>
      <c r="I27" s="235">
        <f t="shared" si="0"/>
        <v>0.76</v>
      </c>
      <c r="J27" s="111"/>
      <c r="K27" s="111"/>
      <c r="L27" s="111"/>
      <c r="M27" s="45"/>
      <c r="N27" s="45"/>
      <c r="O27" s="163"/>
    </row>
    <row r="28" spans="1:15" x14ac:dyDescent="0.25">
      <c r="A28" s="233">
        <v>70</v>
      </c>
      <c r="B28" s="231" t="s">
        <v>264</v>
      </c>
      <c r="C28" s="231" t="s">
        <v>265</v>
      </c>
      <c r="D28" s="235">
        <v>0.19</v>
      </c>
      <c r="E28" s="234" t="s">
        <v>35</v>
      </c>
      <c r="F28" s="234">
        <v>4</v>
      </c>
      <c r="G28" s="234"/>
      <c r="H28" s="234">
        <v>1</v>
      </c>
      <c r="I28" s="235">
        <f t="shared" si="0"/>
        <v>0.76</v>
      </c>
      <c r="J28" s="111"/>
      <c r="K28" s="111"/>
      <c r="L28" s="111"/>
      <c r="M28" s="45"/>
      <c r="N28" s="45"/>
      <c r="O28" s="163"/>
    </row>
    <row r="29" spans="1:15" x14ac:dyDescent="0.25">
      <c r="A29" s="233">
        <v>80</v>
      </c>
      <c r="B29" s="231" t="s">
        <v>188</v>
      </c>
      <c r="C29" s="231" t="s">
        <v>266</v>
      </c>
      <c r="D29" s="235">
        <v>0.19</v>
      </c>
      <c r="E29" s="234" t="s">
        <v>35</v>
      </c>
      <c r="F29" s="234">
        <v>4</v>
      </c>
      <c r="G29" s="234"/>
      <c r="H29" s="234">
        <v>1</v>
      </c>
      <c r="I29" s="235">
        <f t="shared" si="0"/>
        <v>0.76</v>
      </c>
      <c r="J29" s="111"/>
      <c r="K29" s="111"/>
      <c r="L29" s="111"/>
      <c r="M29" s="45"/>
      <c r="N29" s="45"/>
      <c r="O29" s="163"/>
    </row>
    <row r="30" spans="1:15" x14ac:dyDescent="0.25">
      <c r="A30" s="233">
        <v>90</v>
      </c>
      <c r="B30" s="231" t="s">
        <v>186</v>
      </c>
      <c r="C30" s="231" t="s">
        <v>267</v>
      </c>
      <c r="D30" s="235">
        <v>0.56000000000000005</v>
      </c>
      <c r="E30" s="234" t="s">
        <v>35</v>
      </c>
      <c r="F30" s="234">
        <v>2</v>
      </c>
      <c r="G30" s="234"/>
      <c r="H30" s="234">
        <v>1</v>
      </c>
      <c r="I30" s="235">
        <f t="shared" si="0"/>
        <v>1.1200000000000001</v>
      </c>
      <c r="J30" s="111"/>
      <c r="K30" s="155"/>
      <c r="L30" s="155"/>
      <c r="M30" s="47"/>
      <c r="N30" s="47"/>
      <c r="O30" s="163"/>
    </row>
    <row r="31" spans="1:15" x14ac:dyDescent="0.25">
      <c r="A31" s="233">
        <v>100</v>
      </c>
      <c r="B31" s="231" t="s">
        <v>186</v>
      </c>
      <c r="C31" s="231" t="s">
        <v>271</v>
      </c>
      <c r="D31" s="235">
        <v>0.56000000000000005</v>
      </c>
      <c r="E31" s="234" t="s">
        <v>35</v>
      </c>
      <c r="F31" s="234">
        <v>4</v>
      </c>
      <c r="G31" s="234"/>
      <c r="H31" s="234">
        <v>1</v>
      </c>
      <c r="I31" s="235">
        <f t="shared" si="0"/>
        <v>2.2400000000000002</v>
      </c>
      <c r="J31" s="111"/>
      <c r="K31" s="111"/>
      <c r="L31" s="155"/>
      <c r="M31" s="46"/>
      <c r="N31" s="46"/>
      <c r="O31" s="163"/>
    </row>
    <row r="32" spans="1:15" x14ac:dyDescent="0.25">
      <c r="A32" s="233">
        <v>110</v>
      </c>
      <c r="B32" s="231" t="s">
        <v>186</v>
      </c>
      <c r="C32" s="231" t="s">
        <v>270</v>
      </c>
      <c r="D32" s="235">
        <v>0.56000000000000005</v>
      </c>
      <c r="E32" s="234" t="s">
        <v>35</v>
      </c>
      <c r="F32" s="234">
        <v>4</v>
      </c>
      <c r="G32" s="234"/>
      <c r="H32" s="234">
        <v>1</v>
      </c>
      <c r="I32" s="235">
        <f t="shared" si="0"/>
        <v>2.2400000000000002</v>
      </c>
      <c r="J32" s="111"/>
      <c r="K32" s="111"/>
      <c r="L32" s="111"/>
      <c r="M32" s="47"/>
      <c r="N32" s="47"/>
      <c r="O32" s="163"/>
    </row>
    <row r="33" spans="1:15" x14ac:dyDescent="0.25">
      <c r="A33" s="233">
        <v>120</v>
      </c>
      <c r="B33" s="231" t="s">
        <v>268</v>
      </c>
      <c r="C33" s="231" t="s">
        <v>269</v>
      </c>
      <c r="D33" s="235">
        <v>0.75</v>
      </c>
      <c r="E33" s="234" t="s">
        <v>35</v>
      </c>
      <c r="F33" s="234">
        <v>2</v>
      </c>
      <c r="G33" s="234"/>
      <c r="H33" s="234">
        <v>1</v>
      </c>
      <c r="I33" s="235">
        <f t="shared" si="0"/>
        <v>1.5</v>
      </c>
      <c r="J33" s="111"/>
      <c r="K33" s="111"/>
      <c r="L33" s="111"/>
      <c r="M33" s="45"/>
      <c r="N33" s="45"/>
      <c r="O33" s="163"/>
    </row>
    <row r="34" spans="1:15" x14ac:dyDescent="0.25">
      <c r="A34" s="168"/>
      <c r="B34" s="19"/>
      <c r="C34" s="19"/>
      <c r="D34" s="19"/>
      <c r="E34" s="19"/>
      <c r="F34" s="19"/>
      <c r="G34" s="19"/>
      <c r="H34" s="96" t="s">
        <v>18</v>
      </c>
      <c r="I34" s="97">
        <f>SUM(I22:I33)</f>
        <v>15.54</v>
      </c>
      <c r="J34" s="45"/>
      <c r="K34" s="45"/>
      <c r="L34" s="45"/>
      <c r="M34" s="45"/>
      <c r="N34" s="45"/>
      <c r="O34" s="163"/>
    </row>
    <row r="35" spans="1:15" x14ac:dyDescent="0.25">
      <c r="A35" s="16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163"/>
    </row>
    <row r="36" spans="1:15" x14ac:dyDescent="0.25">
      <c r="A36" s="162" t="s">
        <v>14</v>
      </c>
      <c r="B36" s="95" t="s">
        <v>36</v>
      </c>
      <c r="C36" s="95" t="s">
        <v>20</v>
      </c>
      <c r="D36" s="95" t="s">
        <v>21</v>
      </c>
      <c r="E36" s="95" t="s">
        <v>22</v>
      </c>
      <c r="F36" s="95" t="s">
        <v>23</v>
      </c>
      <c r="G36" s="95" t="s">
        <v>24</v>
      </c>
      <c r="H36" s="95" t="s">
        <v>25</v>
      </c>
      <c r="I36" s="95" t="s">
        <v>17</v>
      </c>
      <c r="J36" s="95" t="s">
        <v>18</v>
      </c>
      <c r="K36" s="45"/>
      <c r="L36" s="45"/>
      <c r="M36" s="45"/>
      <c r="N36" s="45"/>
      <c r="O36" s="163"/>
    </row>
    <row r="37" spans="1:15" x14ac:dyDescent="0.25">
      <c r="A37" s="233">
        <v>10</v>
      </c>
      <c r="B37" s="234" t="s">
        <v>272</v>
      </c>
      <c r="C37" s="234" t="s">
        <v>273</v>
      </c>
      <c r="D37" s="240">
        <f>0.0002*E37*E37+0.013</f>
        <v>9.2999999999999999E-2</v>
      </c>
      <c r="E37" s="234">
        <v>20</v>
      </c>
      <c r="F37" s="241" t="s">
        <v>30</v>
      </c>
      <c r="G37" s="234"/>
      <c r="H37" s="231"/>
      <c r="I37" s="242">
        <v>8</v>
      </c>
      <c r="J37" s="235">
        <f>D37*I37</f>
        <v>0.74399999999999999</v>
      </c>
      <c r="K37" s="45"/>
      <c r="L37" s="45"/>
      <c r="M37" s="45"/>
      <c r="N37" s="45"/>
      <c r="O37" s="163"/>
    </row>
    <row r="38" spans="1:15" x14ac:dyDescent="0.25">
      <c r="A38" s="233">
        <v>20</v>
      </c>
      <c r="B38" s="243" t="s">
        <v>274</v>
      </c>
      <c r="C38" s="234" t="s">
        <v>275</v>
      </c>
      <c r="D38" s="240">
        <f>0.004*E38+0.5</f>
        <v>0.7898639999999999</v>
      </c>
      <c r="E38" s="234">
        <f>36.233*2</f>
        <v>72.465999999999994</v>
      </c>
      <c r="F38" s="241" t="s">
        <v>30</v>
      </c>
      <c r="G38" s="234"/>
      <c r="H38" s="231"/>
      <c r="I38" s="242">
        <v>4</v>
      </c>
      <c r="J38" s="235">
        <f>D38*I38</f>
        <v>3.1594559999999996</v>
      </c>
      <c r="K38" s="45"/>
      <c r="L38" s="45"/>
      <c r="M38" s="45"/>
      <c r="N38" s="45"/>
      <c r="O38" s="163"/>
    </row>
    <row r="39" spans="1:15" x14ac:dyDescent="0.25">
      <c r="A39" s="233">
        <v>30</v>
      </c>
      <c r="B39" s="243" t="s">
        <v>274</v>
      </c>
      <c r="C39" s="234" t="s">
        <v>275</v>
      </c>
      <c r="D39" s="240">
        <f>0.004*E39+0.5</f>
        <v>0.61115200000000003</v>
      </c>
      <c r="E39" s="234">
        <f>13.894*2</f>
        <v>27.788</v>
      </c>
      <c r="F39" s="241" t="s">
        <v>30</v>
      </c>
      <c r="G39" s="234"/>
      <c r="H39" s="231"/>
      <c r="I39" s="242">
        <v>4</v>
      </c>
      <c r="J39" s="235">
        <f>D39*I39</f>
        <v>2.4446080000000001</v>
      </c>
      <c r="K39" s="45"/>
      <c r="L39" s="45"/>
      <c r="M39" s="45"/>
      <c r="N39" s="45"/>
      <c r="O39" s="163"/>
    </row>
    <row r="40" spans="1:15" x14ac:dyDescent="0.25">
      <c r="A40" s="233">
        <v>40</v>
      </c>
      <c r="B40" s="234" t="s">
        <v>203</v>
      </c>
      <c r="C40" s="234" t="s">
        <v>276</v>
      </c>
      <c r="D40" s="240">
        <f>0.8/105154*E40*E40*G40*SQRT(G40)+(0.003*EXP(0.319*E40))</f>
        <v>8.2048330888522564E-2</v>
      </c>
      <c r="E40" s="234">
        <v>8</v>
      </c>
      <c r="F40" s="241" t="s">
        <v>30</v>
      </c>
      <c r="G40" s="234">
        <v>20</v>
      </c>
      <c r="H40" s="231" t="s">
        <v>30</v>
      </c>
      <c r="I40" s="242">
        <v>2</v>
      </c>
      <c r="J40" s="235">
        <f>D40*I40</f>
        <v>0.16409666177704513</v>
      </c>
      <c r="K40" s="45"/>
      <c r="L40" s="45"/>
      <c r="M40" s="45"/>
      <c r="N40" s="45"/>
      <c r="O40" s="163"/>
    </row>
    <row r="41" spans="1:15" x14ac:dyDescent="0.25">
      <c r="A41" s="233">
        <v>50</v>
      </c>
      <c r="B41" s="244" t="s">
        <v>277</v>
      </c>
      <c r="C41" s="234" t="s">
        <v>278</v>
      </c>
      <c r="D41" s="240">
        <v>0.49</v>
      </c>
      <c r="E41" s="234">
        <v>20</v>
      </c>
      <c r="F41" s="241" t="s">
        <v>30</v>
      </c>
      <c r="G41" s="234"/>
      <c r="H41" s="231"/>
      <c r="I41" s="242">
        <v>2</v>
      </c>
      <c r="J41" s="235">
        <f>D41*I41</f>
        <v>0.98</v>
      </c>
      <c r="K41" s="45"/>
      <c r="L41" s="45"/>
      <c r="M41" s="45"/>
      <c r="N41" s="45"/>
      <c r="O41" s="163"/>
    </row>
    <row r="42" spans="1:15" x14ac:dyDescent="0.25">
      <c r="A42" s="168"/>
      <c r="B42" s="19"/>
      <c r="C42" s="19"/>
      <c r="D42" s="19"/>
      <c r="E42" s="19"/>
      <c r="F42" s="19"/>
      <c r="G42" s="19"/>
      <c r="H42" s="19"/>
      <c r="I42" s="96" t="s">
        <v>18</v>
      </c>
      <c r="J42" s="97">
        <f>SUM(J37:J41)</f>
        <v>7.492160661777044</v>
      </c>
      <c r="K42" s="45"/>
      <c r="L42" s="45"/>
      <c r="M42" s="45"/>
      <c r="N42" s="45"/>
      <c r="O42" s="163"/>
    </row>
    <row r="43" spans="1:15" x14ac:dyDescent="0.25">
      <c r="A43" s="164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163"/>
    </row>
    <row r="44" spans="1:15" ht="15.75" thickBot="1" x14ac:dyDescent="0.3">
      <c r="A44" s="172"/>
      <c r="B44" s="173"/>
      <c r="C44" s="173"/>
      <c r="D44" s="173"/>
      <c r="E44" s="173"/>
      <c r="F44" s="173"/>
      <c r="G44" s="173"/>
      <c r="H44" s="173"/>
      <c r="I44" s="173"/>
      <c r="J44" s="173"/>
      <c r="K44" s="173"/>
      <c r="L44" s="173"/>
      <c r="M44" s="173"/>
      <c r="N44" s="173"/>
      <c r="O44" s="174"/>
    </row>
  </sheetData>
  <hyperlinks>
    <hyperlink ref="B10" location="EN_1000_001!A1" display="Inboard tripod housing" xr:uid="{A72A27D6-2A20-4300-924D-C758BA327F7E}"/>
    <hyperlink ref="B11" location="EN_1000_002!A1" display="Outboard tripod housing" xr:uid="{F3F51DEF-8CFB-40F9-85B6-42EB9AFF8C62}"/>
    <hyperlink ref="B13" location="EN_1000_004!A1" display="Right axle" xr:uid="{F9A1E856-B4CC-4119-A1D5-7D5CC7E17549}"/>
    <hyperlink ref="B12" location="EN_1000_003!A1" display="Left axle" xr:uid="{B3F2C828-FBF9-4C6B-8B62-07309ADDA238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D4142-F7DE-4D85-951E-DDF478122F83}">
  <sheetPr>
    <tabColor theme="6" tint="0.39997558519241921"/>
  </sheetPr>
  <dimension ref="A1:O34"/>
  <sheetViews>
    <sheetView topLeftCell="C1" zoomScale="85" zoomScaleNormal="85" workbookViewId="0">
      <selection activeCell="I12" sqref="I12"/>
    </sheetView>
  </sheetViews>
  <sheetFormatPr baseColWidth="10" defaultRowHeight="15" x14ac:dyDescent="0.25"/>
  <cols>
    <col min="2" max="2" width="45.42578125" customWidth="1"/>
    <col min="3" max="3" width="59.5703125" customWidth="1"/>
    <col min="4" max="4" width="12.28515625" bestFit="1" customWidth="1"/>
    <col min="6" max="6" width="12.28515625" bestFit="1" customWidth="1"/>
    <col min="7" max="7" width="24.28515625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250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279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4.0999054020002239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0.155</v>
      </c>
      <c r="L11" s="145">
        <v>7850</v>
      </c>
      <c r="M11" s="145">
        <v>1</v>
      </c>
      <c r="N11" s="140">
        <f>D11*J11*K11*L11*M11</f>
        <v>9.224787154500504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256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57" t="s">
        <v>18</v>
      </c>
      <c r="N13" s="105">
        <f>SUM(N11:N11)</f>
        <v>9.224787154500504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253" t="s">
        <v>14</v>
      </c>
      <c r="B15" s="255" t="s">
        <v>31</v>
      </c>
      <c r="C15" s="255" t="s">
        <v>20</v>
      </c>
      <c r="D15" s="255" t="s">
        <v>21</v>
      </c>
      <c r="E15" s="255" t="s">
        <v>32</v>
      </c>
      <c r="F15" s="255" t="s">
        <v>17</v>
      </c>
      <c r="G15" s="255" t="s">
        <v>33</v>
      </c>
      <c r="H15" s="255" t="s">
        <v>34</v>
      </c>
      <c r="I15" s="255" t="s">
        <v>18</v>
      </c>
      <c r="J15" s="19"/>
      <c r="K15" s="19"/>
      <c r="L15" s="19"/>
      <c r="M15" s="19"/>
      <c r="N15" s="19"/>
      <c r="O15" s="163"/>
    </row>
    <row r="16" spans="1:15" x14ac:dyDescent="0.25">
      <c r="A16" s="258">
        <v>10</v>
      </c>
      <c r="B16" s="247" t="s">
        <v>43</v>
      </c>
      <c r="C16" s="248" t="s">
        <v>283</v>
      </c>
      <c r="D16" s="249">
        <v>1.3</v>
      </c>
      <c r="E16" s="247" t="s">
        <v>32</v>
      </c>
      <c r="F16" s="246">
        <v>1</v>
      </c>
      <c r="G16" s="246"/>
      <c r="H16" s="246"/>
      <c r="I16" s="250">
        <f>IF(H16="",D16*F16,D16*F16*H16)</f>
        <v>1.3</v>
      </c>
      <c r="J16" s="19"/>
      <c r="K16" s="19"/>
      <c r="L16" s="19"/>
      <c r="M16" s="19"/>
      <c r="N16" s="19"/>
      <c r="O16" s="163"/>
    </row>
    <row r="17" spans="1:15" x14ac:dyDescent="0.25">
      <c r="A17" s="259">
        <v>20</v>
      </c>
      <c r="B17" s="248" t="s">
        <v>161</v>
      </c>
      <c r="C17" s="248" t="s">
        <v>287</v>
      </c>
      <c r="D17" s="249">
        <v>0.04</v>
      </c>
      <c r="E17" s="263" t="s">
        <v>162</v>
      </c>
      <c r="F17" s="251">
        <v>269.89999999999998</v>
      </c>
      <c r="G17" s="265" t="s">
        <v>288</v>
      </c>
      <c r="H17" s="266">
        <v>3</v>
      </c>
      <c r="I17" s="250">
        <f t="shared" ref="I17:I21" si="0">IF(H17="",D17*F17,D17*F17*H17)</f>
        <v>32.387999999999998</v>
      </c>
      <c r="J17" s="45"/>
      <c r="K17" s="45"/>
      <c r="L17" s="45"/>
      <c r="M17" s="45"/>
      <c r="N17" s="45"/>
      <c r="O17" s="163"/>
    </row>
    <row r="18" spans="1:15" x14ac:dyDescent="0.25">
      <c r="A18" s="258">
        <v>30</v>
      </c>
      <c r="B18" s="247" t="s">
        <v>285</v>
      </c>
      <c r="C18" s="248" t="s">
        <v>290</v>
      </c>
      <c r="D18" s="249">
        <v>0.65</v>
      </c>
      <c r="E18" s="247" t="s">
        <v>32</v>
      </c>
      <c r="F18" s="246">
        <v>1</v>
      </c>
      <c r="G18" s="246"/>
      <c r="H18" s="246"/>
      <c r="I18" s="250">
        <f t="shared" si="0"/>
        <v>0.65</v>
      </c>
      <c r="J18" s="45"/>
      <c r="K18" s="45"/>
      <c r="L18" s="45"/>
      <c r="M18" s="45"/>
      <c r="N18" s="45"/>
      <c r="O18" s="163"/>
    </row>
    <row r="19" spans="1:15" x14ac:dyDescent="0.25">
      <c r="A19" s="268">
        <v>40</v>
      </c>
      <c r="B19" s="269" t="s">
        <v>161</v>
      </c>
      <c r="C19" s="269" t="s">
        <v>289</v>
      </c>
      <c r="D19" s="249">
        <v>0.04</v>
      </c>
      <c r="E19" s="270" t="s">
        <v>162</v>
      </c>
      <c r="F19" s="278">
        <v>175.85</v>
      </c>
      <c r="G19" s="265" t="s">
        <v>288</v>
      </c>
      <c r="H19" s="271">
        <v>3</v>
      </c>
      <c r="I19" s="272">
        <f t="shared" si="0"/>
        <v>21.102</v>
      </c>
      <c r="J19" s="45"/>
      <c r="K19" s="45"/>
      <c r="L19" s="45"/>
      <c r="M19" s="45"/>
      <c r="N19" s="45"/>
      <c r="O19" s="163"/>
    </row>
    <row r="20" spans="1:15" x14ac:dyDescent="0.25">
      <c r="A20" s="273">
        <v>50</v>
      </c>
      <c r="B20" s="247" t="s">
        <v>285</v>
      </c>
      <c r="C20" s="248" t="s">
        <v>291</v>
      </c>
      <c r="D20" s="249">
        <v>0.65</v>
      </c>
      <c r="E20" s="247" t="s">
        <v>32</v>
      </c>
      <c r="F20" s="246">
        <v>1</v>
      </c>
      <c r="G20" s="275"/>
      <c r="H20" s="276"/>
      <c r="I20" s="272">
        <f t="shared" si="0"/>
        <v>0.65</v>
      </c>
      <c r="J20" s="45"/>
      <c r="K20" s="45"/>
      <c r="L20" s="45"/>
      <c r="M20" s="45"/>
      <c r="N20" s="45"/>
      <c r="O20" s="163"/>
    </row>
    <row r="21" spans="1:15" x14ac:dyDescent="0.25">
      <c r="A21" s="273">
        <v>60</v>
      </c>
      <c r="B21" s="274" t="s">
        <v>170</v>
      </c>
      <c r="C21" s="274" t="s">
        <v>286</v>
      </c>
      <c r="D21" s="249">
        <v>0.5</v>
      </c>
      <c r="E21" s="275" t="s">
        <v>45</v>
      </c>
      <c r="F21" s="279">
        <v>2.4700000000000002</v>
      </c>
      <c r="G21" s="275"/>
      <c r="H21" s="276"/>
      <c r="I21" s="272">
        <f t="shared" si="0"/>
        <v>1.2350000000000001</v>
      </c>
      <c r="J21" s="45"/>
      <c r="K21" s="45"/>
      <c r="L21" s="45"/>
      <c r="M21" s="45"/>
      <c r="N21" s="45"/>
      <c r="O21" s="163"/>
    </row>
    <row r="22" spans="1:15" x14ac:dyDescent="0.25">
      <c r="A22" s="168"/>
      <c r="B22" s="19"/>
      <c r="C22" s="19"/>
      <c r="D22" s="19"/>
      <c r="E22" s="19"/>
      <c r="F22" s="19"/>
      <c r="G22" s="19"/>
      <c r="H22" s="110" t="s">
        <v>18</v>
      </c>
      <c r="I22" s="280">
        <f>SUM(I16:I21)</f>
        <v>57.324999999999996</v>
      </c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A27" s="164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ht="15.75" thickBot="1" x14ac:dyDescent="0.3">
      <c r="A29" s="172"/>
      <c r="B29" s="173"/>
      <c r="C29" s="173"/>
      <c r="D29" s="173"/>
      <c r="E29" s="173"/>
      <c r="F29" s="173"/>
      <c r="G29" s="173"/>
      <c r="H29" s="173"/>
      <c r="I29" s="173"/>
      <c r="J29" s="173"/>
      <c r="K29" s="173"/>
      <c r="L29" s="173"/>
      <c r="M29" s="173"/>
      <c r="N29" s="173"/>
      <c r="O29" s="174"/>
    </row>
    <row r="31" spans="1:15" x14ac:dyDescent="0.25">
      <c r="I31" s="261"/>
    </row>
    <row r="32" spans="1:15" x14ac:dyDescent="0.25">
      <c r="H32" s="262"/>
      <c r="J32" s="262"/>
    </row>
    <row r="33" spans="6:11" x14ac:dyDescent="0.25">
      <c r="K33" s="262"/>
    </row>
    <row r="34" spans="6:11" x14ac:dyDescent="0.25">
      <c r="F34" s="261"/>
      <c r="G34" s="262"/>
      <c r="H34" s="262"/>
      <c r="J34" s="264"/>
      <c r="K34" s="264"/>
    </row>
  </sheetData>
  <hyperlinks>
    <hyperlink ref="B4" location="EN_A1000!A1" display="Driveshaft" xr:uid="{14C71347-ABED-4F3A-8B04-3EB2F1C5F84E}"/>
  </hyperlink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F321-BE68-4E0C-A8DD-7F6001EA6604}">
  <sheetPr>
    <tabColor theme="6" tint="0.39997558519241921"/>
  </sheetPr>
  <dimension ref="A1:O30"/>
  <sheetViews>
    <sheetView tabSelected="1" topLeftCell="C2" zoomScaleNormal="100" workbookViewId="0">
      <selection activeCell="J23" sqref="J23"/>
    </sheetView>
  </sheetViews>
  <sheetFormatPr baseColWidth="10" defaultRowHeight="15" x14ac:dyDescent="0.25"/>
  <cols>
    <col min="2" max="2" width="33.7109375" bestFit="1" customWidth="1"/>
    <col min="3" max="3" width="53" bestFit="1" customWidth="1"/>
    <col min="7" max="7" width="14.5703125" bestFit="1" customWidth="1"/>
    <col min="9" max="9" width="20.140625" bestFit="1" customWidth="1"/>
    <col min="12" max="13" width="12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53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53" t="s">
        <v>15</v>
      </c>
      <c r="B5" s="226" t="s">
        <v>251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53" t="s">
        <v>7</v>
      </c>
      <c r="B6" s="175" t="s">
        <v>292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55" t="s">
        <v>23</v>
      </c>
      <c r="G10" s="255" t="s">
        <v>24</v>
      </c>
      <c r="H10" s="255" t="s">
        <v>25</v>
      </c>
      <c r="I10" s="255" t="s">
        <v>26</v>
      </c>
      <c r="J10" s="255" t="s">
        <v>27</v>
      </c>
      <c r="K10" s="255" t="s">
        <v>28</v>
      </c>
      <c r="L10" s="255" t="s">
        <v>29</v>
      </c>
      <c r="M10" s="255" t="s">
        <v>17</v>
      </c>
      <c r="N10" s="255" t="s">
        <v>18</v>
      </c>
      <c r="O10" s="163"/>
    </row>
    <row r="11" spans="1:15" x14ac:dyDescent="0.25">
      <c r="A11" s="187">
        <v>10</v>
      </c>
      <c r="B11" s="243" t="s">
        <v>280</v>
      </c>
      <c r="C11" s="139" t="s">
        <v>281</v>
      </c>
      <c r="D11" s="140">
        <v>2.25</v>
      </c>
      <c r="E11" s="141">
        <f>J11*K11*L11</f>
        <v>4.2790580425663371</v>
      </c>
      <c r="F11" s="139" t="s">
        <v>155</v>
      </c>
      <c r="G11" s="139"/>
      <c r="H11" s="142"/>
      <c r="I11" s="143" t="s">
        <v>282</v>
      </c>
      <c r="J11" s="143">
        <f>PI()*65.5*65.5/4/1000000</f>
        <v>3.3695544705159026E-3</v>
      </c>
      <c r="K11" s="144">
        <v>0.161773</v>
      </c>
      <c r="L11" s="145">
        <v>7850</v>
      </c>
      <c r="M11" s="145">
        <v>1</v>
      </c>
      <c r="N11" s="140">
        <f>D11*J11*K11*L11*M11</f>
        <v>9.6278805957742595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57" t="s">
        <v>18</v>
      </c>
      <c r="N12" s="105">
        <f>SUM(N11:N11)</f>
        <v>9.6278805957742595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53" t="s">
        <v>14</v>
      </c>
      <c r="B14" s="255" t="s">
        <v>31</v>
      </c>
      <c r="C14" s="255" t="s">
        <v>20</v>
      </c>
      <c r="D14" s="255" t="s">
        <v>21</v>
      </c>
      <c r="E14" s="255" t="s">
        <v>32</v>
      </c>
      <c r="F14" s="255" t="s">
        <v>17</v>
      </c>
      <c r="G14" s="255" t="s">
        <v>33</v>
      </c>
      <c r="H14" s="255" t="s">
        <v>34</v>
      </c>
      <c r="I14" s="255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58">
        <v>10</v>
      </c>
      <c r="B15" s="247" t="s">
        <v>43</v>
      </c>
      <c r="C15" s="248" t="s">
        <v>283</v>
      </c>
      <c r="D15" s="249">
        <v>1.3</v>
      </c>
      <c r="E15" s="247" t="s">
        <v>32</v>
      </c>
      <c r="F15" s="246">
        <v>1</v>
      </c>
      <c r="G15" s="246"/>
      <c r="H15" s="246"/>
      <c r="I15" s="250">
        <f>IF(H15="",D15*F15,D15*F15*H15)</f>
        <v>1.3</v>
      </c>
      <c r="J15" s="19"/>
      <c r="K15" s="19"/>
      <c r="L15" s="19"/>
      <c r="M15" s="19"/>
      <c r="N15" s="19"/>
      <c r="O15" s="163"/>
    </row>
    <row r="16" spans="1:15" x14ac:dyDescent="0.25">
      <c r="A16" s="259">
        <v>20</v>
      </c>
      <c r="B16" s="248" t="s">
        <v>161</v>
      </c>
      <c r="C16" s="248" t="s">
        <v>287</v>
      </c>
      <c r="D16" s="249">
        <v>0.04</v>
      </c>
      <c r="E16" s="263" t="s">
        <v>162</v>
      </c>
      <c r="F16" s="251">
        <v>313.90100000000001</v>
      </c>
      <c r="G16" s="265" t="s">
        <v>288</v>
      </c>
      <c r="H16" s="266">
        <v>3</v>
      </c>
      <c r="I16" s="250">
        <f t="shared" ref="I16:I22" si="0">IF(H16="",D16*F16,D16*F16*H16)</f>
        <v>37.668120000000002</v>
      </c>
      <c r="J16" s="45"/>
      <c r="K16" s="45"/>
      <c r="L16" s="45"/>
      <c r="M16" s="45"/>
      <c r="N16" s="45"/>
      <c r="O16" s="163"/>
    </row>
    <row r="17" spans="1:15" x14ac:dyDescent="0.25">
      <c r="A17" s="258">
        <v>30</v>
      </c>
      <c r="B17" s="247" t="s">
        <v>285</v>
      </c>
      <c r="C17" s="248" t="s">
        <v>290</v>
      </c>
      <c r="D17" s="249">
        <v>0.65</v>
      </c>
      <c r="E17" s="247" t="s">
        <v>32</v>
      </c>
      <c r="F17" s="246">
        <v>1</v>
      </c>
      <c r="G17" s="246"/>
      <c r="H17" s="246"/>
      <c r="I17" s="250">
        <f t="shared" si="0"/>
        <v>0.65</v>
      </c>
      <c r="J17" s="45"/>
      <c r="K17" s="45"/>
      <c r="L17" s="45"/>
      <c r="M17" s="45"/>
      <c r="N17" s="45"/>
      <c r="O17" s="163"/>
    </row>
    <row r="18" spans="1:15" x14ac:dyDescent="0.25">
      <c r="A18" s="268">
        <v>40</v>
      </c>
      <c r="B18" s="269" t="s">
        <v>161</v>
      </c>
      <c r="C18" s="269" t="s">
        <v>289</v>
      </c>
      <c r="D18" s="249">
        <v>0.04</v>
      </c>
      <c r="E18" s="270" t="s">
        <v>162</v>
      </c>
      <c r="F18" s="278">
        <v>161.94</v>
      </c>
      <c r="G18" s="265" t="s">
        <v>288</v>
      </c>
      <c r="H18" s="271">
        <v>3</v>
      </c>
      <c r="I18" s="272">
        <f t="shared" si="0"/>
        <v>19.4328</v>
      </c>
      <c r="J18" s="45"/>
      <c r="K18" s="45"/>
      <c r="L18" s="45"/>
      <c r="M18" s="45"/>
      <c r="N18" s="45"/>
      <c r="O18" s="163"/>
    </row>
    <row r="19" spans="1:15" x14ac:dyDescent="0.25">
      <c r="A19" s="273">
        <v>50</v>
      </c>
      <c r="B19" s="247" t="s">
        <v>285</v>
      </c>
      <c r="C19" s="248" t="s">
        <v>291</v>
      </c>
      <c r="D19" s="249">
        <v>0.65</v>
      </c>
      <c r="E19" s="247" t="s">
        <v>32</v>
      </c>
      <c r="F19" s="246">
        <v>1</v>
      </c>
      <c r="G19" s="275"/>
      <c r="H19" s="276"/>
      <c r="I19" s="272">
        <f t="shared" si="0"/>
        <v>0.65</v>
      </c>
      <c r="J19" s="45"/>
      <c r="K19" s="45"/>
      <c r="L19" s="45"/>
      <c r="M19" s="45"/>
      <c r="N19" s="45"/>
      <c r="O19" s="163"/>
    </row>
    <row r="20" spans="1:15" x14ac:dyDescent="0.25">
      <c r="A20" s="273">
        <v>60</v>
      </c>
      <c r="B20" s="274" t="s">
        <v>170</v>
      </c>
      <c r="C20" s="274" t="s">
        <v>286</v>
      </c>
      <c r="D20" s="249">
        <v>0.5</v>
      </c>
      <c r="E20" s="275" t="s">
        <v>45</v>
      </c>
      <c r="F20" s="279">
        <v>5.8928000000000003</v>
      </c>
      <c r="G20" s="275"/>
      <c r="H20" s="276"/>
      <c r="I20" s="272">
        <f t="shared" si="0"/>
        <v>2.9464000000000001</v>
      </c>
      <c r="J20" s="45"/>
      <c r="K20" s="45"/>
      <c r="L20" s="45"/>
      <c r="M20" s="45"/>
      <c r="N20" s="45"/>
      <c r="O20" s="163"/>
    </row>
    <row r="21" spans="1:15" x14ac:dyDescent="0.25">
      <c r="A21" s="281">
        <v>70</v>
      </c>
      <c r="B21" s="274" t="s">
        <v>285</v>
      </c>
      <c r="C21" s="274" t="s">
        <v>297</v>
      </c>
      <c r="D21" s="282">
        <v>0.65</v>
      </c>
      <c r="E21" s="283" t="s">
        <v>32</v>
      </c>
      <c r="F21" s="284">
        <v>1</v>
      </c>
      <c r="G21" s="285"/>
      <c r="H21" s="285"/>
      <c r="I21" s="277">
        <f t="shared" si="0"/>
        <v>0.65</v>
      </c>
      <c r="J21" s="45"/>
      <c r="K21" s="45"/>
      <c r="L21" s="45"/>
      <c r="M21" s="45"/>
      <c r="N21" s="45"/>
      <c r="O21" s="163"/>
    </row>
    <row r="22" spans="1:15" x14ac:dyDescent="0.25">
      <c r="A22" s="273">
        <v>80</v>
      </c>
      <c r="B22" s="274" t="s">
        <v>298</v>
      </c>
      <c r="C22" s="274" t="s">
        <v>299</v>
      </c>
      <c r="D22" s="282">
        <v>0.1</v>
      </c>
      <c r="E22" s="283" t="s">
        <v>45</v>
      </c>
      <c r="F22" s="284">
        <v>1.8452999999999999</v>
      </c>
      <c r="G22" s="285"/>
      <c r="H22" s="285"/>
      <c r="I22" s="277">
        <f t="shared" si="0"/>
        <v>0.18453</v>
      </c>
      <c r="J22" s="45"/>
      <c r="K22" s="45"/>
      <c r="L22" s="177"/>
      <c r="M22" s="218"/>
      <c r="N22" s="45"/>
      <c r="O22" s="163"/>
    </row>
    <row r="23" spans="1:15" x14ac:dyDescent="0.25">
      <c r="A23" s="281"/>
      <c r="B23" s="19"/>
      <c r="C23" s="19"/>
      <c r="D23" s="19"/>
      <c r="E23" s="19"/>
      <c r="F23" s="19"/>
      <c r="G23" s="19"/>
      <c r="H23" s="110" t="s">
        <v>18</v>
      </c>
      <c r="I23" s="280">
        <f>SUM(I15:I20)</f>
        <v>62.647319999999993</v>
      </c>
      <c r="J23" s="45"/>
      <c r="K23" s="45"/>
      <c r="L23" s="45"/>
      <c r="M23" s="45"/>
      <c r="N23" s="45"/>
      <c r="O23" s="163"/>
    </row>
    <row r="24" spans="1:15" x14ac:dyDescent="0.25"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B25" s="45"/>
      <c r="C25" s="267"/>
      <c r="D25" s="45"/>
      <c r="E25" s="177"/>
      <c r="F25" s="177"/>
      <c r="G25" s="45"/>
      <c r="H25" s="45"/>
      <c r="I25" s="45"/>
      <c r="J25" s="45"/>
      <c r="K25" s="45"/>
      <c r="L25" s="45"/>
      <c r="M25" s="45"/>
      <c r="N25" s="45"/>
      <c r="O25" s="163"/>
    </row>
    <row r="26" spans="1:15" x14ac:dyDescent="0.25">
      <c r="B26" s="45"/>
      <c r="C26" s="177"/>
      <c r="D26" s="45"/>
      <c r="E26" s="177"/>
      <c r="F26" s="45"/>
      <c r="G26" s="45"/>
      <c r="H26" s="45"/>
      <c r="I26" s="45"/>
      <c r="J26" s="45"/>
      <c r="K26" s="45"/>
      <c r="L26" s="45"/>
      <c r="M26" s="45"/>
      <c r="N26" s="45"/>
      <c r="O26" s="163"/>
    </row>
    <row r="27" spans="1:15" x14ac:dyDescent="0.25">
      <c r="B27" s="45"/>
      <c r="C27" s="45"/>
      <c r="D27" s="45"/>
      <c r="E27" s="287"/>
      <c r="F27" s="45"/>
      <c r="G27" s="45"/>
      <c r="H27" s="45"/>
      <c r="I27" s="45"/>
      <c r="J27" s="45"/>
      <c r="K27" s="45"/>
      <c r="L27" s="45"/>
      <c r="M27" s="45"/>
      <c r="N27" s="45"/>
      <c r="O27" s="163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163"/>
    </row>
    <row r="30" spans="1:15" ht="15.75" thickBot="1" x14ac:dyDescent="0.3">
      <c r="B30" s="173"/>
      <c r="C30" s="173"/>
      <c r="D30" s="173"/>
      <c r="E30" s="173"/>
      <c r="F30" s="173"/>
      <c r="G30" s="173"/>
      <c r="H30" s="173"/>
      <c r="I30" s="173"/>
      <c r="J30" s="173"/>
      <c r="K30" s="173"/>
      <c r="L30" s="173"/>
      <c r="M30" s="173"/>
      <c r="N30" s="173"/>
      <c r="O30" s="174"/>
    </row>
  </sheetData>
  <hyperlinks>
    <hyperlink ref="B4" location="EN_A1000!A1" display="Driveshaft" xr:uid="{FF9C9BF0-8081-401C-8903-0E5F32CF10C8}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BE86C-E34C-48C6-8181-74AE21A7D0A0}">
  <sheetPr>
    <tabColor theme="6" tint="0.39997558519241921"/>
  </sheetPr>
  <dimension ref="A1:O30"/>
  <sheetViews>
    <sheetView zoomScaleNormal="100" workbookViewId="0">
      <selection activeCell="C6" sqref="C6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1.1472790446544314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0.38100000000000001</v>
      </c>
      <c r="L11" s="145">
        <v>7850</v>
      </c>
      <c r="M11" s="145">
        <v>1</v>
      </c>
      <c r="N11" s="140">
        <f>D11*J11*K11*L11*M11</f>
        <v>2.58137785047247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2.58137785047247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J11*0.009249*2*1000000</f>
        <v>7.0957646715875651</v>
      </c>
      <c r="G16" s="289" t="s">
        <v>284</v>
      </c>
      <c r="H16" s="281">
        <v>3</v>
      </c>
      <c r="I16" s="277">
        <f>IF(H16="",D16*F16,D16*F16*H16)</f>
        <v>0.8514917605905078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>IF(H17="",D17*F17,D17*F17*H17)</f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(K11-2*0.009249)*PI()*0.00635*0.00635*1000000</f>
        <v>45.920618646950281</v>
      </c>
      <c r="G18" s="289" t="s">
        <v>284</v>
      </c>
      <c r="H18" s="281">
        <v>3</v>
      </c>
      <c r="I18" s="277">
        <f>IF(H18="",D18*F18,D18*F18*H18)</f>
        <v>5.5104742376340337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>IF(H19="",D19*F19,D19*F19*H19)</f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49.146*2/10</f>
        <v>9.8292000000000002</v>
      </c>
      <c r="G20" s="285"/>
      <c r="H20" s="285"/>
      <c r="I20" s="277">
        <f>IF(H20="",D20*F20,D20*F20*H20)</f>
        <v>4.9146000000000001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13.876565998224542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ht="15.75" thickBot="1" x14ac:dyDescent="0.3">
      <c r="A24" s="172"/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4"/>
    </row>
    <row r="25" spans="1:15" x14ac:dyDescent="0.25">
      <c r="B25" s="45"/>
      <c r="C25" s="45"/>
      <c r="D25" s="45"/>
      <c r="E25" s="45"/>
      <c r="F25" s="45"/>
      <c r="G25" s="45"/>
      <c r="H25" s="45"/>
      <c r="I25" s="45"/>
    </row>
    <row r="26" spans="1:15" x14ac:dyDescent="0.25">
      <c r="B26" s="45"/>
      <c r="C26" s="45"/>
      <c r="D26" s="45"/>
      <c r="E26" s="45"/>
      <c r="F26" s="45"/>
      <c r="G26" s="45"/>
      <c r="H26" s="45"/>
      <c r="I26" s="45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B30" s="45"/>
      <c r="C30" s="45"/>
      <c r="D30" s="45"/>
      <c r="E30" s="45"/>
      <c r="F30" s="45"/>
      <c r="G30" s="45"/>
      <c r="H30" s="45"/>
      <c r="I30" s="45"/>
    </row>
  </sheetData>
  <hyperlinks>
    <hyperlink ref="B4" location="EN_A1000!A1" display="Driveshaft" xr:uid="{264BDC21-2F70-442B-B94A-24FE91BAB0E8}"/>
    <hyperlink ref="D3" location="'EN_1000_003 Drawing'!A1" display="FileLink1" xr:uid="{E2643090-5EC8-4828-BDC3-2A60C67FB06D}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F5FF-3B9E-4BE6-BCC4-B605A4A577E2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286" t="s">
        <v>293</v>
      </c>
    </row>
  </sheetData>
  <hyperlinks>
    <hyperlink ref="A1" location="EN_1000_003" display="EN_1000_003" xr:uid="{0059A778-37A3-42B6-B92C-98F89F6D26F7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D7E70-3A36-4051-ADBC-E2E08B0C7EA8}">
  <sheetPr>
    <tabColor theme="6" tint="0.39997558519241921"/>
  </sheetPr>
  <dimension ref="A1:O32"/>
  <sheetViews>
    <sheetView topLeftCell="B1" zoomScaleNormal="100" workbookViewId="0">
      <selection activeCell="B6" sqref="B6"/>
    </sheetView>
  </sheetViews>
  <sheetFormatPr baseColWidth="10" defaultRowHeight="15" x14ac:dyDescent="0.25"/>
  <cols>
    <col min="2" max="2" width="33.7109375" bestFit="1" customWidth="1"/>
    <col min="3" max="3" width="43.5703125" bestFit="1" customWidth="1"/>
    <col min="5" max="5" width="17.28515625" bestFit="1" customWidth="1"/>
    <col min="7" max="7" width="13.7109375" bestFit="1" customWidth="1"/>
    <col min="9" max="9" width="20.14062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EN_1000_001_m+EN_1000_001_p</f>
        <v>66.549787154500507</v>
      </c>
      <c r="O2" s="163"/>
    </row>
    <row r="3" spans="1:15" x14ac:dyDescent="0.25">
      <c r="A3" s="181" t="s">
        <v>3</v>
      </c>
      <c r="B3" s="180" t="s">
        <v>134</v>
      </c>
      <c r="C3" s="45"/>
      <c r="D3" s="254" t="s">
        <v>6</v>
      </c>
      <c r="E3" s="45" t="s">
        <v>307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2</v>
      </c>
      <c r="O3" s="163"/>
    </row>
    <row r="4" spans="1:15" x14ac:dyDescent="0.25">
      <c r="A4" s="290" t="s">
        <v>5</v>
      </c>
      <c r="B4" s="254" t="s">
        <v>249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290" t="s">
        <v>15</v>
      </c>
      <c r="B5" s="252" t="s">
        <v>295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133.09957430900101</v>
      </c>
      <c r="O5" s="163"/>
    </row>
    <row r="6" spans="1:15" x14ac:dyDescent="0.25">
      <c r="A6" s="290" t="s">
        <v>7</v>
      </c>
      <c r="B6" s="175" t="s">
        <v>296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291" t="s">
        <v>23</v>
      </c>
      <c r="G10" s="291" t="s">
        <v>24</v>
      </c>
      <c r="H10" s="291" t="s">
        <v>25</v>
      </c>
      <c r="I10" s="291" t="s">
        <v>26</v>
      </c>
      <c r="J10" s="291" t="s">
        <v>27</v>
      </c>
      <c r="K10" s="291" t="s">
        <v>28</v>
      </c>
      <c r="L10" s="291" t="s">
        <v>29</v>
      </c>
      <c r="M10" s="291" t="s">
        <v>17</v>
      </c>
      <c r="N10" s="291" t="s">
        <v>18</v>
      </c>
      <c r="O10" s="163"/>
    </row>
    <row r="11" spans="1:15" x14ac:dyDescent="0.25">
      <c r="A11" s="187">
        <v>10</v>
      </c>
      <c r="B11" s="292" t="s">
        <v>280</v>
      </c>
      <c r="C11" s="139" t="s">
        <v>301</v>
      </c>
      <c r="D11" s="140">
        <v>2.25</v>
      </c>
      <c r="E11" s="141">
        <f>J11*K11*L11</f>
        <v>1.3002495839416888</v>
      </c>
      <c r="F11" s="139" t="s">
        <v>155</v>
      </c>
      <c r="G11" s="139"/>
      <c r="H11" s="142"/>
      <c r="I11" s="143" t="s">
        <v>300</v>
      </c>
      <c r="J11" s="143">
        <f>PI()*22.1*22.1/4/1000000</f>
        <v>3.8359631698494783E-4</v>
      </c>
      <c r="K11" s="144">
        <v>0.43180000000000002</v>
      </c>
      <c r="L11" s="145">
        <v>7850</v>
      </c>
      <c r="M11" s="145">
        <v>1</v>
      </c>
      <c r="N11" s="140">
        <f>D11*J11*K11*L11*M11</f>
        <v>2.9255615638687997</v>
      </c>
      <c r="O11" s="167"/>
    </row>
    <row r="12" spans="1:15" x14ac:dyDescent="0.25">
      <c r="A12" s="168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93" t="s">
        <v>18</v>
      </c>
      <c r="N12" s="105">
        <f>SUM(N11:N11)</f>
        <v>2.9255615638687997</v>
      </c>
      <c r="O12" s="163"/>
    </row>
    <row r="13" spans="1:15" x14ac:dyDescent="0.25">
      <c r="A13" s="164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163"/>
    </row>
    <row r="14" spans="1:15" x14ac:dyDescent="0.25">
      <c r="A14" s="290" t="s">
        <v>14</v>
      </c>
      <c r="B14" s="291" t="s">
        <v>31</v>
      </c>
      <c r="C14" s="291" t="s">
        <v>20</v>
      </c>
      <c r="D14" s="291" t="s">
        <v>21</v>
      </c>
      <c r="E14" s="291" t="s">
        <v>32</v>
      </c>
      <c r="F14" s="291" t="s">
        <v>17</v>
      </c>
      <c r="G14" s="291" t="s">
        <v>33</v>
      </c>
      <c r="H14" s="291" t="s">
        <v>34</v>
      </c>
      <c r="I14" s="291" t="s">
        <v>18</v>
      </c>
      <c r="J14" s="19"/>
      <c r="K14" s="19"/>
      <c r="L14" s="19"/>
      <c r="M14" s="19"/>
      <c r="N14" s="19"/>
      <c r="O14" s="163"/>
    </row>
    <row r="15" spans="1:15" x14ac:dyDescent="0.25">
      <c r="A15" s="294">
        <v>10</v>
      </c>
      <c r="B15" s="274" t="s">
        <v>43</v>
      </c>
      <c r="C15" s="274" t="s">
        <v>302</v>
      </c>
      <c r="D15" s="282">
        <v>1.3</v>
      </c>
      <c r="E15" s="283" t="s">
        <v>32</v>
      </c>
      <c r="F15" s="284">
        <v>1</v>
      </c>
      <c r="G15" s="285"/>
      <c r="H15" s="285"/>
      <c r="I15" s="277">
        <f>IF(H15="",D15*F15,D15*F15*H15)</f>
        <v>1.3</v>
      </c>
      <c r="J15" s="45"/>
      <c r="K15" s="45"/>
      <c r="L15" s="45"/>
      <c r="M15" s="45"/>
      <c r="N15" s="45"/>
      <c r="O15" s="163"/>
    </row>
    <row r="16" spans="1:15" x14ac:dyDescent="0.25">
      <c r="A16" s="294">
        <v>20</v>
      </c>
      <c r="B16" s="274" t="s">
        <v>161</v>
      </c>
      <c r="C16" s="274" t="s">
        <v>305</v>
      </c>
      <c r="D16" s="282">
        <v>0.04</v>
      </c>
      <c r="E16" s="283" t="s">
        <v>162</v>
      </c>
      <c r="F16" s="288">
        <f>J11*0.014843*2*1000000</f>
        <v>11.387440266015162</v>
      </c>
      <c r="G16" s="289" t="s">
        <v>284</v>
      </c>
      <c r="H16" s="281">
        <v>3</v>
      </c>
      <c r="I16" s="277">
        <f>IF(H16="",D16*F16,D16*F16*H16)</f>
        <v>1.3664928319218195</v>
      </c>
      <c r="J16" s="45"/>
      <c r="K16" s="45"/>
      <c r="L16" s="45"/>
      <c r="M16" s="45"/>
      <c r="N16" s="45"/>
      <c r="O16" s="163"/>
    </row>
    <row r="17" spans="1:15" x14ac:dyDescent="0.25">
      <c r="A17" s="294">
        <v>30</v>
      </c>
      <c r="B17" s="274" t="s">
        <v>285</v>
      </c>
      <c r="C17" s="274" t="s">
        <v>303</v>
      </c>
      <c r="D17" s="282">
        <v>0.65</v>
      </c>
      <c r="E17" s="283" t="s">
        <v>32</v>
      </c>
      <c r="F17" s="284">
        <v>1</v>
      </c>
      <c r="G17" s="285"/>
      <c r="H17" s="285"/>
      <c r="I17" s="277">
        <f>IF(H17="",D17*F17,D17*F17*H17)</f>
        <v>0.65</v>
      </c>
      <c r="J17" s="45"/>
      <c r="K17" s="45"/>
      <c r="L17" s="45"/>
      <c r="M17" s="45"/>
      <c r="N17" s="45"/>
      <c r="O17" s="163"/>
    </row>
    <row r="18" spans="1:15" x14ac:dyDescent="0.25">
      <c r="A18" s="294">
        <v>40</v>
      </c>
      <c r="B18" s="274" t="s">
        <v>161</v>
      </c>
      <c r="C18" s="274" t="s">
        <v>306</v>
      </c>
      <c r="D18" s="282">
        <v>0.04</v>
      </c>
      <c r="E18" s="283" t="s">
        <v>162</v>
      </c>
      <c r="F18" s="288">
        <f>(K11-2*0.014843)*PI()*0.00635*0.00635*1000000</f>
        <v>50.938542812452809</v>
      </c>
      <c r="G18" s="289" t="s">
        <v>284</v>
      </c>
      <c r="H18" s="281">
        <v>3</v>
      </c>
      <c r="I18" s="277">
        <f>IF(H18="",D18*F18,D18*F18*H18)</f>
        <v>6.1126251374943372</v>
      </c>
      <c r="J18" s="45"/>
      <c r="K18" s="45"/>
      <c r="L18" s="45"/>
      <c r="M18" s="45"/>
      <c r="N18" s="45"/>
      <c r="O18" s="163"/>
    </row>
    <row r="19" spans="1:15" x14ac:dyDescent="0.25">
      <c r="A19" s="294">
        <v>50</v>
      </c>
      <c r="B19" s="274" t="s">
        <v>285</v>
      </c>
      <c r="C19" s="274" t="s">
        <v>303</v>
      </c>
      <c r="D19" s="282">
        <v>0.65</v>
      </c>
      <c r="E19" s="283" t="s">
        <v>32</v>
      </c>
      <c r="F19" s="284">
        <v>1</v>
      </c>
      <c r="G19" s="285"/>
      <c r="H19" s="285"/>
      <c r="I19" s="277">
        <f>IF(H19="",D19*F19,D19*F19*H19)</f>
        <v>0.65</v>
      </c>
      <c r="J19" s="45"/>
      <c r="K19" s="45"/>
      <c r="L19" s="45"/>
      <c r="M19" s="45"/>
      <c r="N19" s="45"/>
      <c r="O19" s="163"/>
    </row>
    <row r="20" spans="1:15" x14ac:dyDescent="0.25">
      <c r="A20" s="294">
        <v>60</v>
      </c>
      <c r="B20" s="274" t="s">
        <v>170</v>
      </c>
      <c r="C20" s="274" t="s">
        <v>304</v>
      </c>
      <c r="D20" s="282">
        <v>0.5</v>
      </c>
      <c r="E20" s="283" t="s">
        <v>45</v>
      </c>
      <c r="F20" s="284">
        <f>43.578*2/10</f>
        <v>8.7156000000000002</v>
      </c>
      <c r="G20" s="285"/>
      <c r="H20" s="285"/>
      <c r="I20" s="277">
        <f>IF(H20="",D20*F20,D20*F20*H20)</f>
        <v>4.3578000000000001</v>
      </c>
      <c r="J20" s="45"/>
      <c r="K20" s="45"/>
      <c r="L20" s="45"/>
      <c r="M20" s="45"/>
      <c r="N20" s="45"/>
      <c r="O20" s="163"/>
    </row>
    <row r="21" spans="1:15" x14ac:dyDescent="0.25">
      <c r="A21" s="164"/>
      <c r="B21" s="19"/>
      <c r="C21" s="19"/>
      <c r="D21" s="19"/>
      <c r="E21" s="19"/>
      <c r="F21" s="19"/>
      <c r="G21" s="19"/>
      <c r="H21" s="110" t="s">
        <v>18</v>
      </c>
      <c r="I21" s="280">
        <f>SUM(I15:I20)</f>
        <v>14.436917969416157</v>
      </c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  <row r="27" spans="1:15" x14ac:dyDescent="0.25">
      <c r="B27" s="45"/>
      <c r="C27" s="45"/>
      <c r="D27" s="45"/>
      <c r="E27" s="45"/>
      <c r="F27" s="45"/>
      <c r="G27" s="45"/>
      <c r="H27" s="45"/>
      <c r="I27" s="45"/>
    </row>
    <row r="28" spans="1:15" x14ac:dyDescent="0.25">
      <c r="B28" s="45"/>
      <c r="C28" s="45"/>
      <c r="D28" s="45"/>
      <c r="E28" s="45"/>
      <c r="F28" s="45"/>
      <c r="G28" s="45"/>
      <c r="H28" s="45"/>
      <c r="I28" s="45"/>
    </row>
    <row r="29" spans="1:15" x14ac:dyDescent="0.25">
      <c r="B29" s="45"/>
      <c r="C29" s="45"/>
      <c r="D29" s="45"/>
      <c r="E29" s="45"/>
      <c r="F29" s="45"/>
      <c r="G29" s="45"/>
      <c r="H29" s="45"/>
      <c r="I29" s="45"/>
    </row>
    <row r="30" spans="1:15" x14ac:dyDescent="0.25">
      <c r="A30" s="45"/>
      <c r="B30" s="45"/>
      <c r="C30" s="45"/>
      <c r="D30" s="45"/>
      <c r="E30" s="45"/>
      <c r="F30" s="45"/>
      <c r="G30" s="45"/>
      <c r="H30" s="45"/>
      <c r="I30" s="45"/>
    </row>
    <row r="31" spans="1:15" x14ac:dyDescent="0.25">
      <c r="A31" s="45"/>
      <c r="B31" s="45"/>
      <c r="C31" s="45"/>
      <c r="D31" s="45"/>
      <c r="E31" s="45"/>
      <c r="F31" s="45"/>
      <c r="G31" s="45"/>
      <c r="H31" s="45"/>
      <c r="I31" s="45"/>
    </row>
    <row r="32" spans="1:15" x14ac:dyDescent="0.25">
      <c r="A32" s="45"/>
      <c r="B32" s="45"/>
      <c r="C32" s="45"/>
      <c r="D32" s="45"/>
      <c r="E32" s="45"/>
      <c r="F32" s="45"/>
      <c r="G32" s="45"/>
      <c r="H32" s="45"/>
      <c r="I32" s="45"/>
    </row>
  </sheetData>
  <hyperlinks>
    <hyperlink ref="B4" location="EN_A1000!A1" display="Driveshaft" xr:uid="{58957493-CEF2-4EEA-B403-B9FA8EE073B4}"/>
    <hyperlink ref="D3" location="'EN_1000_004 Drawing'!A1" display="FileLink1" xr:uid="{D079C1BA-582D-4B7A-BF47-41C78B6C2493}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D418-FC24-44FA-8188-943C3F051D67}">
  <sheetPr>
    <tabColor theme="6" tint="0.39997558519241921"/>
  </sheetPr>
  <dimension ref="A1"/>
  <sheetViews>
    <sheetView workbookViewId="0"/>
  </sheetViews>
  <sheetFormatPr baseColWidth="10" defaultRowHeight="15" x14ac:dyDescent="0.25"/>
  <sheetData>
    <row r="1" spans="1:1" x14ac:dyDescent="0.25">
      <c r="A1" s="66" t="s">
        <v>296</v>
      </c>
    </row>
  </sheetData>
  <hyperlinks>
    <hyperlink ref="A1" location="EN_1000_004" display="EN_1000_004" xr:uid="{C9FAD0C7-A44C-434E-9009-46372571A3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-0.249977111117893"/>
    <pageSetUpPr fitToPage="1"/>
  </sheetPr>
  <dimension ref="A1:O62"/>
  <sheetViews>
    <sheetView zoomScale="85" zoomScaleNormal="85" zoomScaleSheetLayoutView="80" workbookViewId="0">
      <selection activeCell="C10" sqref="C10"/>
    </sheetView>
  </sheetViews>
  <sheetFormatPr baseColWidth="10" defaultColWidth="9.140625" defaultRowHeight="15" x14ac:dyDescent="0.25"/>
  <cols>
    <col min="1" max="1" width="11.42578125"/>
    <col min="2" max="2" width="41.42578125" bestFit="1" customWidth="1"/>
    <col min="3" max="3" width="35.5703125"/>
    <col min="4" max="4" width="11.42578125"/>
    <col min="5" max="5" width="13.140625"/>
    <col min="6" max="7" width="11.42578125"/>
    <col min="8" max="8" width="15.7109375"/>
    <col min="9" max="9" width="15.42578125"/>
    <col min="10" max="10" width="13.42578125" customWidth="1"/>
    <col min="11" max="12" width="11.42578125"/>
    <col min="13" max="13" width="15.28515625"/>
    <col min="14" max="14" width="11.42578125"/>
    <col min="15" max="15" width="5.28515625" customWidth="1"/>
    <col min="16" max="1025" width="11.42578125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62" t="s">
        <v>0</v>
      </c>
      <c r="B2" s="111" t="s">
        <v>42</v>
      </c>
      <c r="C2" s="45"/>
      <c r="D2" s="45"/>
      <c r="E2" s="45" t="s">
        <v>119</v>
      </c>
      <c r="F2" s="45"/>
      <c r="G2" s="45"/>
      <c r="H2" s="45"/>
      <c r="I2" s="45"/>
      <c r="J2" s="95" t="s">
        <v>1</v>
      </c>
      <c r="K2" s="63">
        <v>81</v>
      </c>
      <c r="L2" s="45"/>
      <c r="M2" s="95" t="s">
        <v>2</v>
      </c>
      <c r="N2" s="72">
        <f>EN_A0900_pa+EN_A0900_m+EN_A0900_p+EN_A0900_f+EN_A0900_t</f>
        <v>386.44927304184273</v>
      </c>
      <c r="O2" s="163"/>
    </row>
    <row r="3" spans="1:15" x14ac:dyDescent="0.25">
      <c r="A3" s="162" t="s">
        <v>3</v>
      </c>
      <c r="B3" s="111" t="s">
        <v>134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95" t="s">
        <v>4</v>
      </c>
      <c r="N3" s="62">
        <v>1</v>
      </c>
      <c r="O3" s="163"/>
    </row>
    <row r="4" spans="1:15" x14ac:dyDescent="0.25">
      <c r="A4" s="162" t="s">
        <v>5</v>
      </c>
      <c r="B4" s="111" t="s">
        <v>140</v>
      </c>
      <c r="C4" s="45"/>
      <c r="D4" s="45"/>
      <c r="E4" s="45"/>
      <c r="F4" s="45"/>
      <c r="G4" s="45"/>
      <c r="H4" s="45"/>
      <c r="I4" s="45"/>
      <c r="J4" s="98" t="s">
        <v>6</v>
      </c>
      <c r="K4" s="45"/>
      <c r="L4" s="45"/>
      <c r="M4" s="45"/>
      <c r="N4" s="45"/>
      <c r="O4" s="163"/>
    </row>
    <row r="5" spans="1:15" x14ac:dyDescent="0.25">
      <c r="A5" s="162" t="s">
        <v>7</v>
      </c>
      <c r="B5" s="112" t="s">
        <v>159</v>
      </c>
      <c r="C5" s="45"/>
      <c r="D5" s="45"/>
      <c r="E5" s="45"/>
      <c r="F5" s="45"/>
      <c r="G5" s="45"/>
      <c r="H5" s="45"/>
      <c r="I5" s="45"/>
      <c r="J5" s="98" t="s">
        <v>8</v>
      </c>
      <c r="K5" s="45"/>
      <c r="L5" s="45"/>
      <c r="M5" s="95" t="s">
        <v>9</v>
      </c>
      <c r="N5" s="61">
        <f>N2*N3</f>
        <v>386.44927304184273</v>
      </c>
      <c r="O5" s="163"/>
    </row>
    <row r="6" spans="1:15" x14ac:dyDescent="0.25">
      <c r="A6" s="162" t="s">
        <v>10</v>
      </c>
      <c r="B6" s="111" t="s">
        <v>11</v>
      </c>
      <c r="C6" s="45"/>
      <c r="D6" s="45"/>
      <c r="E6" s="45"/>
      <c r="F6" s="45"/>
      <c r="G6" s="45"/>
      <c r="H6" s="45"/>
      <c r="I6" s="45"/>
      <c r="J6" s="98" t="s">
        <v>12</v>
      </c>
      <c r="K6" s="45"/>
      <c r="L6" s="45"/>
      <c r="M6" s="45"/>
      <c r="N6" s="45"/>
      <c r="O6" s="163"/>
    </row>
    <row r="7" spans="1:15" x14ac:dyDescent="0.25">
      <c r="A7" s="162" t="s">
        <v>13</v>
      </c>
      <c r="B7" s="111" t="s">
        <v>136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64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62" t="s">
        <v>14</v>
      </c>
      <c r="B9" s="117" t="s">
        <v>15</v>
      </c>
      <c r="C9" s="95" t="s">
        <v>16</v>
      </c>
      <c r="D9" s="95" t="s">
        <v>17</v>
      </c>
      <c r="E9" s="95" t="s">
        <v>18</v>
      </c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65">
        <v>10</v>
      </c>
      <c r="B10" s="224" t="s">
        <v>137</v>
      </c>
      <c r="C10" s="114">
        <f>EN_0900_001!N$2</f>
        <v>112.52931553333677</v>
      </c>
      <c r="D10" s="176">
        <f>EN_0900_001!N$3</f>
        <v>1</v>
      </c>
      <c r="E10" s="116">
        <f>C10*D10</f>
        <v>112.52931553333677</v>
      </c>
      <c r="F10" s="45"/>
      <c r="G10" s="45"/>
      <c r="H10" s="45"/>
      <c r="I10" s="45"/>
      <c r="J10" s="45"/>
      <c r="K10" s="45"/>
      <c r="L10" s="45"/>
      <c r="M10" s="45"/>
      <c r="N10" s="45"/>
      <c r="O10" s="163"/>
    </row>
    <row r="11" spans="1:15" x14ac:dyDescent="0.25">
      <c r="A11" s="165">
        <v>20</v>
      </c>
      <c r="B11" s="224" t="s">
        <v>139</v>
      </c>
      <c r="C11" s="114">
        <f>EN_0900_002!N$2</f>
        <v>10.904564699673662</v>
      </c>
      <c r="D11" s="176">
        <f>EN_0900_002!N$3</f>
        <v>1</v>
      </c>
      <c r="E11" s="116">
        <f>C11*D11</f>
        <v>10.904564699673662</v>
      </c>
      <c r="F11" s="46"/>
      <c r="G11" s="46"/>
      <c r="H11" s="46"/>
      <c r="I11" s="46"/>
      <c r="J11" s="46"/>
      <c r="K11" s="46"/>
      <c r="L11" s="46"/>
      <c r="M11" s="46"/>
      <c r="N11" s="46"/>
      <c r="O11" s="166"/>
    </row>
    <row r="12" spans="1:15" x14ac:dyDescent="0.25">
      <c r="A12" s="165">
        <v>30</v>
      </c>
      <c r="B12" s="224" t="s">
        <v>138</v>
      </c>
      <c r="C12" s="114">
        <f>EN_0900_003!N$2</f>
        <v>8.5389646196590014</v>
      </c>
      <c r="D12" s="176">
        <f>EN_0900_003!N$3</f>
        <v>1</v>
      </c>
      <c r="E12" s="116">
        <f t="shared" ref="E12:E18" si="0">C12*D12</f>
        <v>8.5389646196590014</v>
      </c>
      <c r="F12" s="46"/>
      <c r="G12" s="46"/>
      <c r="H12" s="46"/>
      <c r="I12" s="46"/>
      <c r="J12" s="46"/>
      <c r="K12" s="46"/>
      <c r="L12" s="46"/>
      <c r="M12" s="46"/>
      <c r="N12" s="46"/>
      <c r="O12" s="166"/>
    </row>
    <row r="13" spans="1:15" x14ac:dyDescent="0.25">
      <c r="A13" s="165">
        <v>40</v>
      </c>
      <c r="B13" s="224" t="s">
        <v>212</v>
      </c>
      <c r="C13" s="114">
        <f>EN_0900_004!N$2</f>
        <v>23.956417471999998</v>
      </c>
      <c r="D13" s="176">
        <f>EN_0900_004!N$3</f>
        <v>1</v>
      </c>
      <c r="E13" s="116">
        <f>C13*D13</f>
        <v>23.956417471999998</v>
      </c>
      <c r="F13" s="46"/>
      <c r="G13" s="46"/>
      <c r="H13" s="46"/>
      <c r="I13" s="46"/>
      <c r="J13" s="46"/>
      <c r="K13" s="46"/>
      <c r="L13" s="46"/>
      <c r="M13" s="46"/>
      <c r="N13" s="46"/>
      <c r="O13" s="163"/>
    </row>
    <row r="14" spans="1:15" x14ac:dyDescent="0.25">
      <c r="A14" s="165">
        <v>50</v>
      </c>
      <c r="B14" s="224" t="s">
        <v>213</v>
      </c>
      <c r="C14" s="114">
        <f>EN_0900_005!N$2</f>
        <v>17.198412672</v>
      </c>
      <c r="D14" s="176">
        <f>EN_0900_005!N$3</f>
        <v>1</v>
      </c>
      <c r="E14" s="116">
        <f>C14*D14</f>
        <v>17.198412672</v>
      </c>
      <c r="F14" s="46"/>
      <c r="G14" s="46"/>
      <c r="H14" s="46"/>
      <c r="I14" s="46"/>
      <c r="J14" s="46"/>
      <c r="K14" s="46"/>
      <c r="L14" s="46"/>
      <c r="M14" s="46"/>
      <c r="N14" s="46"/>
      <c r="O14" s="163"/>
    </row>
    <row r="15" spans="1:15" x14ac:dyDescent="0.25">
      <c r="A15" s="165">
        <v>60</v>
      </c>
      <c r="B15" s="224" t="s">
        <v>214</v>
      </c>
      <c r="C15" s="114">
        <f>EN_0900_006!N$2</f>
        <v>0.83337245000000004</v>
      </c>
      <c r="D15" s="176">
        <f>EN_0900_006!N$3</f>
        <v>4</v>
      </c>
      <c r="E15" s="116">
        <f>C15*D15</f>
        <v>3.3334898000000002</v>
      </c>
      <c r="F15" s="46"/>
      <c r="G15" s="46"/>
      <c r="H15" s="46"/>
      <c r="I15" s="46"/>
      <c r="J15" s="46"/>
      <c r="K15" s="46"/>
      <c r="L15" s="46"/>
      <c r="M15" s="46"/>
      <c r="N15" s="46"/>
      <c r="O15" s="163"/>
    </row>
    <row r="16" spans="1:15" x14ac:dyDescent="0.25">
      <c r="A16" s="165">
        <v>70</v>
      </c>
      <c r="B16" s="224" t="s">
        <v>215</v>
      </c>
      <c r="C16" s="114">
        <f>EN_0900_007!N$2</f>
        <v>0.806785325</v>
      </c>
      <c r="D16" s="176">
        <f>EN_0900_007!N$3</f>
        <v>4</v>
      </c>
      <c r="E16" s="116">
        <f>C16*D16</f>
        <v>3.2271413</v>
      </c>
      <c r="F16" s="46"/>
      <c r="G16" s="46"/>
      <c r="H16" s="46"/>
      <c r="I16" s="46"/>
      <c r="J16" s="46"/>
      <c r="K16" s="46"/>
      <c r="L16" s="46"/>
      <c r="M16" s="46"/>
      <c r="N16" s="46"/>
      <c r="O16" s="166"/>
    </row>
    <row r="17" spans="1:15" x14ac:dyDescent="0.25">
      <c r="A17" s="165">
        <v>80</v>
      </c>
      <c r="B17" s="224" t="s">
        <v>152</v>
      </c>
      <c r="C17" s="114">
        <f>EN_0900_008!N$2</f>
        <v>1.5521247499999999</v>
      </c>
      <c r="D17" s="176">
        <f>EN_0900_008!N$3</f>
        <v>1</v>
      </c>
      <c r="E17" s="116">
        <f t="shared" si="0"/>
        <v>1.5521247499999999</v>
      </c>
      <c r="F17" s="46"/>
      <c r="G17" s="46"/>
      <c r="H17" s="46"/>
      <c r="I17" s="46"/>
      <c r="J17" s="46"/>
      <c r="K17" s="46"/>
      <c r="L17" s="46"/>
      <c r="M17" s="46"/>
      <c r="N17" s="46"/>
      <c r="O17" s="166"/>
    </row>
    <row r="18" spans="1:15" x14ac:dyDescent="0.25">
      <c r="A18" s="165">
        <v>90</v>
      </c>
      <c r="B18" s="224" t="s">
        <v>245</v>
      </c>
      <c r="C18" s="114">
        <f>EN_0900_009!N$2</f>
        <v>1.5630151625000002</v>
      </c>
      <c r="D18" s="176">
        <f>EN_0900_009!N$3</f>
        <v>1</v>
      </c>
      <c r="E18" s="116">
        <f t="shared" si="0"/>
        <v>1.5630151625000002</v>
      </c>
      <c r="F18" s="46"/>
      <c r="G18" s="46"/>
      <c r="H18" s="46"/>
      <c r="I18" s="46"/>
      <c r="J18" s="46"/>
      <c r="K18" s="46"/>
      <c r="L18" s="46"/>
      <c r="M18" s="46"/>
      <c r="N18" s="46"/>
      <c r="O18" s="166"/>
    </row>
    <row r="19" spans="1:15" x14ac:dyDescent="0.25">
      <c r="A19" s="164"/>
      <c r="B19" s="45"/>
      <c r="C19" s="45"/>
      <c r="D19" s="99" t="s">
        <v>18</v>
      </c>
      <c r="E19" s="100">
        <f>SUM(E10:E18)</f>
        <v>182.80344600916939</v>
      </c>
      <c r="F19" s="46"/>
      <c r="G19" s="46"/>
      <c r="H19" s="46"/>
      <c r="I19" s="46"/>
      <c r="J19" s="46"/>
      <c r="K19" s="46"/>
      <c r="L19" s="46"/>
      <c r="M19" s="46"/>
      <c r="N19" s="46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2" t="s">
        <v>14</v>
      </c>
      <c r="B21" s="95" t="s">
        <v>19</v>
      </c>
      <c r="C21" s="95" t="s">
        <v>20</v>
      </c>
      <c r="D21" s="95" t="s">
        <v>21</v>
      </c>
      <c r="E21" s="95" t="s">
        <v>22</v>
      </c>
      <c r="F21" s="95" t="s">
        <v>23</v>
      </c>
      <c r="G21" s="95" t="s">
        <v>24</v>
      </c>
      <c r="H21" s="95" t="s">
        <v>25</v>
      </c>
      <c r="I21" s="95" t="s">
        <v>26</v>
      </c>
      <c r="J21" s="95" t="s">
        <v>27</v>
      </c>
      <c r="K21" s="95" t="s">
        <v>28</v>
      </c>
      <c r="L21" s="95" t="s">
        <v>29</v>
      </c>
      <c r="M21" s="95" t="s">
        <v>17</v>
      </c>
      <c r="N21" s="95" t="s">
        <v>18</v>
      </c>
      <c r="O21" s="163"/>
    </row>
    <row r="22" spans="1:15" s="17" customFormat="1" x14ac:dyDescent="0.25">
      <c r="A22" s="165">
        <v>20</v>
      </c>
      <c r="B22" s="113" t="s">
        <v>150</v>
      </c>
      <c r="C22" s="113" t="s">
        <v>142</v>
      </c>
      <c r="D22" s="114">
        <f>0.1*(E22^2*G22)^0.5</f>
        <v>38.183766184073569</v>
      </c>
      <c r="E22" s="113">
        <v>90</v>
      </c>
      <c r="F22" s="113" t="s">
        <v>30</v>
      </c>
      <c r="G22" s="113">
        <v>18</v>
      </c>
      <c r="H22" s="118" t="s">
        <v>30</v>
      </c>
      <c r="I22" s="119"/>
      <c r="J22" s="120"/>
      <c r="K22" s="118"/>
      <c r="L22" s="118"/>
      <c r="M22" s="121">
        <v>1</v>
      </c>
      <c r="N22" s="122">
        <f>IF(J22="",D22*M22,D22*J22*K22*L22*M22)</f>
        <v>38.183766184073569</v>
      </c>
      <c r="O22" s="167"/>
    </row>
    <row r="23" spans="1:15" x14ac:dyDescent="0.25">
      <c r="A23" s="165">
        <v>10</v>
      </c>
      <c r="B23" s="113" t="s">
        <v>150</v>
      </c>
      <c r="C23" s="113" t="s">
        <v>141</v>
      </c>
      <c r="D23" s="114">
        <f>0.1*(E23^2*G23)^0.5</f>
        <v>32</v>
      </c>
      <c r="E23" s="113">
        <v>80</v>
      </c>
      <c r="F23" s="113" t="s">
        <v>30</v>
      </c>
      <c r="G23" s="113">
        <v>16</v>
      </c>
      <c r="H23" s="118" t="s">
        <v>30</v>
      </c>
      <c r="I23" s="119"/>
      <c r="J23" s="120"/>
      <c r="K23" s="118"/>
      <c r="L23" s="118"/>
      <c r="M23" s="121">
        <v>1</v>
      </c>
      <c r="N23" s="122">
        <f>IF(J23="",D23*M23,D23*J23*K23*L23*M23)</f>
        <v>32</v>
      </c>
      <c r="O23" s="163"/>
    </row>
    <row r="24" spans="1:15" s="17" customFormat="1" x14ac:dyDescent="0.25">
      <c r="A24" s="165">
        <v>30</v>
      </c>
      <c r="B24" s="113" t="s">
        <v>143</v>
      </c>
      <c r="C24" s="115" t="s">
        <v>151</v>
      </c>
      <c r="D24" s="114">
        <v>10</v>
      </c>
      <c r="E24" s="113">
        <v>8.0000000000000002E-3</v>
      </c>
      <c r="F24" s="113" t="s">
        <v>145</v>
      </c>
      <c r="G24" s="113"/>
      <c r="H24" s="118"/>
      <c r="I24" s="119"/>
      <c r="J24" s="120"/>
      <c r="K24" s="118"/>
      <c r="L24" s="118"/>
      <c r="M24" s="121">
        <v>8.0000000000000002E-3</v>
      </c>
      <c r="N24" s="122">
        <f>IF(J24="",D24*M24,D24*J24*K24*L24*M24)</f>
        <v>0.08</v>
      </c>
      <c r="O24" s="167"/>
    </row>
    <row r="25" spans="1:15" s="17" customFormat="1" x14ac:dyDescent="0.25">
      <c r="A25" s="165">
        <v>40</v>
      </c>
      <c r="B25" s="113" t="s">
        <v>146</v>
      </c>
      <c r="C25" s="113" t="s">
        <v>147</v>
      </c>
      <c r="D25" s="114">
        <v>0.75</v>
      </c>
      <c r="E25" s="113">
        <v>0.06</v>
      </c>
      <c r="F25" s="113" t="s">
        <v>148</v>
      </c>
      <c r="G25" s="113"/>
      <c r="H25" s="118"/>
      <c r="I25" s="123"/>
      <c r="J25" s="120"/>
      <c r="K25" s="118"/>
      <c r="L25" s="124"/>
      <c r="M25" s="121">
        <v>0.06</v>
      </c>
      <c r="N25" s="122">
        <f>IF(J25="",D25*M25,D25*J25*K25*L25*M25)</f>
        <v>4.4999999999999998E-2</v>
      </c>
      <c r="O25" s="167"/>
    </row>
    <row r="26" spans="1:15" ht="30" x14ac:dyDescent="0.25">
      <c r="A26" s="165">
        <v>50</v>
      </c>
      <c r="B26" s="125" t="s">
        <v>149</v>
      </c>
      <c r="C26" s="113"/>
      <c r="D26" s="114">
        <v>110</v>
      </c>
      <c r="E26" s="113">
        <v>1</v>
      </c>
      <c r="F26" s="113" t="s">
        <v>35</v>
      </c>
      <c r="G26" s="113"/>
      <c r="H26" s="118"/>
      <c r="I26" s="123"/>
      <c r="J26" s="120"/>
      <c r="K26" s="118"/>
      <c r="L26" s="124"/>
      <c r="M26" s="121">
        <v>1</v>
      </c>
      <c r="N26" s="122">
        <f>IF(J26="",D26*M26,D26*J26*K26*L26*M26)</f>
        <v>110</v>
      </c>
      <c r="O26" s="163"/>
    </row>
    <row r="27" spans="1:15" x14ac:dyDescent="0.25">
      <c r="A27" s="168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95" t="s">
        <v>18</v>
      </c>
      <c r="N27" s="97">
        <f>SUM(N22:N26)</f>
        <v>180.30876618407356</v>
      </c>
      <c r="O27" s="163"/>
    </row>
    <row r="28" spans="1:15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163"/>
    </row>
    <row r="29" spans="1:15" s="20" customFormat="1" x14ac:dyDescent="0.25">
      <c r="A29" s="162" t="s">
        <v>14</v>
      </c>
      <c r="B29" s="95" t="s">
        <v>31</v>
      </c>
      <c r="C29" s="95" t="s">
        <v>20</v>
      </c>
      <c r="D29" s="95" t="s">
        <v>21</v>
      </c>
      <c r="E29" s="95" t="s">
        <v>32</v>
      </c>
      <c r="F29" s="95" t="s">
        <v>17</v>
      </c>
      <c r="G29" s="95" t="s">
        <v>33</v>
      </c>
      <c r="H29" s="95" t="s">
        <v>34</v>
      </c>
      <c r="I29" s="95" t="s">
        <v>18</v>
      </c>
      <c r="J29" s="19"/>
      <c r="K29" s="19"/>
      <c r="L29" s="19"/>
      <c r="M29" s="19"/>
      <c r="N29" s="19"/>
      <c r="O29" s="169"/>
    </row>
    <row r="30" spans="1:15" s="20" customFormat="1" x14ac:dyDescent="0.25">
      <c r="A30" s="165">
        <v>10</v>
      </c>
      <c r="B30" s="115" t="s">
        <v>183</v>
      </c>
      <c r="C30" s="115" t="s">
        <v>184</v>
      </c>
      <c r="D30" s="114">
        <v>0.15</v>
      </c>
      <c r="E30" s="113" t="s">
        <v>45</v>
      </c>
      <c r="F30" s="113">
        <v>56.54</v>
      </c>
      <c r="G30" s="113"/>
      <c r="H30" s="113">
        <v>1</v>
      </c>
      <c r="I30" s="114">
        <f t="shared" ref="I30:I43" si="1">D30*F30*H30</f>
        <v>8.4809999999999999</v>
      </c>
      <c r="J30" s="111"/>
      <c r="K30" s="111"/>
      <c r="L30" s="111"/>
      <c r="M30" s="46"/>
      <c r="N30" s="46"/>
      <c r="O30" s="169"/>
    </row>
    <row r="31" spans="1:15" s="16" customFormat="1" x14ac:dyDescent="0.25">
      <c r="A31" s="165">
        <v>20</v>
      </c>
      <c r="B31" s="115" t="s">
        <v>185</v>
      </c>
      <c r="C31" s="115" t="s">
        <v>144</v>
      </c>
      <c r="D31" s="114">
        <v>5.25</v>
      </c>
      <c r="E31" s="113" t="s">
        <v>145</v>
      </c>
      <c r="F31" s="113">
        <v>8.0000000000000002E-3</v>
      </c>
      <c r="G31" s="113"/>
      <c r="H31" s="113">
        <v>1</v>
      </c>
      <c r="I31" s="114">
        <f t="shared" si="1"/>
        <v>4.2000000000000003E-2</v>
      </c>
      <c r="J31" s="111"/>
      <c r="K31" s="111"/>
      <c r="L31" s="111"/>
      <c r="M31" s="46"/>
      <c r="N31" s="46"/>
      <c r="O31" s="170"/>
    </row>
    <row r="32" spans="1:15" x14ac:dyDescent="0.25">
      <c r="A32" s="165">
        <v>30</v>
      </c>
      <c r="B32" s="150" t="s">
        <v>186</v>
      </c>
      <c r="C32" s="115" t="s">
        <v>187</v>
      </c>
      <c r="D32" s="114">
        <v>0.56000000000000005</v>
      </c>
      <c r="E32" s="113" t="s">
        <v>35</v>
      </c>
      <c r="F32" s="113">
        <v>2</v>
      </c>
      <c r="G32" s="113"/>
      <c r="H32" s="113">
        <v>1</v>
      </c>
      <c r="I32" s="114">
        <f t="shared" si="1"/>
        <v>1.1200000000000001</v>
      </c>
      <c r="J32" s="111"/>
      <c r="K32" s="111"/>
      <c r="L32" s="111"/>
      <c r="M32" s="45"/>
      <c r="N32" s="45"/>
      <c r="O32" s="163"/>
    </row>
    <row r="33" spans="1:15" x14ac:dyDescent="0.25">
      <c r="A33" s="165">
        <v>40</v>
      </c>
      <c r="B33" s="150" t="s">
        <v>188</v>
      </c>
      <c r="C33" s="115" t="s">
        <v>189</v>
      </c>
      <c r="D33" s="114">
        <v>0.19</v>
      </c>
      <c r="E33" s="113" t="s">
        <v>35</v>
      </c>
      <c r="F33" s="113">
        <v>1</v>
      </c>
      <c r="G33" s="113"/>
      <c r="H33" s="113">
        <v>1</v>
      </c>
      <c r="I33" s="114">
        <f t="shared" si="1"/>
        <v>0.19</v>
      </c>
      <c r="J33" s="111"/>
      <c r="K33" s="111"/>
      <c r="L33" s="111"/>
      <c r="M33" s="45"/>
      <c r="N33" s="45"/>
      <c r="O33" s="163"/>
    </row>
    <row r="34" spans="1:15" x14ac:dyDescent="0.25">
      <c r="A34" s="165">
        <v>50</v>
      </c>
      <c r="B34" s="115" t="s">
        <v>188</v>
      </c>
      <c r="C34" s="115" t="s">
        <v>190</v>
      </c>
      <c r="D34" s="114">
        <v>0.19</v>
      </c>
      <c r="E34" s="113" t="s">
        <v>35</v>
      </c>
      <c r="F34" s="113">
        <v>1</v>
      </c>
      <c r="G34" s="113"/>
      <c r="H34" s="113">
        <v>1</v>
      </c>
      <c r="I34" s="114">
        <f t="shared" si="1"/>
        <v>0.19</v>
      </c>
      <c r="J34" s="111"/>
      <c r="K34" s="111"/>
      <c r="L34" s="111"/>
      <c r="M34" s="45"/>
      <c r="N34" s="45"/>
      <c r="O34" s="163"/>
    </row>
    <row r="35" spans="1:15" x14ac:dyDescent="0.25">
      <c r="A35" s="165">
        <v>60</v>
      </c>
      <c r="B35" s="115" t="s">
        <v>188</v>
      </c>
      <c r="C35" s="115" t="s">
        <v>191</v>
      </c>
      <c r="D35" s="114">
        <v>0.19</v>
      </c>
      <c r="E35" s="113" t="s">
        <v>35</v>
      </c>
      <c r="F35" s="113">
        <v>2</v>
      </c>
      <c r="G35" s="113"/>
      <c r="H35" s="113">
        <v>1</v>
      </c>
      <c r="I35" s="114">
        <f t="shared" si="1"/>
        <v>0.38</v>
      </c>
      <c r="J35" s="111"/>
      <c r="K35" s="111"/>
      <c r="L35" s="111"/>
      <c r="M35" s="45"/>
      <c r="N35" s="45"/>
      <c r="O35" s="163"/>
    </row>
    <row r="36" spans="1:15" x14ac:dyDescent="0.25">
      <c r="A36" s="165">
        <v>70</v>
      </c>
      <c r="B36" s="115" t="s">
        <v>192</v>
      </c>
      <c r="C36" s="115" t="s">
        <v>193</v>
      </c>
      <c r="D36" s="114">
        <v>0.5</v>
      </c>
      <c r="E36" s="113" t="s">
        <v>35</v>
      </c>
      <c r="F36" s="113">
        <v>4</v>
      </c>
      <c r="G36" s="113"/>
      <c r="H36" s="113">
        <v>1</v>
      </c>
      <c r="I36" s="114">
        <f t="shared" si="1"/>
        <v>2</v>
      </c>
      <c r="J36" s="111"/>
      <c r="K36" s="111"/>
      <c r="L36" s="111"/>
      <c r="M36" s="45"/>
      <c r="N36" s="45"/>
      <c r="O36" s="163"/>
    </row>
    <row r="37" spans="1:15" x14ac:dyDescent="0.25">
      <c r="A37" s="165">
        <v>80</v>
      </c>
      <c r="B37" s="115" t="s">
        <v>194</v>
      </c>
      <c r="C37" s="115" t="s">
        <v>193</v>
      </c>
      <c r="D37" s="114">
        <v>0.25</v>
      </c>
      <c r="E37" s="113" t="s">
        <v>35</v>
      </c>
      <c r="F37" s="113">
        <v>4</v>
      </c>
      <c r="G37" s="113"/>
      <c r="H37" s="113">
        <v>1</v>
      </c>
      <c r="I37" s="114">
        <f t="shared" si="1"/>
        <v>1</v>
      </c>
      <c r="J37" s="111"/>
      <c r="K37" s="111"/>
      <c r="L37" s="111"/>
      <c r="M37" s="45"/>
      <c r="N37" s="45"/>
      <c r="O37" s="163"/>
    </row>
    <row r="38" spans="1:15" x14ac:dyDescent="0.25">
      <c r="A38" s="165">
        <v>90</v>
      </c>
      <c r="B38" s="115" t="s">
        <v>195</v>
      </c>
      <c r="C38" s="115" t="s">
        <v>196</v>
      </c>
      <c r="D38" s="114">
        <v>0.38</v>
      </c>
      <c r="E38" s="113" t="s">
        <v>35</v>
      </c>
      <c r="F38" s="113">
        <v>2</v>
      </c>
      <c r="G38" s="113"/>
      <c r="H38" s="113">
        <v>1</v>
      </c>
      <c r="I38" s="114">
        <f t="shared" si="1"/>
        <v>0.76</v>
      </c>
      <c r="J38" s="111"/>
      <c r="K38" s="155"/>
      <c r="L38" s="155"/>
      <c r="M38" s="47"/>
      <c r="N38" s="47"/>
      <c r="O38" s="163"/>
    </row>
    <row r="39" spans="1:15" x14ac:dyDescent="0.25">
      <c r="A39" s="165">
        <v>100</v>
      </c>
      <c r="B39" s="115" t="s">
        <v>197</v>
      </c>
      <c r="C39" s="115" t="s">
        <v>198</v>
      </c>
      <c r="D39" s="114">
        <v>0.06</v>
      </c>
      <c r="E39" s="113" t="s">
        <v>35</v>
      </c>
      <c r="F39" s="113">
        <v>4</v>
      </c>
      <c r="G39" s="113"/>
      <c r="H39" s="113">
        <v>1</v>
      </c>
      <c r="I39" s="114">
        <f t="shared" si="1"/>
        <v>0.24</v>
      </c>
      <c r="J39" s="111"/>
      <c r="K39" s="111"/>
      <c r="L39" s="111"/>
      <c r="M39" s="47"/>
      <c r="N39" s="47"/>
      <c r="O39" s="163"/>
    </row>
    <row r="40" spans="1:15" s="16" customFormat="1" x14ac:dyDescent="0.25">
      <c r="A40" s="165">
        <v>110</v>
      </c>
      <c r="B40" s="115" t="s">
        <v>199</v>
      </c>
      <c r="C40" s="115" t="s">
        <v>200</v>
      </c>
      <c r="D40" s="114">
        <v>0.75</v>
      </c>
      <c r="E40" s="113" t="s">
        <v>35</v>
      </c>
      <c r="F40" s="113">
        <v>2</v>
      </c>
      <c r="G40" s="113"/>
      <c r="H40" s="113">
        <v>1</v>
      </c>
      <c r="I40" s="114">
        <f t="shared" si="1"/>
        <v>1.5</v>
      </c>
      <c r="J40" s="111"/>
      <c r="K40" s="111"/>
      <c r="L40" s="155"/>
      <c r="M40" s="46"/>
      <c r="N40" s="46"/>
      <c r="O40" s="170"/>
    </row>
    <row r="41" spans="1:15" x14ac:dyDescent="0.25">
      <c r="A41" s="165">
        <v>120</v>
      </c>
      <c r="B41" s="115" t="s">
        <v>201</v>
      </c>
      <c r="C41" s="115" t="s">
        <v>200</v>
      </c>
      <c r="D41" s="114">
        <v>0.25</v>
      </c>
      <c r="E41" s="113" t="s">
        <v>35</v>
      </c>
      <c r="F41" s="113">
        <v>2</v>
      </c>
      <c r="G41" s="113"/>
      <c r="H41" s="113">
        <v>1</v>
      </c>
      <c r="I41" s="114">
        <f t="shared" si="1"/>
        <v>0.5</v>
      </c>
      <c r="J41" s="111"/>
      <c r="K41" s="111"/>
      <c r="L41" s="111"/>
      <c r="M41" s="47"/>
      <c r="N41" s="47"/>
      <c r="O41" s="163"/>
    </row>
    <row r="42" spans="1:15" x14ac:dyDescent="0.25">
      <c r="A42" s="165">
        <v>130</v>
      </c>
      <c r="B42" s="115" t="s">
        <v>199</v>
      </c>
      <c r="C42" s="115" t="s">
        <v>202</v>
      </c>
      <c r="D42" s="114">
        <v>0.75</v>
      </c>
      <c r="E42" s="113" t="s">
        <v>35</v>
      </c>
      <c r="F42" s="113">
        <v>2</v>
      </c>
      <c r="G42" s="113"/>
      <c r="H42" s="113">
        <v>1</v>
      </c>
      <c r="I42" s="114">
        <f t="shared" si="1"/>
        <v>1.5</v>
      </c>
      <c r="J42" s="111"/>
      <c r="K42" s="111"/>
      <c r="L42" s="111"/>
      <c r="M42" s="45"/>
      <c r="N42" s="45"/>
      <c r="O42" s="163"/>
    </row>
    <row r="43" spans="1:15" x14ac:dyDescent="0.25">
      <c r="A43" s="165">
        <v>140</v>
      </c>
      <c r="B43" s="115" t="s">
        <v>201</v>
      </c>
      <c r="C43" s="115" t="s">
        <v>202</v>
      </c>
      <c r="D43" s="114">
        <v>0.25</v>
      </c>
      <c r="E43" s="113" t="s">
        <v>35</v>
      </c>
      <c r="F43" s="113">
        <v>2</v>
      </c>
      <c r="G43" s="113"/>
      <c r="H43" s="113">
        <v>1</v>
      </c>
      <c r="I43" s="114">
        <f t="shared" si="1"/>
        <v>0.5</v>
      </c>
      <c r="J43" s="111"/>
      <c r="K43" s="111"/>
      <c r="L43" s="111"/>
      <c r="M43" s="45"/>
      <c r="N43" s="45"/>
      <c r="O43" s="163"/>
    </row>
    <row r="44" spans="1:15" x14ac:dyDescent="0.25">
      <c r="A44" s="168"/>
      <c r="B44" s="19"/>
      <c r="C44" s="19"/>
      <c r="D44" s="19"/>
      <c r="E44" s="19"/>
      <c r="F44" s="19"/>
      <c r="G44" s="19"/>
      <c r="H44" s="96" t="s">
        <v>18</v>
      </c>
      <c r="I44" s="97">
        <f>SUM(I30:I43)</f>
        <v>18.402999999999999</v>
      </c>
      <c r="J44" s="45"/>
      <c r="K44" s="45"/>
      <c r="L44" s="45"/>
      <c r="M44" s="45"/>
      <c r="N44" s="45"/>
      <c r="O44" s="163"/>
    </row>
    <row r="45" spans="1:15" x14ac:dyDescent="0.25">
      <c r="A45" s="164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163"/>
    </row>
    <row r="46" spans="1:15" x14ac:dyDescent="0.25">
      <c r="A46" s="162" t="s">
        <v>14</v>
      </c>
      <c r="B46" s="95" t="s">
        <v>36</v>
      </c>
      <c r="C46" s="95" t="s">
        <v>20</v>
      </c>
      <c r="D46" s="95" t="s">
        <v>21</v>
      </c>
      <c r="E46" s="95" t="s">
        <v>22</v>
      </c>
      <c r="F46" s="95" t="s">
        <v>23</v>
      </c>
      <c r="G46" s="95" t="s">
        <v>24</v>
      </c>
      <c r="H46" s="95" t="s">
        <v>25</v>
      </c>
      <c r="I46" s="95" t="s">
        <v>17</v>
      </c>
      <c r="J46" s="95" t="s">
        <v>18</v>
      </c>
      <c r="K46" s="45"/>
      <c r="L46" s="45"/>
      <c r="M46" s="45"/>
      <c r="N46" s="45"/>
      <c r="O46" s="163"/>
    </row>
    <row r="47" spans="1:15" x14ac:dyDescent="0.25">
      <c r="A47" s="165">
        <v>10</v>
      </c>
      <c r="B47" s="113" t="s">
        <v>203</v>
      </c>
      <c r="C47" s="113" t="s">
        <v>204</v>
      </c>
      <c r="D47" s="156">
        <f>0.8/105154*E47*E47*G47*SQRT(G47)+(0.003*EXP(0.319*E47))</f>
        <v>0.5252420080501925</v>
      </c>
      <c r="E47" s="113">
        <v>12</v>
      </c>
      <c r="F47" s="157" t="s">
        <v>30</v>
      </c>
      <c r="G47" s="113">
        <v>50</v>
      </c>
      <c r="H47" s="115" t="s">
        <v>30</v>
      </c>
      <c r="I47" s="158">
        <v>2</v>
      </c>
      <c r="J47" s="114">
        <f t="shared" ref="J47:J55" si="2">D47*I47</f>
        <v>1.050484016100385</v>
      </c>
      <c r="K47" s="111"/>
      <c r="L47" s="111"/>
      <c r="M47" s="111"/>
      <c r="N47" s="45"/>
      <c r="O47" s="163"/>
    </row>
    <row r="48" spans="1:15" x14ac:dyDescent="0.25">
      <c r="A48" s="165">
        <v>20</v>
      </c>
      <c r="B48" s="113" t="s">
        <v>205</v>
      </c>
      <c r="C48" s="113" t="s">
        <v>204</v>
      </c>
      <c r="D48" s="156">
        <f>0.009*EXP(0.2*E48)</f>
        <v>9.920858742577443E-2</v>
      </c>
      <c r="E48" s="113">
        <v>12</v>
      </c>
      <c r="F48" s="157" t="s">
        <v>30</v>
      </c>
      <c r="G48" s="113"/>
      <c r="H48" s="115"/>
      <c r="I48" s="158">
        <v>2</v>
      </c>
      <c r="J48" s="114">
        <f t="shared" si="2"/>
        <v>0.19841717485154886</v>
      </c>
      <c r="K48" s="111"/>
      <c r="L48" s="111"/>
      <c r="M48" s="111"/>
      <c r="N48" s="45"/>
      <c r="O48" s="163"/>
    </row>
    <row r="49" spans="1:15" x14ac:dyDescent="0.25">
      <c r="A49" s="165">
        <v>30</v>
      </c>
      <c r="B49" s="113" t="s">
        <v>203</v>
      </c>
      <c r="C49" s="113" t="s">
        <v>206</v>
      </c>
      <c r="D49" s="156">
        <f>0.8/105154*E49*E49*G49*SQRT(G49)+(0.003*EXP(0.319*E49))</f>
        <v>0.11850487334396681</v>
      </c>
      <c r="E49" s="113">
        <v>8</v>
      </c>
      <c r="F49" s="157" t="s">
        <v>30</v>
      </c>
      <c r="G49" s="113">
        <v>30</v>
      </c>
      <c r="H49" s="115" t="s">
        <v>30</v>
      </c>
      <c r="I49" s="158">
        <v>2</v>
      </c>
      <c r="J49" s="114">
        <f t="shared" si="2"/>
        <v>0.23700974668793362</v>
      </c>
      <c r="K49" s="111"/>
      <c r="L49" s="155"/>
      <c r="M49" s="155"/>
      <c r="N49" s="45"/>
      <c r="O49" s="163"/>
    </row>
    <row r="50" spans="1:15" x14ac:dyDescent="0.25">
      <c r="A50" s="165">
        <v>40</v>
      </c>
      <c r="B50" s="113" t="s">
        <v>205</v>
      </c>
      <c r="C50" s="113" t="s">
        <v>206</v>
      </c>
      <c r="D50" s="156">
        <f>0.009*EXP(0.2*E50)</f>
        <v>4.4577291819556032E-2</v>
      </c>
      <c r="E50" s="113">
        <v>8</v>
      </c>
      <c r="F50" s="157" t="s">
        <v>30</v>
      </c>
      <c r="G50" s="113"/>
      <c r="H50" s="115"/>
      <c r="I50" s="158">
        <v>2</v>
      </c>
      <c r="J50" s="114">
        <f t="shared" si="2"/>
        <v>8.9154583639112064E-2</v>
      </c>
      <c r="K50" s="111"/>
      <c r="L50" s="111"/>
      <c r="M50" s="111"/>
      <c r="N50" s="45"/>
      <c r="O50" s="163"/>
    </row>
    <row r="51" spans="1:15" x14ac:dyDescent="0.25">
      <c r="A51" s="165">
        <v>50</v>
      </c>
      <c r="B51" s="113" t="s">
        <v>207</v>
      </c>
      <c r="C51" s="113" t="s">
        <v>208</v>
      </c>
      <c r="D51" s="156">
        <v>0.01</v>
      </c>
      <c r="E51" s="113"/>
      <c r="F51" s="157" t="s">
        <v>35</v>
      </c>
      <c r="G51" s="113"/>
      <c r="H51" s="115"/>
      <c r="I51" s="158">
        <v>4</v>
      </c>
      <c r="J51" s="114">
        <f t="shared" si="2"/>
        <v>0.04</v>
      </c>
      <c r="K51" s="111"/>
      <c r="L51" s="111"/>
      <c r="M51" s="111"/>
      <c r="N51" s="45"/>
      <c r="O51" s="163"/>
    </row>
    <row r="52" spans="1:15" x14ac:dyDescent="0.25">
      <c r="A52" s="165">
        <v>60</v>
      </c>
      <c r="B52" s="113" t="s">
        <v>203</v>
      </c>
      <c r="C52" s="113" t="s">
        <v>209</v>
      </c>
      <c r="D52" s="156">
        <f>0.8/105154*E52*E52*G52*SQRT(G52)+(0.003*EXP(0.319*E52))</f>
        <v>0.11850487334396681</v>
      </c>
      <c r="E52" s="113">
        <v>8</v>
      </c>
      <c r="F52" s="157" t="s">
        <v>30</v>
      </c>
      <c r="G52" s="113">
        <v>30</v>
      </c>
      <c r="H52" s="115" t="s">
        <v>30</v>
      </c>
      <c r="I52" s="158">
        <v>2</v>
      </c>
      <c r="J52" s="114">
        <f t="shared" si="2"/>
        <v>0.23700974668793362</v>
      </c>
      <c r="K52" s="111"/>
      <c r="L52" s="111"/>
      <c r="M52" s="111"/>
      <c r="N52" s="45"/>
      <c r="O52" s="163"/>
    </row>
    <row r="53" spans="1:15" x14ac:dyDescent="0.25">
      <c r="A53" s="165">
        <v>70</v>
      </c>
      <c r="B53" s="113" t="s">
        <v>205</v>
      </c>
      <c r="C53" s="113" t="s">
        <v>209</v>
      </c>
      <c r="D53" s="156">
        <f>0.009*EXP(0.2*E53)</f>
        <v>4.4577291819556032E-2</v>
      </c>
      <c r="E53" s="113">
        <v>8</v>
      </c>
      <c r="F53" s="157" t="s">
        <v>30</v>
      </c>
      <c r="G53" s="113"/>
      <c r="H53" s="115"/>
      <c r="I53" s="158">
        <v>2</v>
      </c>
      <c r="J53" s="114">
        <f t="shared" si="2"/>
        <v>8.9154583639112064E-2</v>
      </c>
      <c r="K53" s="111"/>
      <c r="L53" s="111"/>
      <c r="M53" s="111"/>
      <c r="N53" s="45"/>
      <c r="O53" s="163"/>
    </row>
    <row r="54" spans="1:15" x14ac:dyDescent="0.25">
      <c r="A54" s="165">
        <v>80</v>
      </c>
      <c r="B54" s="113" t="s">
        <v>203</v>
      </c>
      <c r="C54" s="113" t="s">
        <v>210</v>
      </c>
      <c r="D54" s="156">
        <f>0.8/105154*E54*E54*G54*SQRT(G54)+(0.003*EXP(0.319*E54))</f>
        <v>0.11850487334396681</v>
      </c>
      <c r="E54" s="113">
        <v>8</v>
      </c>
      <c r="F54" s="157" t="s">
        <v>30</v>
      </c>
      <c r="G54" s="113">
        <v>30</v>
      </c>
      <c r="H54" s="115" t="s">
        <v>30</v>
      </c>
      <c r="I54" s="158">
        <v>2</v>
      </c>
      <c r="J54" s="114">
        <f t="shared" si="2"/>
        <v>0.23700974668793362</v>
      </c>
      <c r="K54" s="111"/>
      <c r="L54" s="111"/>
      <c r="M54" s="111"/>
      <c r="N54" s="45"/>
      <c r="O54" s="163"/>
    </row>
    <row r="55" spans="1:15" x14ac:dyDescent="0.25">
      <c r="A55" s="165">
        <v>90</v>
      </c>
      <c r="B55" s="113" t="s">
        <v>205</v>
      </c>
      <c r="C55" s="113" t="s">
        <v>210</v>
      </c>
      <c r="D55" s="156">
        <f>0.009*EXP(0.2*E55)</f>
        <v>4.4577291819556032E-2</v>
      </c>
      <c r="E55" s="113">
        <v>8</v>
      </c>
      <c r="F55" s="157" t="s">
        <v>30</v>
      </c>
      <c r="G55" s="113"/>
      <c r="H55" s="115"/>
      <c r="I55" s="158">
        <v>2</v>
      </c>
      <c r="J55" s="114">
        <f t="shared" si="2"/>
        <v>8.9154583639112064E-2</v>
      </c>
      <c r="K55" s="155"/>
      <c r="L55" s="111"/>
      <c r="M55" s="111"/>
      <c r="N55" s="45"/>
      <c r="O55" s="163"/>
    </row>
    <row r="56" spans="1:15" x14ac:dyDescent="0.25">
      <c r="A56" s="168"/>
      <c r="B56" s="19"/>
      <c r="C56" s="19"/>
      <c r="D56" s="19"/>
      <c r="E56" s="19"/>
      <c r="F56" s="19"/>
      <c r="G56" s="19"/>
      <c r="H56" s="19"/>
      <c r="I56" s="96" t="s">
        <v>18</v>
      </c>
      <c r="J56" s="97">
        <f>SUM(J47:J55)</f>
        <v>2.2673941819330707</v>
      </c>
      <c r="K56" s="45"/>
      <c r="L56" s="45"/>
      <c r="M56" s="45"/>
      <c r="N56" s="45"/>
      <c r="O56" s="163"/>
    </row>
    <row r="57" spans="1:15" x14ac:dyDescent="0.25">
      <c r="A57" s="164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163"/>
    </row>
    <row r="58" spans="1:15" x14ac:dyDescent="0.25">
      <c r="A58" s="162" t="s">
        <v>14</v>
      </c>
      <c r="B58" s="95" t="s">
        <v>37</v>
      </c>
      <c r="C58" s="95" t="s">
        <v>20</v>
      </c>
      <c r="D58" s="95" t="s">
        <v>21</v>
      </c>
      <c r="E58" s="95" t="s">
        <v>32</v>
      </c>
      <c r="F58" s="95" t="s">
        <v>17</v>
      </c>
      <c r="G58" s="95" t="s">
        <v>38</v>
      </c>
      <c r="H58" s="95" t="s">
        <v>39</v>
      </c>
      <c r="I58" s="95" t="s">
        <v>18</v>
      </c>
      <c r="J58" s="19"/>
      <c r="K58" s="45"/>
      <c r="L58" s="45"/>
      <c r="M58" s="45"/>
      <c r="N58" s="45"/>
      <c r="O58" s="163"/>
    </row>
    <row r="59" spans="1:15" x14ac:dyDescent="0.25">
      <c r="A59" s="171">
        <v>10</v>
      </c>
      <c r="B59" s="60" t="s">
        <v>40</v>
      </c>
      <c r="C59" s="60" t="s">
        <v>184</v>
      </c>
      <c r="D59" s="61">
        <v>500</v>
      </c>
      <c r="E59" s="60" t="s">
        <v>41</v>
      </c>
      <c r="F59" s="60">
        <v>16</v>
      </c>
      <c r="G59" s="60">
        <v>3000</v>
      </c>
      <c r="H59" s="60">
        <v>1</v>
      </c>
      <c r="I59" s="61">
        <f>D59*F59/G59*H59</f>
        <v>2.6666666666666665</v>
      </c>
      <c r="J59" s="19"/>
      <c r="K59" s="45"/>
      <c r="L59" s="45"/>
      <c r="M59" s="45"/>
      <c r="N59" s="45"/>
      <c r="O59" s="163"/>
    </row>
    <row r="60" spans="1:15" x14ac:dyDescent="0.25">
      <c r="A60" s="168"/>
      <c r="B60" s="19"/>
      <c r="C60" s="19"/>
      <c r="D60" s="19"/>
      <c r="E60" s="19"/>
      <c r="F60" s="19"/>
      <c r="G60" s="19"/>
      <c r="H60" s="99" t="s">
        <v>18</v>
      </c>
      <c r="I60" s="100">
        <f>SUM(I59:I59)</f>
        <v>2.6666666666666665</v>
      </c>
      <c r="J60" s="19"/>
      <c r="K60" s="45"/>
      <c r="L60" s="45"/>
      <c r="M60" s="45"/>
      <c r="N60" s="45"/>
      <c r="O60" s="163"/>
    </row>
    <row r="61" spans="1:15" ht="15.75" thickBot="1" x14ac:dyDescent="0.3">
      <c r="A61" s="172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4"/>
    </row>
    <row r="62" spans="1:15" x14ac:dyDescent="0.25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</row>
  </sheetData>
  <hyperlinks>
    <hyperlink ref="B10" location="EN_0900_001!A1" display="Housing" xr:uid="{DA3E61DF-D2AD-48C3-AF88-6F0CCBCB9351}"/>
    <hyperlink ref="B11" location="EN_0900_002!A1" display="Left Eccentric" xr:uid="{0BA6AE2C-0A00-45A2-8A7B-D87B3090E593}"/>
    <hyperlink ref="B12" location="EN_0900_003!A1" display="Right Eccentric" xr:uid="{DA08F1F9-017B-4164-9E84-D998C8B12ADC}"/>
    <hyperlink ref="B13" location="EN_0900_004!A1" display="Left Eccentric Carrier" xr:uid="{1588C84C-FDCA-4045-AAF6-A5DA801EC158}"/>
    <hyperlink ref="B14" location="EN_0900_005!A1" display="Right Eccentric Carrier" xr:uid="{C2F33B37-11FB-48A0-ADBF-00ACD192344A}"/>
    <hyperlink ref="B15" location="EN_0900_006!A1" display="Upper Eccentric Carrier bracket" xr:uid="{3C258538-23CE-47AB-8146-C084739CA550}"/>
    <hyperlink ref="B16" location="EN_0900_007!A1" display="Lower Eccentric Carrier bracket" xr:uid="{3DE5781F-31EF-4086-9BD0-6AD3267FC968}"/>
    <hyperlink ref="B17" location="EN_0900_008!A1" display="Left Jacking Bar bracket" xr:uid="{60988AB8-F287-436F-9EC9-2E99B50810F9}"/>
    <hyperlink ref="B18" location="EN_0900_009!A1" display="Right Jacking Bar bracket" xr:uid="{25F9E751-6FF5-4CE7-87FC-686F94734F31}"/>
  </hyperlinks>
  <pageMargins left="0.7" right="0.7" top="0.75" bottom="0.75" header="0.51180555555555496" footer="0.3"/>
  <pageSetup paperSize="9" scale="39" firstPageNumber="0" fitToHeight="0" orientation="portrait" r:id="rId1"/>
  <headerFooter>
    <oddFooter>&amp;C&amp;P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  <pageSetUpPr fitToPage="1"/>
  </sheetPr>
  <dimension ref="A1:O41"/>
  <sheetViews>
    <sheetView zoomScale="70" zoomScaleNormal="70" workbookViewId="0">
      <selection activeCell="L34" sqref="L34"/>
    </sheetView>
  </sheetViews>
  <sheetFormatPr baseColWidth="10" defaultColWidth="9.140625" defaultRowHeight="15" x14ac:dyDescent="0.25"/>
  <cols>
    <col min="1" max="1" width="10.5703125"/>
    <col min="2" max="2" width="33.42578125"/>
    <col min="3" max="3" width="23"/>
    <col min="4" max="6" width="10.5703125"/>
    <col min="7" max="7" width="14.140625"/>
    <col min="8" max="8" width="10.5703125"/>
    <col min="9" max="9" width="20" bestFit="1" customWidth="1"/>
    <col min="10" max="12" width="10.5703125"/>
    <col min="13" max="13" width="15.28515625"/>
    <col min="14" max="14" width="10.5703125"/>
    <col min="15" max="15" width="3.140625" customWidth="1"/>
    <col min="16" max="1025" width="10.5703125"/>
  </cols>
  <sheetData>
    <row r="1" spans="1:15" x14ac:dyDescent="0.25">
      <c r="A1" s="48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50"/>
    </row>
    <row r="2" spans="1:15" x14ac:dyDescent="0.25">
      <c r="A2" s="101" t="s">
        <v>0</v>
      </c>
      <c r="B2" s="126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EN_0900_001_m+EN_0900_001_p+EN_0900_001_f</f>
        <v>112.52931553333677</v>
      </c>
      <c r="O2" s="51"/>
    </row>
    <row r="3" spans="1:15" x14ac:dyDescent="0.25">
      <c r="A3" s="101" t="s">
        <v>3</v>
      </c>
      <c r="B3" s="126" t="s">
        <v>134</v>
      </c>
      <c r="C3" s="45"/>
      <c r="D3" s="101" t="s">
        <v>6</v>
      </c>
      <c r="E3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51"/>
    </row>
    <row r="4" spans="1:15" x14ac:dyDescent="0.25">
      <c r="A4" s="101" t="s">
        <v>5</v>
      </c>
      <c r="B4" s="66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51"/>
    </row>
    <row r="5" spans="1:15" x14ac:dyDescent="0.25">
      <c r="A5" s="101" t="s">
        <v>15</v>
      </c>
      <c r="B5" s="111" t="s">
        <v>137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112.52931553333677</v>
      </c>
      <c r="O5" s="51"/>
    </row>
    <row r="6" spans="1:15" x14ac:dyDescent="0.25">
      <c r="A6" s="101" t="s">
        <v>7</v>
      </c>
      <c r="B6" s="127" t="s">
        <v>158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51"/>
    </row>
    <row r="7" spans="1:15" x14ac:dyDescent="0.25">
      <c r="A7" s="101" t="s">
        <v>10</v>
      </c>
      <c r="B7" s="126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51"/>
    </row>
    <row r="8" spans="1:15" x14ac:dyDescent="0.25">
      <c r="A8" s="101" t="s">
        <v>13</v>
      </c>
      <c r="B8" s="111" t="s">
        <v>153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51"/>
    </row>
    <row r="9" spans="1:15" x14ac:dyDescent="0.25">
      <c r="A9" s="6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51"/>
    </row>
    <row r="10" spans="1:15" x14ac:dyDescent="0.25">
      <c r="A10" s="106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08" t="s">
        <v>23</v>
      </c>
      <c r="G10" s="108" t="s">
        <v>24</v>
      </c>
      <c r="H10" s="108" t="s">
        <v>25</v>
      </c>
      <c r="I10" s="108" t="s">
        <v>26</v>
      </c>
      <c r="J10" s="108" t="s">
        <v>27</v>
      </c>
      <c r="K10" s="108" t="s">
        <v>28</v>
      </c>
      <c r="L10" s="108" t="s">
        <v>29</v>
      </c>
      <c r="M10" s="108" t="s">
        <v>17</v>
      </c>
      <c r="N10" s="108" t="s">
        <v>18</v>
      </c>
      <c r="O10" s="51"/>
    </row>
    <row r="11" spans="1:15" s="17" customFormat="1" x14ac:dyDescent="0.25">
      <c r="A11" s="138">
        <v>10</v>
      </c>
      <c r="B11" s="139" t="s">
        <v>154</v>
      </c>
      <c r="C11" s="139"/>
      <c r="D11" s="140">
        <v>4.2</v>
      </c>
      <c r="E11" s="141">
        <f>J11*K11*L11</f>
        <v>1.905804558171124</v>
      </c>
      <c r="F11" s="139" t="s">
        <v>155</v>
      </c>
      <c r="G11" s="139"/>
      <c r="H11" s="142"/>
      <c r="I11" s="143" t="s">
        <v>156</v>
      </c>
      <c r="J11" s="143">
        <f>PI()*51*51/1000000</f>
        <v>8.171282491987052E-3</v>
      </c>
      <c r="K11" s="144">
        <v>8.5999999999999993E-2</v>
      </c>
      <c r="L11" s="145">
        <v>2712</v>
      </c>
      <c r="M11" s="145">
        <v>1</v>
      </c>
      <c r="N11" s="140">
        <f>D11*J11*K11*L11*M11</f>
        <v>8.0043791443187207</v>
      </c>
      <c r="O11" s="54"/>
    </row>
    <row r="12" spans="1:15" s="17" customFormat="1" x14ac:dyDescent="0.25">
      <c r="A12" s="138">
        <v>20</v>
      </c>
      <c r="B12" s="139" t="s">
        <v>154</v>
      </c>
      <c r="C12" s="139"/>
      <c r="D12" s="140">
        <v>4.2</v>
      </c>
      <c r="E12" s="141">
        <f>J12*K12*L12</f>
        <v>1.3961126414509397</v>
      </c>
      <c r="F12" s="139" t="s">
        <v>155</v>
      </c>
      <c r="G12" s="139"/>
      <c r="H12" s="142"/>
      <c r="I12" s="143" t="s">
        <v>156</v>
      </c>
      <c r="J12" s="143">
        <f>PI()*51*51/1000000</f>
        <v>8.171282491987052E-3</v>
      </c>
      <c r="K12" s="144">
        <v>6.3E-2</v>
      </c>
      <c r="L12" s="145">
        <v>2712</v>
      </c>
      <c r="M12" s="145">
        <v>1</v>
      </c>
      <c r="N12" s="140">
        <f>D12*J12*K12*L12*M12</f>
        <v>5.8636730940939472</v>
      </c>
      <c r="O12" s="54"/>
    </row>
    <row r="13" spans="1:15" s="17" customFormat="1" x14ac:dyDescent="0.25">
      <c r="A13" s="138">
        <v>30</v>
      </c>
      <c r="B13" s="139" t="s">
        <v>154</v>
      </c>
      <c r="C13" s="139"/>
      <c r="D13" s="140">
        <v>4.2</v>
      </c>
      <c r="E13" s="141">
        <f>J13*K13*L13</f>
        <v>1.7728414494615108</v>
      </c>
      <c r="F13" s="139" t="s">
        <v>155</v>
      </c>
      <c r="G13" s="139"/>
      <c r="H13" s="142"/>
      <c r="I13" s="146" t="s">
        <v>156</v>
      </c>
      <c r="J13" s="143">
        <f>PI()*51*51/1000000</f>
        <v>8.171282491987052E-3</v>
      </c>
      <c r="K13" s="144">
        <v>0.08</v>
      </c>
      <c r="L13" s="145">
        <v>2712</v>
      </c>
      <c r="M13" s="145">
        <v>1</v>
      </c>
      <c r="N13" s="140">
        <f>D13*J13*K13*L13*M13</f>
        <v>7.4459340877383466</v>
      </c>
      <c r="O13" s="54"/>
    </row>
    <row r="14" spans="1:15" s="17" customFormat="1" x14ac:dyDescent="0.25">
      <c r="A14" s="138">
        <v>40</v>
      </c>
      <c r="B14" s="139" t="s">
        <v>157</v>
      </c>
      <c r="C14" s="139"/>
      <c r="D14" s="140">
        <v>0.05</v>
      </c>
      <c r="E14" s="139"/>
      <c r="F14" s="139" t="s">
        <v>35</v>
      </c>
      <c r="G14" s="139"/>
      <c r="H14" s="142"/>
      <c r="I14" s="146"/>
      <c r="J14" s="147"/>
      <c r="K14" s="144"/>
      <c r="L14" s="145"/>
      <c r="M14" s="145">
        <v>2</v>
      </c>
      <c r="N14" s="140">
        <f>M14*D14</f>
        <v>0.1</v>
      </c>
      <c r="O14" s="54"/>
    </row>
    <row r="15" spans="1:15" s="17" customFormat="1" x14ac:dyDescent="0.25">
      <c r="A15" s="128"/>
      <c r="B15" s="129"/>
      <c r="C15" s="130"/>
      <c r="D15" s="131"/>
      <c r="E15" s="130"/>
      <c r="F15" s="130"/>
      <c r="G15" s="130"/>
      <c r="H15" s="132"/>
      <c r="I15" s="133"/>
      <c r="J15" s="134"/>
      <c r="K15" s="135"/>
      <c r="L15" s="136"/>
      <c r="M15" s="18"/>
      <c r="N15" s="137"/>
      <c r="O15" s="54"/>
    </row>
    <row r="16" spans="1:15" x14ac:dyDescent="0.25">
      <c r="A16" s="55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04" t="s">
        <v>18</v>
      </c>
      <c r="N16" s="105">
        <f>SUM(N11:N11)</f>
        <v>8.0043791443187207</v>
      </c>
      <c r="O16" s="51"/>
    </row>
    <row r="17" spans="1:15" x14ac:dyDescent="0.25">
      <c r="A17" s="52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51"/>
    </row>
    <row r="18" spans="1:15" x14ac:dyDescent="0.25">
      <c r="A18" s="109" t="s">
        <v>14</v>
      </c>
      <c r="B18" s="108" t="s">
        <v>31</v>
      </c>
      <c r="C18" s="108" t="s">
        <v>20</v>
      </c>
      <c r="D18" s="108" t="s">
        <v>21</v>
      </c>
      <c r="E18" s="108" t="s">
        <v>32</v>
      </c>
      <c r="F18" s="108" t="s">
        <v>17</v>
      </c>
      <c r="G18" s="108" t="s">
        <v>33</v>
      </c>
      <c r="H18" s="108" t="s">
        <v>34</v>
      </c>
      <c r="I18" s="108" t="s">
        <v>18</v>
      </c>
      <c r="J18" s="19"/>
      <c r="K18" s="19"/>
      <c r="L18" s="19"/>
      <c r="M18" s="19"/>
      <c r="N18" s="19"/>
      <c r="O18" s="51"/>
    </row>
    <row r="19" spans="1:15" s="20" customFormat="1" x14ac:dyDescent="0.25">
      <c r="A19" s="138">
        <v>10</v>
      </c>
      <c r="B19" s="148" t="s">
        <v>43</v>
      </c>
      <c r="C19" s="139" t="s">
        <v>160</v>
      </c>
      <c r="D19" s="140">
        <v>1.3</v>
      </c>
      <c r="E19" s="139" t="s">
        <v>35</v>
      </c>
      <c r="F19" s="139">
        <v>1</v>
      </c>
      <c r="G19" s="139"/>
      <c r="H19" s="139">
        <v>1</v>
      </c>
      <c r="I19" s="149">
        <f t="shared" ref="I19:I32" si="0">H19*F19*D19</f>
        <v>1.3</v>
      </c>
      <c r="J19" s="47"/>
      <c r="K19" s="47"/>
      <c r="L19" s="47"/>
      <c r="M19" s="47"/>
      <c r="N19" s="47"/>
      <c r="O19" s="56"/>
    </row>
    <row r="20" spans="1:15" s="20" customFormat="1" x14ac:dyDescent="0.25">
      <c r="A20" s="138">
        <v>20</v>
      </c>
      <c r="B20" s="148" t="s">
        <v>161</v>
      </c>
      <c r="C20" s="139" t="s">
        <v>161</v>
      </c>
      <c r="D20" s="140">
        <v>0.04</v>
      </c>
      <c r="E20" s="139" t="s">
        <v>162</v>
      </c>
      <c r="F20" s="139">
        <v>623</v>
      </c>
      <c r="G20" s="139" t="s">
        <v>163</v>
      </c>
      <c r="H20" s="139">
        <v>1</v>
      </c>
      <c r="I20" s="149">
        <f t="shared" si="0"/>
        <v>24.92</v>
      </c>
      <c r="J20" s="47"/>
      <c r="K20" s="47"/>
      <c r="L20" s="47"/>
      <c r="M20" s="47"/>
      <c r="N20" s="47"/>
      <c r="O20" s="56"/>
    </row>
    <row r="21" spans="1:15" s="20" customFormat="1" x14ac:dyDescent="0.25">
      <c r="A21" s="138">
        <v>30</v>
      </c>
      <c r="B21" s="148" t="s">
        <v>164</v>
      </c>
      <c r="C21" s="139" t="s">
        <v>165</v>
      </c>
      <c r="D21" s="140">
        <v>0.35</v>
      </c>
      <c r="E21" s="139" t="s">
        <v>166</v>
      </c>
      <c r="F21" s="139">
        <v>24</v>
      </c>
      <c r="G21" s="139"/>
      <c r="H21" s="139">
        <v>1</v>
      </c>
      <c r="I21" s="149">
        <f t="shared" si="0"/>
        <v>8.3999999999999986</v>
      </c>
      <c r="J21" s="47"/>
      <c r="K21" s="47"/>
      <c r="L21" s="47"/>
      <c r="M21" s="47"/>
      <c r="N21" s="47"/>
      <c r="O21" s="56"/>
    </row>
    <row r="22" spans="1:15" s="20" customFormat="1" x14ac:dyDescent="0.25">
      <c r="A22" s="138">
        <v>40</v>
      </c>
      <c r="B22" s="148" t="s">
        <v>164</v>
      </c>
      <c r="C22" s="139" t="s">
        <v>167</v>
      </c>
      <c r="D22" s="140">
        <v>0.35</v>
      </c>
      <c r="E22" s="139" t="s">
        <v>166</v>
      </c>
      <c r="F22" s="139">
        <v>3</v>
      </c>
      <c r="G22" s="139"/>
      <c r="H22" s="139">
        <v>1</v>
      </c>
      <c r="I22" s="149">
        <f t="shared" si="0"/>
        <v>1.0499999999999998</v>
      </c>
      <c r="J22" s="47"/>
      <c r="K22" s="47"/>
      <c r="L22" s="47"/>
      <c r="M22" s="47"/>
      <c r="N22" s="47"/>
      <c r="O22" s="56"/>
    </row>
    <row r="23" spans="1:15" s="20" customFormat="1" x14ac:dyDescent="0.25">
      <c r="A23" s="138">
        <v>50</v>
      </c>
      <c r="B23" s="148" t="s">
        <v>43</v>
      </c>
      <c r="C23" s="139" t="s">
        <v>160</v>
      </c>
      <c r="D23" s="140">
        <v>1.3</v>
      </c>
      <c r="E23" s="139" t="s">
        <v>35</v>
      </c>
      <c r="F23" s="139">
        <v>1</v>
      </c>
      <c r="G23" s="139"/>
      <c r="H23" s="139">
        <v>1</v>
      </c>
      <c r="I23" s="149">
        <f t="shared" si="0"/>
        <v>1.3</v>
      </c>
      <c r="J23" s="47"/>
      <c r="K23" s="47"/>
      <c r="L23" s="47"/>
      <c r="M23" s="47"/>
      <c r="N23" s="47"/>
      <c r="O23" s="56"/>
    </row>
    <row r="24" spans="1:15" s="20" customFormat="1" x14ac:dyDescent="0.25">
      <c r="A24" s="138">
        <v>60</v>
      </c>
      <c r="B24" s="148" t="s">
        <v>161</v>
      </c>
      <c r="C24" s="139" t="s">
        <v>161</v>
      </c>
      <c r="D24" s="140">
        <v>0.04</v>
      </c>
      <c r="E24" s="139" t="s">
        <v>162</v>
      </c>
      <c r="F24" s="139">
        <v>426</v>
      </c>
      <c r="G24" s="139" t="s">
        <v>163</v>
      </c>
      <c r="H24" s="139">
        <v>1</v>
      </c>
      <c r="I24" s="149">
        <f t="shared" si="0"/>
        <v>17.04</v>
      </c>
      <c r="J24" s="47"/>
      <c r="K24" s="47"/>
      <c r="L24" s="47"/>
      <c r="M24" s="47"/>
      <c r="N24" s="47"/>
      <c r="O24" s="56"/>
    </row>
    <row r="25" spans="1:15" s="20" customFormat="1" x14ac:dyDescent="0.25">
      <c r="A25" s="138">
        <v>70</v>
      </c>
      <c r="B25" s="150" t="s">
        <v>168</v>
      </c>
      <c r="C25" s="139" t="s">
        <v>169</v>
      </c>
      <c r="D25" s="140">
        <v>0.35</v>
      </c>
      <c r="E25" s="139" t="s">
        <v>166</v>
      </c>
      <c r="F25" s="139">
        <v>12</v>
      </c>
      <c r="G25" s="139"/>
      <c r="H25" s="139">
        <v>1</v>
      </c>
      <c r="I25" s="149">
        <f t="shared" si="0"/>
        <v>4.1999999999999993</v>
      </c>
      <c r="J25" s="47"/>
      <c r="K25" s="47"/>
      <c r="L25" s="47"/>
      <c r="M25" s="47"/>
      <c r="N25" s="47"/>
      <c r="O25" s="56"/>
    </row>
    <row r="26" spans="1:15" s="20" customFormat="1" x14ac:dyDescent="0.25">
      <c r="A26" s="138">
        <v>80</v>
      </c>
      <c r="B26" s="150" t="s">
        <v>170</v>
      </c>
      <c r="C26" s="139" t="s">
        <v>171</v>
      </c>
      <c r="D26" s="140">
        <v>0.5</v>
      </c>
      <c r="E26" s="139" t="s">
        <v>45</v>
      </c>
      <c r="F26" s="139">
        <v>3.5</v>
      </c>
      <c r="G26" s="139"/>
      <c r="H26" s="139">
        <v>1</v>
      </c>
      <c r="I26" s="149">
        <f t="shared" si="0"/>
        <v>1.75</v>
      </c>
      <c r="J26" s="47"/>
      <c r="K26" s="47"/>
      <c r="L26" s="47"/>
      <c r="M26" s="47"/>
      <c r="N26" s="47"/>
      <c r="O26" s="56"/>
    </row>
    <row r="27" spans="1:15" s="20" customFormat="1" x14ac:dyDescent="0.25">
      <c r="A27" s="138">
        <v>90</v>
      </c>
      <c r="B27" s="148" t="s">
        <v>43</v>
      </c>
      <c r="C27" s="139" t="s">
        <v>160</v>
      </c>
      <c r="D27" s="140">
        <v>1.3</v>
      </c>
      <c r="E27" s="139" t="s">
        <v>35</v>
      </c>
      <c r="F27" s="139">
        <v>1</v>
      </c>
      <c r="G27" s="139"/>
      <c r="H27" s="139">
        <v>1</v>
      </c>
      <c r="I27" s="149">
        <f t="shared" si="0"/>
        <v>1.3</v>
      </c>
      <c r="J27" s="47"/>
      <c r="K27" s="47"/>
      <c r="L27" s="47"/>
      <c r="M27" s="47"/>
      <c r="N27" s="47"/>
      <c r="O27" s="56"/>
    </row>
    <row r="28" spans="1:15" s="20" customFormat="1" x14ac:dyDescent="0.25">
      <c r="A28" s="138">
        <v>100</v>
      </c>
      <c r="B28" s="148" t="s">
        <v>161</v>
      </c>
      <c r="C28" s="139" t="s">
        <v>161</v>
      </c>
      <c r="D28" s="140">
        <v>0.04</v>
      </c>
      <c r="E28" s="139" t="s">
        <v>162</v>
      </c>
      <c r="F28" s="139">
        <v>538</v>
      </c>
      <c r="G28" s="139" t="s">
        <v>163</v>
      </c>
      <c r="H28" s="139">
        <v>1</v>
      </c>
      <c r="I28" s="149">
        <f t="shared" si="0"/>
        <v>21.52</v>
      </c>
      <c r="J28" s="47"/>
      <c r="K28" s="47"/>
      <c r="L28" s="47"/>
      <c r="M28" s="47"/>
      <c r="N28" s="47"/>
      <c r="O28" s="56"/>
    </row>
    <row r="29" spans="1:15" s="20" customFormat="1" x14ac:dyDescent="0.25">
      <c r="A29" s="138">
        <v>110</v>
      </c>
      <c r="B29" s="150" t="s">
        <v>168</v>
      </c>
      <c r="C29" s="139" t="s">
        <v>172</v>
      </c>
      <c r="D29" s="140">
        <v>0.35</v>
      </c>
      <c r="E29" s="139" t="s">
        <v>166</v>
      </c>
      <c r="F29" s="139">
        <v>12</v>
      </c>
      <c r="G29" s="139"/>
      <c r="H29" s="139">
        <v>1</v>
      </c>
      <c r="I29" s="149">
        <f t="shared" si="0"/>
        <v>4.1999999999999993</v>
      </c>
      <c r="J29" s="47"/>
      <c r="K29" s="47"/>
      <c r="L29" s="47"/>
      <c r="M29" s="47"/>
      <c r="N29" s="47"/>
      <c r="O29" s="56"/>
    </row>
    <row r="30" spans="1:15" s="20" customFormat="1" x14ac:dyDescent="0.25">
      <c r="A30" s="138">
        <v>120</v>
      </c>
      <c r="B30" s="150" t="s">
        <v>173</v>
      </c>
      <c r="C30" s="139" t="s">
        <v>174</v>
      </c>
      <c r="D30" s="140">
        <v>0.13</v>
      </c>
      <c r="E30" s="139" t="s">
        <v>35</v>
      </c>
      <c r="F30" s="139">
        <v>2</v>
      </c>
      <c r="G30" s="139"/>
      <c r="H30" s="139">
        <v>1</v>
      </c>
      <c r="I30" s="149">
        <f t="shared" si="0"/>
        <v>0.26</v>
      </c>
      <c r="J30" s="47"/>
      <c r="K30" s="47"/>
      <c r="L30" s="47"/>
      <c r="M30" s="47"/>
      <c r="N30" s="47"/>
      <c r="O30" s="56"/>
    </row>
    <row r="31" spans="1:15" x14ac:dyDescent="0.25">
      <c r="A31" s="138">
        <v>130</v>
      </c>
      <c r="B31" s="150" t="s">
        <v>175</v>
      </c>
      <c r="C31" s="139" t="s">
        <v>174</v>
      </c>
      <c r="D31" s="140">
        <v>0.5</v>
      </c>
      <c r="E31" s="139" t="s">
        <v>35</v>
      </c>
      <c r="F31" s="139">
        <v>24</v>
      </c>
      <c r="G31" s="139"/>
      <c r="H31" s="139">
        <v>1</v>
      </c>
      <c r="I31" s="149">
        <f t="shared" si="0"/>
        <v>12</v>
      </c>
      <c r="J31" s="45"/>
      <c r="L31" s="45"/>
      <c r="M31" s="45"/>
      <c r="N31" s="45"/>
      <c r="O31" s="51"/>
    </row>
    <row r="32" spans="1:15" s="16" customFormat="1" x14ac:dyDescent="0.25">
      <c r="A32" s="138">
        <v>140</v>
      </c>
      <c r="B32" s="150" t="s">
        <v>176</v>
      </c>
      <c r="C32" s="139" t="s">
        <v>177</v>
      </c>
      <c r="D32" s="140">
        <v>0.75</v>
      </c>
      <c r="E32" s="139" t="s">
        <v>35</v>
      </c>
      <c r="F32" s="139">
        <v>3</v>
      </c>
      <c r="G32" s="139"/>
      <c r="H32" s="139">
        <v>1</v>
      </c>
      <c r="I32" s="149">
        <f t="shared" si="0"/>
        <v>2.25</v>
      </c>
      <c r="J32" s="46"/>
      <c r="K32" s="46"/>
      <c r="L32" s="46"/>
      <c r="M32" s="46"/>
      <c r="N32" s="46"/>
      <c r="O32" s="53"/>
    </row>
    <row r="33" spans="1:15" x14ac:dyDescent="0.25">
      <c r="A33" s="55"/>
      <c r="B33" s="19"/>
      <c r="C33" s="19"/>
      <c r="D33" s="19"/>
      <c r="E33" s="19"/>
      <c r="F33" s="19"/>
      <c r="G33" s="19"/>
      <c r="H33" s="110" t="s">
        <v>18</v>
      </c>
      <c r="I33" s="105">
        <f>SUM(I19:I32)</f>
        <v>101.49</v>
      </c>
      <c r="J33" s="19"/>
      <c r="K33" s="19"/>
      <c r="L33" s="19"/>
      <c r="M33" s="19"/>
      <c r="N33" s="19"/>
      <c r="O33" s="51"/>
    </row>
    <row r="34" spans="1:15" x14ac:dyDescent="0.25">
      <c r="A34" s="52"/>
      <c r="B34" s="45"/>
      <c r="C34" s="45"/>
      <c r="D34" s="45"/>
      <c r="E34" s="45"/>
      <c r="F34" s="45"/>
      <c r="G34" s="45"/>
      <c r="H34" s="45"/>
      <c r="I34" s="46"/>
      <c r="J34" s="45"/>
      <c r="K34" s="45"/>
      <c r="L34" s="45"/>
      <c r="M34" s="45"/>
      <c r="N34" s="45"/>
      <c r="O34" s="51"/>
    </row>
    <row r="35" spans="1:15" x14ac:dyDescent="0.25">
      <c r="A35" s="109" t="s">
        <v>14</v>
      </c>
      <c r="B35" s="108" t="s">
        <v>36</v>
      </c>
      <c r="C35" s="108" t="s">
        <v>20</v>
      </c>
      <c r="D35" s="108" t="s">
        <v>21</v>
      </c>
      <c r="E35" s="108" t="s">
        <v>22</v>
      </c>
      <c r="F35" s="108" t="s">
        <v>23</v>
      </c>
      <c r="G35" s="108" t="s">
        <v>24</v>
      </c>
      <c r="H35" s="108" t="s">
        <v>25</v>
      </c>
      <c r="I35" s="108" t="s">
        <v>17</v>
      </c>
      <c r="J35" s="108" t="s">
        <v>18</v>
      </c>
      <c r="K35" s="45"/>
      <c r="L35" s="45"/>
      <c r="M35" s="45"/>
      <c r="N35" s="45"/>
      <c r="O35" s="51"/>
    </row>
    <row r="36" spans="1:15" x14ac:dyDescent="0.25">
      <c r="A36" s="148">
        <v>10</v>
      </c>
      <c r="B36" s="125" t="s">
        <v>178</v>
      </c>
      <c r="C36" s="148" t="s">
        <v>179</v>
      </c>
      <c r="D36" s="151">
        <f>1.25/105154*E36*E36*G36*SQRT(G36)+0.005*EXP(0.319*E36)</f>
        <v>5.6317842209943889E-2</v>
      </c>
      <c r="E36" s="148">
        <v>6</v>
      </c>
      <c r="F36" s="152" t="s">
        <v>30</v>
      </c>
      <c r="G36" s="148">
        <v>14</v>
      </c>
      <c r="H36" s="148" t="s">
        <v>30</v>
      </c>
      <c r="I36" s="153">
        <v>24</v>
      </c>
      <c r="J36" s="154">
        <f>I36*D36</f>
        <v>1.3516282130386532</v>
      </c>
      <c r="K36" s="45"/>
      <c r="L36" s="45"/>
      <c r="M36" s="45"/>
      <c r="N36" s="45"/>
      <c r="O36" s="51"/>
    </row>
    <row r="37" spans="1:15" x14ac:dyDescent="0.25">
      <c r="A37" s="148">
        <v>20</v>
      </c>
      <c r="B37" s="125" t="s">
        <v>180</v>
      </c>
      <c r="C37" s="148"/>
      <c r="D37" s="151">
        <v>0.02</v>
      </c>
      <c r="E37" s="148"/>
      <c r="F37" s="152" t="s">
        <v>35</v>
      </c>
      <c r="G37" s="148"/>
      <c r="H37" s="148"/>
      <c r="I37" s="153">
        <v>24</v>
      </c>
      <c r="J37" s="154">
        <f>I37*D37</f>
        <v>0.48</v>
      </c>
      <c r="K37" s="45"/>
      <c r="L37" s="45"/>
      <c r="M37" s="45"/>
      <c r="N37" s="45"/>
      <c r="O37" s="51"/>
    </row>
    <row r="38" spans="1:15" x14ac:dyDescent="0.25">
      <c r="A38" s="148">
        <v>30</v>
      </c>
      <c r="B38" s="125" t="s">
        <v>181</v>
      </c>
      <c r="C38" s="148"/>
      <c r="D38" s="151">
        <f>1/105154*E38*E38*G38*SQRT(G38)+0.004*EXP(0.319*E38)</f>
        <v>6.5102725326469366E-2</v>
      </c>
      <c r="E38" s="148">
        <v>8</v>
      </c>
      <c r="F38" s="152" t="s">
        <v>30</v>
      </c>
      <c r="G38" s="148">
        <v>8</v>
      </c>
      <c r="H38" s="148" t="s">
        <v>30</v>
      </c>
      <c r="I38" s="153">
        <v>3</v>
      </c>
      <c r="J38" s="154">
        <f>I38*D38</f>
        <v>0.19530817597940808</v>
      </c>
      <c r="K38" s="45"/>
      <c r="L38" s="45"/>
      <c r="M38" s="45"/>
      <c r="N38" s="45"/>
      <c r="O38" s="51"/>
    </row>
    <row r="39" spans="1:15" x14ac:dyDescent="0.25">
      <c r="A39" s="148">
        <v>40</v>
      </c>
      <c r="B39" s="125" t="s">
        <v>182</v>
      </c>
      <c r="C39" s="148"/>
      <c r="D39" s="151">
        <v>0.33600000000000002</v>
      </c>
      <c r="E39" s="148">
        <v>8</v>
      </c>
      <c r="F39" s="152" t="s">
        <v>30</v>
      </c>
      <c r="G39" s="148"/>
      <c r="H39" s="148"/>
      <c r="I39" s="153">
        <v>3</v>
      </c>
      <c r="J39" s="154">
        <f>I39*D39</f>
        <v>1.008</v>
      </c>
      <c r="K39" s="45"/>
      <c r="L39" s="45"/>
      <c r="M39" s="45"/>
      <c r="N39" s="45"/>
      <c r="O39" s="51"/>
    </row>
    <row r="40" spans="1:15" x14ac:dyDescent="0.25">
      <c r="A40" s="55"/>
      <c r="B40" s="19"/>
      <c r="C40" s="19"/>
      <c r="D40" s="19"/>
      <c r="E40" s="19"/>
      <c r="F40" s="19"/>
      <c r="G40" s="19"/>
      <c r="H40" s="19"/>
      <c r="I40" s="110" t="s">
        <v>18</v>
      </c>
      <c r="J40" s="105">
        <f>SUM(J36:J39)</f>
        <v>3.0349363890180614</v>
      </c>
      <c r="K40" s="45"/>
      <c r="L40" s="45"/>
      <c r="M40" s="45"/>
      <c r="N40" s="45"/>
      <c r="O40" s="51"/>
    </row>
    <row r="41" spans="1:15" ht="15.75" thickBot="1" x14ac:dyDescent="0.3">
      <c r="A41" s="57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9"/>
    </row>
  </sheetData>
  <hyperlinks>
    <hyperlink ref="B4" location="EN_A0900!A1" display="Differential" xr:uid="{6CB8330E-FA96-4AEF-AF47-83214EE548D7}"/>
  </hyperlinks>
  <pageMargins left="0.78749999999999998" right="0.78749999999999998" top="1.05277777777778" bottom="1.05277777777778" header="0.78749999999999998" footer="0.78749999999999998"/>
  <pageSetup paperSize="9" scale="43" firstPageNumber="0" fitToHeight="0" orientation="portrait" r:id="rId1"/>
  <headerFooter>
    <oddHeader>&amp;C&amp;"Times New Roman,Normal"&amp;12&amp;A</oddHeader>
    <oddFooter>&amp;C&amp;"Times New Roman,Normal"&amp;12Page &amp;P</oddFooter>
  </headerFooter>
  <rowBreaks count="2" manualBreakCount="2">
    <brk id="41" max="16383" man="1"/>
    <brk id="7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1AAA1-2CA2-4999-A56B-F4E826ADD4A0}">
  <sheetPr>
    <tabColor theme="6" tint="0.39997558519241921"/>
  </sheetPr>
  <dimension ref="A1:O26"/>
  <sheetViews>
    <sheetView workbookViewId="0">
      <selection activeCell="B4" sqref="B4"/>
    </sheetView>
  </sheetViews>
  <sheetFormatPr baseColWidth="10" defaultRowHeight="15" x14ac:dyDescent="0.25"/>
  <cols>
    <col min="2" max="2" width="33.7109375" bestFit="1" customWidth="1"/>
    <col min="3" max="3" width="22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EN_0900_002_m+EN_0900_002_p</f>
        <v>10.904564699673662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139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10.904564699673662</v>
      </c>
      <c r="O5" s="163"/>
    </row>
    <row r="6" spans="1:15" x14ac:dyDescent="0.25">
      <c r="A6" s="182" t="s">
        <v>7</v>
      </c>
      <c r="B6" s="175" t="s">
        <v>211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0.78556506050717001</v>
      </c>
      <c r="F11" s="139" t="s">
        <v>155</v>
      </c>
      <c r="G11" s="139"/>
      <c r="H11" s="142"/>
      <c r="I11" s="143" t="s">
        <v>217</v>
      </c>
      <c r="J11" s="143">
        <f>PI()*87.5*87.5/1000000</f>
        <v>2.4052818754046849E-2</v>
      </c>
      <c r="K11" s="144">
        <v>2.3E-2</v>
      </c>
      <c r="L11" s="145">
        <v>1420</v>
      </c>
      <c r="M11" s="145">
        <v>1</v>
      </c>
      <c r="N11" s="140">
        <f>E11*D11</f>
        <v>2.5923646996736607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2.5923646996736607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350.61</v>
      </c>
      <c r="G17" s="200" t="s">
        <v>220</v>
      </c>
      <c r="H17" s="204">
        <v>0.5</v>
      </c>
      <c r="I17" s="199">
        <f>IF(H17="",D17*F17,D17*F17*H17)</f>
        <v>7.0122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8.3122000000000007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177"/>
      <c r="D20" s="177"/>
      <c r="E20" s="178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177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2 Drawing'!A1" display="FileLink1" xr:uid="{ECDC8661-0D3F-4C07-AD93-18900582CBCA}"/>
    <hyperlink ref="B4" location="EN_A0900!A1" display="Differential" xr:uid="{606CCB03-2F4A-462D-B9DA-17F06C3B5AE9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  <pageSetUpPr fitToPage="1"/>
  </sheetPr>
  <dimension ref="A1:B1"/>
  <sheetViews>
    <sheetView zoomScale="85" zoomScaleNormal="85" workbookViewId="0">
      <selection activeCell="P21" sqref="P21"/>
    </sheetView>
  </sheetViews>
  <sheetFormatPr baseColWidth="10" defaultRowHeight="15" x14ac:dyDescent="0.25"/>
  <cols>
    <col min="1" max="1" width="14" customWidth="1"/>
  </cols>
  <sheetData>
    <row r="1" spans="1:2" x14ac:dyDescent="0.25">
      <c r="A1" s="66" t="s">
        <v>211</v>
      </c>
      <c r="B1" s="66"/>
    </row>
  </sheetData>
  <hyperlinks>
    <hyperlink ref="A1" location="EN_0900_002" display="EN_0900_002" xr:uid="{3E6B704C-0A42-4901-8D65-9CD184337D9B}"/>
  </hyperlinks>
  <pageMargins left="0.7" right="0.7" top="0.75" bottom="0.75" header="0.3" footer="0.3"/>
  <pageSetup paperSize="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CB35-5E4D-477D-B0C4-98B12375369F}">
  <sheetPr>
    <tabColor theme="6" tint="0.39997558519241921"/>
  </sheetPr>
  <dimension ref="A1:P31"/>
  <sheetViews>
    <sheetView zoomScale="70" zoomScaleNormal="70" workbookViewId="0">
      <selection activeCell="B4" sqref="B4"/>
    </sheetView>
  </sheetViews>
  <sheetFormatPr baseColWidth="10" defaultRowHeight="15" x14ac:dyDescent="0.25"/>
  <cols>
    <col min="2" max="2" width="33.7109375" bestFit="1" customWidth="1"/>
  </cols>
  <sheetData>
    <row r="1" spans="1:15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5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EN_0900_003_m+EN_0900_003_p</f>
        <v>8.5389646196590014</v>
      </c>
      <c r="O2" s="163"/>
    </row>
    <row r="3" spans="1:15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5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5" x14ac:dyDescent="0.25">
      <c r="A5" s="182" t="s">
        <v>15</v>
      </c>
      <c r="B5" s="45" t="s">
        <v>138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8.5389646196590014</v>
      </c>
      <c r="O5" s="163"/>
    </row>
    <row r="6" spans="1:15" x14ac:dyDescent="0.25">
      <c r="A6" s="182" t="s">
        <v>7</v>
      </c>
      <c r="B6" s="175" t="s">
        <v>221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5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</row>
    <row r="8" spans="1:15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5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5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5" x14ac:dyDescent="0.25">
      <c r="A11" s="187">
        <v>10</v>
      </c>
      <c r="B11" s="188" t="s">
        <v>216</v>
      </c>
      <c r="C11" s="189"/>
      <c r="D11" s="140">
        <v>3.3</v>
      </c>
      <c r="E11" s="141">
        <f>J11*K11*L11</f>
        <v>0.60726200595727309</v>
      </c>
      <c r="F11" s="139" t="s">
        <v>155</v>
      </c>
      <c r="G11" s="139"/>
      <c r="H11" s="142"/>
      <c r="I11" s="143" t="s">
        <v>222</v>
      </c>
      <c r="J11" s="143">
        <f>PI()*82.5*82.5/1000000</f>
        <v>2.138246499849553E-2</v>
      </c>
      <c r="K11" s="144">
        <v>0.02</v>
      </c>
      <c r="L11" s="145">
        <v>1420</v>
      </c>
      <c r="M11" s="145">
        <v>1</v>
      </c>
      <c r="N11" s="140">
        <f>E11*D11</f>
        <v>2.0039646196590013</v>
      </c>
      <c r="O11" s="167"/>
    </row>
    <row r="12" spans="1:15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5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2.0039646196590013</v>
      </c>
      <c r="O13" s="163"/>
    </row>
    <row r="14" spans="1:15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5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5" ht="30" x14ac:dyDescent="0.25">
      <c r="A16" s="193">
        <v>10</v>
      </c>
      <c r="B16" s="194" t="s">
        <v>43</v>
      </c>
      <c r="C16" s="195" t="s">
        <v>218</v>
      </c>
      <c r="D16" s="196">
        <v>1.3</v>
      </c>
      <c r="E16" s="197" t="s">
        <v>32</v>
      </c>
      <c r="F16" s="197">
        <v>1</v>
      </c>
      <c r="G16" s="198"/>
      <c r="H16" s="197"/>
      <c r="I16" s="199">
        <f>IF(H16="",D16*F16,D16*F16*H16)</f>
        <v>1.3</v>
      </c>
      <c r="J16" s="47"/>
      <c r="K16" s="47"/>
      <c r="L16" s="47"/>
      <c r="M16" s="47"/>
      <c r="N16" s="47"/>
      <c r="O16" s="169"/>
    </row>
    <row r="17" spans="1:16" ht="30" x14ac:dyDescent="0.25">
      <c r="A17" s="193">
        <v>20</v>
      </c>
      <c r="B17" s="200" t="s">
        <v>161</v>
      </c>
      <c r="C17" s="189" t="s">
        <v>219</v>
      </c>
      <c r="D17" s="201">
        <v>0.04</v>
      </c>
      <c r="E17" s="202" t="s">
        <v>162</v>
      </c>
      <c r="F17" s="203">
        <v>261.75</v>
      </c>
      <c r="G17" s="200" t="s">
        <v>220</v>
      </c>
      <c r="H17" s="204">
        <v>0.5</v>
      </c>
      <c r="I17" s="199">
        <f>IF(H17="",D17*F17,D17*F17*H17)</f>
        <v>5.2350000000000003</v>
      </c>
      <c r="J17" s="47"/>
      <c r="K17" s="47"/>
      <c r="L17" s="47"/>
      <c r="M17" s="47"/>
      <c r="N17" s="47"/>
      <c r="O17" s="169"/>
    </row>
    <row r="18" spans="1:16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6.5350000000000001</v>
      </c>
      <c r="J18" s="19"/>
      <c r="K18" s="19"/>
      <c r="L18" s="19"/>
      <c r="M18" s="19"/>
      <c r="N18" s="19"/>
      <c r="O18" s="163"/>
    </row>
    <row r="19" spans="1:16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6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6" x14ac:dyDescent="0.25">
      <c r="A21" s="164"/>
      <c r="B21" s="45"/>
      <c r="C21" s="45"/>
      <c r="D21" s="45"/>
      <c r="E21" s="177"/>
      <c r="F21" s="45"/>
      <c r="G21" s="177"/>
      <c r="H21" s="178"/>
      <c r="I21" s="45"/>
      <c r="J21" s="45"/>
      <c r="K21" s="45"/>
      <c r="L21" s="45"/>
      <c r="M21" s="45"/>
      <c r="N21" s="45"/>
      <c r="O21" s="163"/>
    </row>
    <row r="22" spans="1:16" x14ac:dyDescent="0.25">
      <c r="A22" s="164"/>
      <c r="B22" s="45"/>
      <c r="C22" s="45"/>
      <c r="D22" s="45"/>
      <c r="E22" s="177"/>
      <c r="F22" s="45"/>
      <c r="G22" s="45"/>
      <c r="H22" s="45"/>
      <c r="I22" s="45"/>
      <c r="J22" s="45"/>
      <c r="K22" s="45"/>
      <c r="L22" s="45"/>
      <c r="M22" s="45"/>
      <c r="N22" s="45"/>
      <c r="O22" s="163"/>
    </row>
    <row r="23" spans="1:16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6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6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6" x14ac:dyDescent="0.25">
      <c r="A26" s="164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163"/>
      <c r="P26" s="45"/>
    </row>
    <row r="27" spans="1:16" ht="15.75" thickBot="1" x14ac:dyDescent="0.3">
      <c r="A27" s="172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4"/>
      <c r="P27" s="45"/>
    </row>
    <row r="28" spans="1:16" x14ac:dyDescent="0.25">
      <c r="A28" s="164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</row>
    <row r="29" spans="1:16" x14ac:dyDescent="0.25">
      <c r="A29" s="164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</row>
    <row r="30" spans="1:16" x14ac:dyDescent="0.2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</row>
    <row r="31" spans="1:16" x14ac:dyDescent="0.2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</row>
  </sheetData>
  <hyperlinks>
    <hyperlink ref="D3" location="'EN_0900_003 Drawing'!A1" display="FileLink1" xr:uid="{59C5B32C-7553-42F4-AFEA-29C9E3DD5D96}"/>
    <hyperlink ref="B4" location="EN_A0900!A1" display="Differential" xr:uid="{1B866F73-6B2A-4890-8043-8FCD8402A00D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4A229-419E-4C21-8D70-722F177075CC}">
  <sheetPr>
    <tabColor theme="6" tint="0.39997558519241921"/>
  </sheetPr>
  <dimension ref="A1"/>
  <sheetViews>
    <sheetView topLeftCell="A13" workbookViewId="0">
      <selection activeCell="O10" sqref="O10"/>
    </sheetView>
  </sheetViews>
  <sheetFormatPr baseColWidth="10" defaultRowHeight="15" x14ac:dyDescent="0.25"/>
  <sheetData>
    <row r="1" spans="1:1" x14ac:dyDescent="0.25">
      <c r="A1" s="66" t="s">
        <v>221</v>
      </c>
    </row>
  </sheetData>
  <hyperlinks>
    <hyperlink ref="A1" location="EN_0900_003" display="EN_0900_003" xr:uid="{3478DEC4-9D81-4D5D-B1A0-69D3277F469C}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63489-9D64-49E7-BB99-1CCB29392CF5}">
  <sheetPr>
    <tabColor theme="6" tint="0.39997558519241921"/>
  </sheetPr>
  <dimension ref="A1:P26"/>
  <sheetViews>
    <sheetView workbookViewId="0">
      <selection activeCell="B4" sqref="B4"/>
    </sheetView>
  </sheetViews>
  <sheetFormatPr baseColWidth="10" defaultRowHeight="15" x14ac:dyDescent="0.25"/>
  <cols>
    <col min="2" max="2" width="21.28515625" bestFit="1" customWidth="1"/>
    <col min="3" max="3" width="32.28515625" bestFit="1" customWidth="1"/>
    <col min="9" max="9" width="27.42578125" bestFit="1" customWidth="1"/>
  </cols>
  <sheetData>
    <row r="1" spans="1:16" x14ac:dyDescent="0.25">
      <c r="A1" s="159"/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1"/>
    </row>
    <row r="2" spans="1:16" x14ac:dyDescent="0.25">
      <c r="A2" s="179" t="s">
        <v>0</v>
      </c>
      <c r="B2" s="180" t="s">
        <v>42</v>
      </c>
      <c r="C2" s="45"/>
      <c r="D2" s="45"/>
      <c r="E2" s="45"/>
      <c r="F2" s="45"/>
      <c r="G2" s="45" t="s">
        <v>119</v>
      </c>
      <c r="H2" s="45"/>
      <c r="I2" s="45"/>
      <c r="J2" s="102" t="s">
        <v>1</v>
      </c>
      <c r="K2" s="63">
        <v>81</v>
      </c>
      <c r="L2" s="45"/>
      <c r="M2" s="101" t="s">
        <v>16</v>
      </c>
      <c r="N2" s="61">
        <f>EN_0900_004_m+EN_0900_004_p</f>
        <v>23.956417471999998</v>
      </c>
      <c r="O2" s="163"/>
    </row>
    <row r="3" spans="1:16" x14ac:dyDescent="0.25">
      <c r="A3" s="181" t="s">
        <v>3</v>
      </c>
      <c r="B3" s="180" t="s">
        <v>134</v>
      </c>
      <c r="C3" s="45"/>
      <c r="D3" s="222" t="s">
        <v>6</v>
      </c>
      <c r="E3" s="45" t="s">
        <v>90</v>
      </c>
      <c r="F3" s="45"/>
      <c r="G3" s="45"/>
      <c r="H3" s="45"/>
      <c r="I3" s="45"/>
      <c r="J3" s="45"/>
      <c r="K3" s="45"/>
      <c r="L3" s="45"/>
      <c r="M3" s="101" t="s">
        <v>4</v>
      </c>
      <c r="N3" s="62">
        <v>1</v>
      </c>
      <c r="O3" s="163"/>
    </row>
    <row r="4" spans="1:16" x14ac:dyDescent="0.25">
      <c r="A4" s="182" t="s">
        <v>5</v>
      </c>
      <c r="B4" s="225" t="s">
        <v>135</v>
      </c>
      <c r="C4" s="45"/>
      <c r="D4" s="101" t="s">
        <v>8</v>
      </c>
      <c r="E4" s="45"/>
      <c r="F4" s="45"/>
      <c r="G4" s="45"/>
      <c r="H4" s="45"/>
      <c r="I4" s="45"/>
      <c r="J4" s="103" t="s">
        <v>6</v>
      </c>
      <c r="K4" s="45"/>
      <c r="L4" s="45"/>
      <c r="M4" s="45"/>
      <c r="N4" s="45"/>
      <c r="O4" s="163"/>
    </row>
    <row r="5" spans="1:16" x14ac:dyDescent="0.25">
      <c r="A5" s="182" t="s">
        <v>15</v>
      </c>
      <c r="B5" s="45" t="s">
        <v>224</v>
      </c>
      <c r="C5" s="45"/>
      <c r="D5" s="101" t="s">
        <v>12</v>
      </c>
      <c r="E5" s="45"/>
      <c r="F5" s="45"/>
      <c r="G5" s="45"/>
      <c r="H5" s="45"/>
      <c r="I5" s="45"/>
      <c r="J5" s="103" t="s">
        <v>8</v>
      </c>
      <c r="K5" s="45"/>
      <c r="L5" s="45"/>
      <c r="M5" s="101" t="s">
        <v>9</v>
      </c>
      <c r="N5" s="61">
        <f>N3*N2</f>
        <v>23.956417471999998</v>
      </c>
      <c r="O5" s="163"/>
    </row>
    <row r="6" spans="1:16" x14ac:dyDescent="0.25">
      <c r="A6" s="182" t="s">
        <v>7</v>
      </c>
      <c r="B6" s="175" t="s">
        <v>223</v>
      </c>
      <c r="C6" s="45"/>
      <c r="D6" s="45"/>
      <c r="E6" s="45"/>
      <c r="F6" s="45"/>
      <c r="G6" s="45"/>
      <c r="H6" s="45"/>
      <c r="I6" s="45"/>
      <c r="J6" s="103" t="s">
        <v>12</v>
      </c>
      <c r="K6" s="45"/>
      <c r="L6" s="45"/>
      <c r="M6" s="45"/>
      <c r="N6" s="45"/>
      <c r="O6" s="163"/>
    </row>
    <row r="7" spans="1:16" x14ac:dyDescent="0.25">
      <c r="A7" s="183" t="s">
        <v>10</v>
      </c>
      <c r="B7" s="180" t="s">
        <v>11</v>
      </c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163"/>
      <c r="P7">
        <f>341.663+32</f>
        <v>373.66300000000001</v>
      </c>
    </row>
    <row r="8" spans="1:16" x14ac:dyDescent="0.25">
      <c r="A8" s="179" t="s">
        <v>13</v>
      </c>
      <c r="B8" s="111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163"/>
    </row>
    <row r="9" spans="1:16" x14ac:dyDescent="0.25">
      <c r="A9" s="184"/>
      <c r="B9" s="21"/>
      <c r="C9" s="21"/>
      <c r="D9" s="21"/>
      <c r="E9" s="21"/>
      <c r="F9" s="45"/>
      <c r="G9" s="45"/>
      <c r="H9" s="45"/>
      <c r="I9" s="45"/>
      <c r="J9" s="45"/>
      <c r="K9" s="45"/>
      <c r="L9" s="45"/>
      <c r="M9" s="45"/>
      <c r="N9" s="45"/>
      <c r="O9" s="163"/>
    </row>
    <row r="10" spans="1:16" x14ac:dyDescent="0.25">
      <c r="A10" s="185" t="s">
        <v>14</v>
      </c>
      <c r="B10" s="107" t="s">
        <v>19</v>
      </c>
      <c r="C10" s="107" t="s">
        <v>20</v>
      </c>
      <c r="D10" s="107" t="s">
        <v>21</v>
      </c>
      <c r="E10" s="107" t="s">
        <v>22</v>
      </c>
      <c r="F10" s="186" t="s">
        <v>23</v>
      </c>
      <c r="G10" s="186" t="s">
        <v>24</v>
      </c>
      <c r="H10" s="186" t="s">
        <v>25</v>
      </c>
      <c r="I10" s="186" t="s">
        <v>26</v>
      </c>
      <c r="J10" s="186" t="s">
        <v>27</v>
      </c>
      <c r="K10" s="186" t="s">
        <v>28</v>
      </c>
      <c r="L10" s="186" t="s">
        <v>29</v>
      </c>
      <c r="M10" s="186" t="s">
        <v>17</v>
      </c>
      <c r="N10" s="186" t="s">
        <v>18</v>
      </c>
      <c r="O10" s="163"/>
    </row>
    <row r="11" spans="1:16" x14ac:dyDescent="0.25">
      <c r="A11" s="205">
        <v>10</v>
      </c>
      <c r="B11" s="206" t="s">
        <v>154</v>
      </c>
      <c r="C11" s="207" t="s">
        <v>225</v>
      </c>
      <c r="D11" s="208">
        <v>4.2</v>
      </c>
      <c r="E11" s="209">
        <f>J11*K11*L11</f>
        <v>1.8460041599999997</v>
      </c>
      <c r="F11" s="197" t="s">
        <v>155</v>
      </c>
      <c r="G11" s="197"/>
      <c r="H11" s="210"/>
      <c r="I11" s="211" t="s">
        <v>226</v>
      </c>
      <c r="J11" s="212">
        <f>374*130/1000000</f>
        <v>4.8619999999999997E-2</v>
      </c>
      <c r="K11" s="213">
        <f>14/1000</f>
        <v>1.4E-2</v>
      </c>
      <c r="L11" s="214">
        <v>2712</v>
      </c>
      <c r="M11" s="214">
        <v>1</v>
      </c>
      <c r="N11" s="215">
        <f>IF(J11="",D11*M11,D11*J11*K11*L11*M11)</f>
        <v>7.7532174719999993</v>
      </c>
      <c r="O11" s="167"/>
    </row>
    <row r="12" spans="1:16" x14ac:dyDescent="0.25">
      <c r="A12" s="190"/>
      <c r="B12" s="129"/>
      <c r="C12" s="130"/>
      <c r="D12" s="131"/>
      <c r="E12" s="130"/>
      <c r="F12" s="130"/>
      <c r="G12" s="130"/>
      <c r="H12" s="132"/>
      <c r="I12" s="133"/>
      <c r="J12" s="134"/>
      <c r="K12" s="135"/>
      <c r="L12" s="136"/>
      <c r="M12" s="191"/>
      <c r="N12" s="137"/>
      <c r="O12" s="167"/>
    </row>
    <row r="13" spans="1:16" x14ac:dyDescent="0.25">
      <c r="A13" s="16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2" t="s">
        <v>18</v>
      </c>
      <c r="N13" s="105">
        <f>SUM(N11:N11)</f>
        <v>7.7532174719999993</v>
      </c>
      <c r="O13" s="163"/>
    </row>
    <row r="14" spans="1:16" x14ac:dyDescent="0.25">
      <c r="A14" s="16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163"/>
    </row>
    <row r="15" spans="1:16" x14ac:dyDescent="0.25">
      <c r="A15" s="182" t="s">
        <v>14</v>
      </c>
      <c r="B15" s="186" t="s">
        <v>31</v>
      </c>
      <c r="C15" s="186" t="s">
        <v>20</v>
      </c>
      <c r="D15" s="186" t="s">
        <v>21</v>
      </c>
      <c r="E15" s="186" t="s">
        <v>32</v>
      </c>
      <c r="F15" s="186" t="s">
        <v>17</v>
      </c>
      <c r="G15" s="186" t="s">
        <v>33</v>
      </c>
      <c r="H15" s="186" t="s">
        <v>34</v>
      </c>
      <c r="I15" s="186" t="s">
        <v>18</v>
      </c>
      <c r="J15" s="19"/>
      <c r="K15" s="19"/>
      <c r="L15" s="19"/>
      <c r="M15" s="19"/>
      <c r="N15" s="19"/>
      <c r="O15" s="163"/>
    </row>
    <row r="16" spans="1:16" ht="45" x14ac:dyDescent="0.25">
      <c r="A16" s="187">
        <v>10</v>
      </c>
      <c r="B16" s="216" t="s">
        <v>43</v>
      </c>
      <c r="C16" s="216" t="s">
        <v>227</v>
      </c>
      <c r="D16" s="208">
        <v>1.3</v>
      </c>
      <c r="E16" s="194" t="s">
        <v>32</v>
      </c>
      <c r="F16" s="217">
        <v>1</v>
      </c>
      <c r="G16" s="217"/>
      <c r="H16" s="204"/>
      <c r="I16" s="215">
        <f>IF(H16="",D16*F16,D16*F16*H16)</f>
        <v>1.3</v>
      </c>
      <c r="J16" s="47"/>
      <c r="K16" s="47"/>
      <c r="L16" s="47"/>
      <c r="M16" s="47"/>
      <c r="N16" s="47"/>
      <c r="O16" s="169"/>
    </row>
    <row r="17" spans="1:15" ht="30" x14ac:dyDescent="0.25">
      <c r="A17" s="187">
        <v>20</v>
      </c>
      <c r="B17" s="216" t="s">
        <v>161</v>
      </c>
      <c r="C17" s="216" t="s">
        <v>228</v>
      </c>
      <c r="D17" s="208">
        <v>0.04</v>
      </c>
      <c r="E17" s="197" t="s">
        <v>162</v>
      </c>
      <c r="F17" s="203">
        <v>372.58</v>
      </c>
      <c r="G17" s="194" t="s">
        <v>229</v>
      </c>
      <c r="H17" s="204">
        <v>1</v>
      </c>
      <c r="I17" s="215">
        <f>IF(H17="",D17*F17,D17*F17*H17)</f>
        <v>14.9032</v>
      </c>
      <c r="J17" s="47"/>
      <c r="K17" s="47"/>
      <c r="L17" s="47"/>
      <c r="M17" s="47"/>
      <c r="N17" s="47"/>
      <c r="O17" s="169"/>
    </row>
    <row r="18" spans="1:15" x14ac:dyDescent="0.25">
      <c r="A18" s="168"/>
      <c r="B18" s="19"/>
      <c r="C18" s="19"/>
      <c r="D18" s="19"/>
      <c r="E18" s="19"/>
      <c r="F18" s="19"/>
      <c r="G18" s="19"/>
      <c r="H18" s="110" t="s">
        <v>18</v>
      </c>
      <c r="I18" s="105">
        <f>SUM(I16:I17)</f>
        <v>16.203199999999999</v>
      </c>
      <c r="J18" s="19"/>
      <c r="K18" s="19"/>
      <c r="L18" s="19"/>
      <c r="M18" s="19"/>
      <c r="N18" s="19"/>
      <c r="O18" s="163"/>
    </row>
    <row r="19" spans="1:15" x14ac:dyDescent="0.25">
      <c r="A19" s="164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163"/>
    </row>
    <row r="20" spans="1:15" x14ac:dyDescent="0.25">
      <c r="A20" s="164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163"/>
    </row>
    <row r="21" spans="1:15" x14ac:dyDescent="0.25">
      <c r="A21" s="164"/>
      <c r="B21" s="45"/>
      <c r="C21" s="45"/>
      <c r="D21" s="45"/>
      <c r="E21" s="45"/>
      <c r="F21" s="177"/>
      <c r="G21" s="178"/>
      <c r="H21" s="178"/>
      <c r="I21" s="45"/>
      <c r="J21" s="45"/>
      <c r="K21" s="45"/>
      <c r="L21" s="45"/>
      <c r="M21" s="45"/>
      <c r="N21" s="45"/>
      <c r="O21" s="163"/>
    </row>
    <row r="22" spans="1:15" x14ac:dyDescent="0.25">
      <c r="A22" s="164"/>
      <c r="B22" s="45"/>
      <c r="C22" s="45"/>
      <c r="D22" s="45"/>
      <c r="E22" s="45"/>
      <c r="F22" s="177"/>
      <c r="G22" s="45"/>
      <c r="H22" s="45"/>
      <c r="I22" s="45"/>
      <c r="J22" s="45"/>
      <c r="K22" s="45"/>
      <c r="L22" s="45"/>
      <c r="M22" s="45"/>
      <c r="N22" s="45"/>
      <c r="O22" s="163"/>
    </row>
    <row r="23" spans="1:15" x14ac:dyDescent="0.25">
      <c r="A23" s="164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163"/>
    </row>
    <row r="24" spans="1:15" x14ac:dyDescent="0.25">
      <c r="A24" s="164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163"/>
    </row>
    <row r="25" spans="1:15" x14ac:dyDescent="0.25">
      <c r="A25" s="164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163"/>
    </row>
    <row r="26" spans="1:15" ht="15.75" thickBot="1" x14ac:dyDescent="0.3">
      <c r="A26" s="172"/>
      <c r="B26" s="173"/>
      <c r="C26" s="173"/>
      <c r="D26" s="173"/>
      <c r="E26" s="173"/>
      <c r="F26" s="173"/>
      <c r="G26" s="173"/>
      <c r="H26" s="173"/>
      <c r="I26" s="173"/>
      <c r="J26" s="173"/>
      <c r="K26" s="173"/>
      <c r="L26" s="173"/>
      <c r="M26" s="173"/>
      <c r="N26" s="173"/>
      <c r="O26" s="174"/>
    </row>
  </sheetData>
  <hyperlinks>
    <hyperlink ref="D3" location="'EN_0900_004 Drawing'!A1" display="FileLink1" xr:uid="{6A68EED4-513C-421E-A1FD-224DD9A14C59}"/>
    <hyperlink ref="B4" location="EN_A0900!A1" display="Differential" xr:uid="{0AE4B8F9-86C3-4AB7-AB62-0DE605A2148B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Feuilles de calcul</vt:lpstr>
      </vt:variant>
      <vt:variant>
        <vt:i4>27</vt:i4>
      </vt:variant>
      <vt:variant>
        <vt:lpstr>Plages nommées</vt:lpstr>
      </vt:variant>
      <vt:variant>
        <vt:i4>67</vt:i4>
      </vt:variant>
    </vt:vector>
  </HeadingPairs>
  <TitlesOfParts>
    <vt:vector size="94" baseType="lpstr">
      <vt:lpstr>Instructions</vt:lpstr>
      <vt:lpstr>BOM</vt:lpstr>
      <vt:lpstr>EN_A0900</vt:lpstr>
      <vt:lpstr>EN_0900_001</vt:lpstr>
      <vt:lpstr>EN_0900_002</vt:lpstr>
      <vt:lpstr>EN_0900_002 Drawing</vt:lpstr>
      <vt:lpstr>EN_0900_003</vt:lpstr>
      <vt:lpstr>EN_0900_003 Drawing</vt:lpstr>
      <vt:lpstr>EN_0900_004</vt:lpstr>
      <vt:lpstr>EN_0900_004 Drawing</vt:lpstr>
      <vt:lpstr>EN_0900_005</vt:lpstr>
      <vt:lpstr>EN_0900_005 Drawing</vt:lpstr>
      <vt:lpstr>EN_0900_006</vt:lpstr>
      <vt:lpstr>EN_0900_006 Drawing</vt:lpstr>
      <vt:lpstr>EN_0900_007</vt:lpstr>
      <vt:lpstr>EN_0900_007 Drawing</vt:lpstr>
      <vt:lpstr>EN_0900_008</vt:lpstr>
      <vt:lpstr>EN_0900_008 Drawing</vt:lpstr>
      <vt:lpstr>EN_0900_009</vt:lpstr>
      <vt:lpstr>EN_0900_009 Drawing</vt:lpstr>
      <vt:lpstr>EN_A1000</vt:lpstr>
      <vt:lpstr>EN_1000_001</vt:lpstr>
      <vt:lpstr>EN_1000_002</vt:lpstr>
      <vt:lpstr>EN_1000_003</vt:lpstr>
      <vt:lpstr>EN_1000_003 Drawing</vt:lpstr>
      <vt:lpstr>EN_1000_004</vt:lpstr>
      <vt:lpstr>EN_1000_004 Drawing</vt:lpstr>
      <vt:lpstr>BOM!Car</vt:lpstr>
      <vt:lpstr>BOM!CompCode</vt:lpstr>
      <vt:lpstr>dBR_01001</vt:lpstr>
      <vt:lpstr>dEL_01001</vt:lpstr>
      <vt:lpstr>EN_0900_001</vt:lpstr>
      <vt:lpstr>EN_0900_001_f</vt:lpstr>
      <vt:lpstr>EN_0900_001_m</vt:lpstr>
      <vt:lpstr>EN_0900_001_p</vt:lpstr>
      <vt:lpstr>EN_0900_002</vt:lpstr>
      <vt:lpstr>EN_0900_002_m</vt:lpstr>
      <vt:lpstr>EN_0900_002_p</vt:lpstr>
      <vt:lpstr>EN_0900_002_q</vt:lpstr>
      <vt:lpstr>EN_0900_003</vt:lpstr>
      <vt:lpstr>EN_0900_003_m</vt:lpstr>
      <vt:lpstr>EN_0900_003_p</vt:lpstr>
      <vt:lpstr>EN_0900_003_q</vt:lpstr>
      <vt:lpstr>EN_0900_004</vt:lpstr>
      <vt:lpstr>EN_0900_004_m</vt:lpstr>
      <vt:lpstr>EN_0900_004_p</vt:lpstr>
      <vt:lpstr>EN_0900_004_q</vt:lpstr>
      <vt:lpstr>EN_0900_005</vt:lpstr>
      <vt:lpstr>EN_0900_005_m</vt:lpstr>
      <vt:lpstr>EN_0900_005_p</vt:lpstr>
      <vt:lpstr>EN_0900_005_q</vt:lpstr>
      <vt:lpstr>EN_0900_006</vt:lpstr>
      <vt:lpstr>EN_0900_006_m</vt:lpstr>
      <vt:lpstr>EN_0900_006_p</vt:lpstr>
      <vt:lpstr>EN_0900_006_q</vt:lpstr>
      <vt:lpstr>EN_0900_007</vt:lpstr>
      <vt:lpstr>EN_0900_007_m</vt:lpstr>
      <vt:lpstr>EN_0900_007_p</vt:lpstr>
      <vt:lpstr>EN_0900_007_q</vt:lpstr>
      <vt:lpstr>EN_0900_008</vt:lpstr>
      <vt:lpstr>EN_0900_008_m</vt:lpstr>
      <vt:lpstr>EN_0900_008_p</vt:lpstr>
      <vt:lpstr>EN_0900_008_q</vt:lpstr>
      <vt:lpstr>EN_0900_009</vt:lpstr>
      <vt:lpstr>EN_0900_009_m</vt:lpstr>
      <vt:lpstr>EN_0900_009_p</vt:lpstr>
      <vt:lpstr>EN_0900_009_q</vt:lpstr>
      <vt:lpstr>EN_1000_001</vt:lpstr>
      <vt:lpstr>EN_1000_001_m</vt:lpstr>
      <vt:lpstr>EN_1000_001_p</vt:lpstr>
      <vt:lpstr>EN_1000_001_q</vt:lpstr>
      <vt:lpstr>EN_1000_002</vt:lpstr>
      <vt:lpstr>EN_1000_002_m</vt:lpstr>
      <vt:lpstr>EN_1000_002_p</vt:lpstr>
      <vt:lpstr>EN_1000_002_q</vt:lpstr>
      <vt:lpstr>EN_1000_003</vt:lpstr>
      <vt:lpstr>EN_1000_003_m</vt:lpstr>
      <vt:lpstr>EN_1000_003_p</vt:lpstr>
      <vt:lpstr>EN_1000_003_q</vt:lpstr>
      <vt:lpstr>EN_1000_004</vt:lpstr>
      <vt:lpstr>EN_1000_004_m</vt:lpstr>
      <vt:lpstr>EN_1000_004_p</vt:lpstr>
      <vt:lpstr>EN_1000_004_q</vt:lpstr>
      <vt:lpstr>EN_A0900</vt:lpstr>
      <vt:lpstr>EN_A0900_f</vt:lpstr>
      <vt:lpstr>EN_A0900_m</vt:lpstr>
      <vt:lpstr>EN_A0900_p</vt:lpstr>
      <vt:lpstr>EN_A0900_pa</vt:lpstr>
      <vt:lpstr>EN_A0900_q</vt:lpstr>
      <vt:lpstr>EN_A0900_t</vt:lpstr>
      <vt:lpstr>EN_A0900p</vt:lpstr>
      <vt:lpstr>EN_A090f</vt:lpstr>
      <vt:lpstr>BOM!Impression_des_titres</vt:lpstr>
      <vt:lpstr>BOM!Zone_d_impression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Adrien de la Salle</cp:lastModifiedBy>
  <cp:revision>0</cp:revision>
  <dcterms:created xsi:type="dcterms:W3CDTF">2015-05-29T18:57:13Z</dcterms:created>
  <dcterms:modified xsi:type="dcterms:W3CDTF">2018-03-28T14:07:17Z</dcterms:modified>
  <dc:language>fr-FR</dc:language>
</cp:coreProperties>
</file>