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activeTab="1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26" r:id="rId12"/>
    <sheet name="dSU 01006" sheetId="30" r:id="rId13"/>
    <sheet name="SU_A0200" sheetId="31" r:id="rId14"/>
    <sheet name="SU_02001" sheetId="32" r:id="rId15"/>
    <sheet name="dSU_02001" sheetId="38" r:id="rId16"/>
    <sheet name="SU_02002" sheetId="33" r:id="rId17"/>
    <sheet name="dSU_02002" sheetId="39" r:id="rId18"/>
    <sheet name="SU_02003" sheetId="34" r:id="rId19"/>
    <sheet name="SU_02004" sheetId="35" r:id="rId20"/>
    <sheet name="SU_02005" sheetId="36" r:id="rId21"/>
    <sheet name="dSU_02005" sheetId="40" r:id="rId22"/>
    <sheet name="SU_02006" sheetId="37" r:id="rId23"/>
    <sheet name="dSU_02006" sheetId="41" r:id="rId24"/>
  </sheets>
  <externalReferences>
    <externalReference r:id="rId25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dSU_02001">dSU_02001!$A$1</definedName>
    <definedName name="dSU_02002">dSU_02002!$A$1</definedName>
    <definedName name="dSU_02005">dSU_02005!$A$1</definedName>
    <definedName name="dSU_02006">dSU_02006!$A$1</definedName>
    <definedName name="SU_01001">'SU 01001'!$B$6</definedName>
    <definedName name="SU_01001_m">'SU 01001'!$N$12</definedName>
    <definedName name="SU_01001_p">'SU 01001'!$I$21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01005'!$I$21</definedName>
    <definedName name="SU_01005_q">'SU 01005'!$N$3</definedName>
    <definedName name="SU_01006">'SU 01006'!$B$6</definedName>
    <definedName name="SU_01006_m">'SU 01006'!$N$12</definedName>
    <definedName name="SU_01006_p">'SU 01006'!$I$19</definedName>
    <definedName name="SU_01006_q">'SU 01006'!$N$3</definedName>
    <definedName name="SU_02001">SU_02001!$B$6</definedName>
    <definedName name="SU_02001_m">SU_02001!$N$12</definedName>
    <definedName name="SU_02001_p">SU_02001!$I$21</definedName>
    <definedName name="SU_02001_q">SU_02001!$N$3</definedName>
    <definedName name="SU_02002">SU_02002!$B$6</definedName>
    <definedName name="SU_02002_m">SU_02002!$N$12</definedName>
    <definedName name="SU_02002_p">SU_02002!$I$21</definedName>
    <definedName name="SU_02002_q">SU_02002!$N$3</definedName>
    <definedName name="SU_02003">SU_02003!$B$6</definedName>
    <definedName name="SU_02003_m">SU_02003!$N$12</definedName>
    <definedName name="SU_02003_p">SU_02003!$I$16</definedName>
    <definedName name="SU_02003_q">SU_02003!$N$3</definedName>
    <definedName name="SU_02004">SU_02004!$B$6</definedName>
    <definedName name="SU_02004_m">SU_02004!$N$12</definedName>
    <definedName name="SU_02004_p">SU_02004!$I$16</definedName>
    <definedName name="SU_02004_q">SU_02004!$N$3</definedName>
    <definedName name="SU_02005">SU_02005!$B$6</definedName>
    <definedName name="SU_02005_m">SU_02005!$N$12</definedName>
    <definedName name="SU_02005_p">SU_02005!$I$21</definedName>
    <definedName name="SU_02005_q">SU_02005!$N$3</definedName>
    <definedName name="SU_02006">SU_02006!$B$6</definedName>
    <definedName name="SU_02006_m">SU_02006!$N$12</definedName>
    <definedName name="SU_02006_p">SU_02006!$I$19</definedName>
    <definedName name="SU_02006_q">SU_02006!$N$3</definedName>
    <definedName name="SU_A0100">'SU A0100'!$B$5</definedName>
    <definedName name="SU_A0100_BOM">BOM!$C$7</definedName>
    <definedName name="SU_A0100_f">'SU A0100'!$J$50</definedName>
    <definedName name="SU_A0100_m">'SU A0100'!$N$22</definedName>
    <definedName name="SU_A0100_p">'SU A0100'!$I$43</definedName>
    <definedName name="SU_A0100_pa">'SU A0100'!$E$16</definedName>
    <definedName name="SU_A0100_q">'SU A0100'!$N$3</definedName>
    <definedName name="SU_A0200">SU_A0200!$B$5</definedName>
    <definedName name="SU_A0200_BOM">BOM!$C$14</definedName>
    <definedName name="SU_A0200_f">SU_A0200!$J$50</definedName>
    <definedName name="SU_A0200_m">SU_A0200!$N$22</definedName>
    <definedName name="SU_A0200_p">SU_A0200!$I$43</definedName>
    <definedName name="SU_A0200_pa">SU_A0200!$E$16</definedName>
    <definedName name="SU_A0200_q">SU_A0200!$N$3</definedName>
  </definedNames>
  <calcPr calcId="162913" concurrentCalc="0"/>
</workbook>
</file>

<file path=xl/calcChain.xml><?xml version="1.0" encoding="utf-8"?>
<calcChain xmlns="http://schemas.openxmlformats.org/spreadsheetml/2006/main">
  <c r="H25" i="8" l="1"/>
  <c r="N25" i="8"/>
  <c r="H24" i="8"/>
  <c r="N24" i="8"/>
  <c r="H23" i="8"/>
  <c r="N23" i="8"/>
  <c r="H22" i="8"/>
  <c r="N22" i="8"/>
  <c r="F14" i="8"/>
  <c r="E16" i="8"/>
  <c r="E17" i="8"/>
  <c r="E18" i="8"/>
  <c r="E19" i="8"/>
  <c r="E20" i="8"/>
  <c r="E15" i="8"/>
  <c r="I20" i="8"/>
  <c r="I19" i="8"/>
  <c r="I18" i="8"/>
  <c r="I17" i="8"/>
  <c r="I16" i="8"/>
  <c r="I15" i="8"/>
  <c r="D11" i="35"/>
  <c r="N11" i="35"/>
  <c r="D11" i="34"/>
  <c r="N11" i="34"/>
  <c r="D11" i="24"/>
  <c r="N11" i="24"/>
  <c r="J11" i="35"/>
  <c r="E11" i="35"/>
  <c r="J11" i="34"/>
  <c r="E11" i="34"/>
  <c r="J11" i="24"/>
  <c r="E11" i="24"/>
  <c r="K11" i="35"/>
  <c r="N11" i="23"/>
  <c r="J11" i="23"/>
  <c r="E11" i="23"/>
  <c r="D11" i="23"/>
  <c r="F20" i="8"/>
  <c r="F19" i="8"/>
  <c r="F18" i="8"/>
  <c r="F17" i="8"/>
  <c r="F15" i="8"/>
  <c r="F16" i="8"/>
  <c r="L14" i="8"/>
  <c r="K20" i="8"/>
  <c r="K19" i="8"/>
  <c r="K18" i="8"/>
  <c r="K17" i="8"/>
  <c r="K16" i="8"/>
  <c r="K15" i="8"/>
  <c r="K14" i="8"/>
  <c r="J20" i="8"/>
  <c r="J19" i="8"/>
  <c r="N12" i="35"/>
  <c r="J18" i="8"/>
  <c r="N12" i="34"/>
  <c r="J17" i="8"/>
  <c r="J16" i="8"/>
  <c r="J15" i="8"/>
  <c r="J14" i="8"/>
  <c r="I14" i="8"/>
  <c r="C20" i="8"/>
  <c r="C19" i="8"/>
  <c r="C18" i="8"/>
  <c r="C17" i="8"/>
  <c r="C16" i="8"/>
  <c r="C15" i="8"/>
  <c r="C14" i="8"/>
  <c r="H20" i="8"/>
  <c r="N20" i="8"/>
  <c r="H19" i="8"/>
  <c r="N19" i="8"/>
  <c r="H18" i="8"/>
  <c r="N18" i="8"/>
  <c r="H17" i="8"/>
  <c r="N17" i="8"/>
  <c r="H16" i="8"/>
  <c r="N16" i="8"/>
  <c r="H15" i="8"/>
  <c r="N15" i="8"/>
  <c r="H14" i="8"/>
  <c r="N14" i="8"/>
  <c r="F7" i="8"/>
  <c r="B1" i="38"/>
  <c r="I21" i="32"/>
  <c r="N12" i="32"/>
  <c r="N12" i="23"/>
  <c r="N2" i="23"/>
  <c r="C12" i="20"/>
  <c r="E12" i="20"/>
  <c r="N12" i="24"/>
  <c r="N2" i="24"/>
  <c r="C13" i="20"/>
  <c r="E13" i="20"/>
  <c r="E16" i="20"/>
  <c r="N2" i="31"/>
  <c r="I43" i="31"/>
  <c r="N2" i="32"/>
  <c r="I15" i="37"/>
  <c r="I16" i="37"/>
  <c r="I17" i="37"/>
  <c r="I18" i="37"/>
  <c r="I19" i="37"/>
  <c r="D11" i="37"/>
  <c r="J11" i="37"/>
  <c r="E11" i="37"/>
  <c r="N11" i="37"/>
  <c r="N12" i="37"/>
  <c r="N2" i="37"/>
  <c r="N5" i="37"/>
  <c r="B3" i="37"/>
  <c r="I15" i="36"/>
  <c r="I16" i="36"/>
  <c r="I17" i="36"/>
  <c r="I18" i="36"/>
  <c r="I19" i="36"/>
  <c r="I20" i="36"/>
  <c r="I21" i="36"/>
  <c r="J11" i="36"/>
  <c r="E11" i="36"/>
  <c r="N11" i="36"/>
  <c r="N12" i="36"/>
  <c r="N2" i="36"/>
  <c r="N5" i="36"/>
  <c r="B3" i="36"/>
  <c r="I15" i="35"/>
  <c r="I16" i="35"/>
  <c r="N2" i="35"/>
  <c r="N5" i="35"/>
  <c r="B3" i="35"/>
  <c r="I15" i="34"/>
  <c r="I16" i="34"/>
  <c r="N2" i="34"/>
  <c r="N5" i="34"/>
  <c r="B3" i="34"/>
  <c r="I15" i="33"/>
  <c r="I16" i="33"/>
  <c r="I17" i="33"/>
  <c r="I18" i="33"/>
  <c r="I19" i="33"/>
  <c r="I20" i="33"/>
  <c r="I21" i="33"/>
  <c r="D11" i="33"/>
  <c r="J11" i="33"/>
  <c r="E11" i="33"/>
  <c r="N11" i="33"/>
  <c r="N12" i="33"/>
  <c r="N2" i="33"/>
  <c r="N5" i="33"/>
  <c r="B3" i="33"/>
  <c r="I15" i="32"/>
  <c r="I16" i="32"/>
  <c r="I17" i="32"/>
  <c r="I18" i="32"/>
  <c r="I19" i="32"/>
  <c r="I20" i="32"/>
  <c r="R18" i="32"/>
  <c r="R17" i="32"/>
  <c r="R16" i="32"/>
  <c r="J11" i="32"/>
  <c r="D11" i="32"/>
  <c r="N11" i="32"/>
  <c r="N5" i="32"/>
  <c r="B3" i="32"/>
  <c r="D46" i="31"/>
  <c r="J46" i="31"/>
  <c r="D47" i="31"/>
  <c r="J47" i="31"/>
  <c r="D48" i="31"/>
  <c r="J48" i="31"/>
  <c r="J49" i="31"/>
  <c r="J50" i="31"/>
  <c r="F25" i="31"/>
  <c r="I25" i="31"/>
  <c r="I26" i="31"/>
  <c r="I27" i="31"/>
  <c r="I28" i="31"/>
  <c r="I29" i="31"/>
  <c r="I30" i="31"/>
  <c r="I31" i="31"/>
  <c r="I32" i="31"/>
  <c r="F33" i="31"/>
  <c r="I33" i="31"/>
  <c r="F34" i="31"/>
  <c r="I34" i="31"/>
  <c r="I35" i="31"/>
  <c r="I36" i="31"/>
  <c r="I37" i="31"/>
  <c r="I38" i="31"/>
  <c r="I39" i="31"/>
  <c r="I40" i="31"/>
  <c r="I41" i="31"/>
  <c r="I42" i="31"/>
  <c r="D19" i="31"/>
  <c r="N19" i="31"/>
  <c r="N20" i="31"/>
  <c r="N21" i="31"/>
  <c r="N22" i="31"/>
  <c r="C10" i="31"/>
  <c r="E10" i="31"/>
  <c r="C11" i="31"/>
  <c r="E11" i="31"/>
  <c r="C12" i="31"/>
  <c r="E12" i="31"/>
  <c r="C13" i="31"/>
  <c r="E13" i="31"/>
  <c r="C14" i="31"/>
  <c r="E14" i="31"/>
  <c r="C15" i="31"/>
  <c r="E15" i="31"/>
  <c r="E16" i="31"/>
  <c r="B15" i="31"/>
  <c r="B14" i="31"/>
  <c r="B13" i="31"/>
  <c r="B12" i="31"/>
  <c r="B11" i="31"/>
  <c r="B10" i="31"/>
  <c r="N5" i="31"/>
  <c r="I19" i="26"/>
  <c r="I21" i="25"/>
  <c r="N2" i="22"/>
  <c r="I16" i="23"/>
  <c r="I21" i="22"/>
  <c r="I21" i="21"/>
  <c r="L7" i="8"/>
  <c r="K13" i="8"/>
  <c r="K12" i="8"/>
  <c r="K11" i="8"/>
  <c r="K10" i="8"/>
  <c r="K9" i="8"/>
  <c r="K8" i="8"/>
  <c r="K7" i="8"/>
  <c r="F13" i="8"/>
  <c r="F12" i="8"/>
  <c r="F11" i="8"/>
  <c r="F10" i="8"/>
  <c r="F9" i="8"/>
  <c r="F8" i="8"/>
  <c r="J13" i="8"/>
  <c r="J12" i="8"/>
  <c r="J11" i="8"/>
  <c r="J10" i="8"/>
  <c r="J9" i="8"/>
  <c r="J8" i="8"/>
  <c r="J7" i="8"/>
  <c r="I7" i="8"/>
  <c r="I13" i="8"/>
  <c r="I12" i="8"/>
  <c r="I11" i="8"/>
  <c r="I10" i="8"/>
  <c r="I9" i="8"/>
  <c r="I8" i="8"/>
  <c r="E9" i="8"/>
  <c r="E10" i="8"/>
  <c r="E11" i="8"/>
  <c r="E12" i="8"/>
  <c r="E13" i="8"/>
  <c r="E8" i="8"/>
  <c r="C13" i="8"/>
  <c r="C12" i="8"/>
  <c r="C11" i="8"/>
  <c r="C10" i="8"/>
  <c r="C9" i="8"/>
  <c r="C8" i="8"/>
  <c r="C7" i="8"/>
  <c r="N2" i="21"/>
  <c r="C10" i="20"/>
  <c r="E10" i="20"/>
  <c r="C11" i="20"/>
  <c r="E11" i="20"/>
  <c r="N2" i="25"/>
  <c r="C14" i="20"/>
  <c r="E14" i="20"/>
  <c r="N2" i="26"/>
  <c r="C15" i="20"/>
  <c r="E15" i="20"/>
  <c r="J50" i="20"/>
  <c r="N22" i="20"/>
  <c r="I43" i="20"/>
  <c r="B1" i="27"/>
  <c r="N2" i="20"/>
  <c r="I15" i="23"/>
  <c r="J11" i="21"/>
  <c r="L58" i="30"/>
  <c r="I18" i="26"/>
  <c r="I17" i="26"/>
  <c r="I16" i="26"/>
  <c r="I15" i="26"/>
  <c r="J11" i="26"/>
  <c r="E11" i="26"/>
  <c r="D11" i="26"/>
  <c r="N11" i="26"/>
  <c r="N12" i="26"/>
  <c r="B4" i="26"/>
  <c r="B3" i="26"/>
  <c r="I20" i="25"/>
  <c r="I19" i="25"/>
  <c r="I18" i="25"/>
  <c r="I17" i="25"/>
  <c r="I16" i="25"/>
  <c r="I15" i="25"/>
  <c r="J11" i="25"/>
  <c r="E11" i="25"/>
  <c r="N11" i="25"/>
  <c r="N12" i="25"/>
  <c r="B4" i="25"/>
  <c r="B3" i="25"/>
  <c r="I15" i="24"/>
  <c r="I16" i="24"/>
  <c r="B4" i="24"/>
  <c r="B3" i="24"/>
  <c r="B4" i="23"/>
  <c r="B3" i="23"/>
  <c r="I20" i="22"/>
  <c r="I19" i="22"/>
  <c r="I18" i="22"/>
  <c r="I17" i="22"/>
  <c r="I16" i="22"/>
  <c r="I15" i="22"/>
  <c r="J11" i="22"/>
  <c r="E11" i="22"/>
  <c r="D11" i="22"/>
  <c r="N11" i="22"/>
  <c r="N12" i="22"/>
  <c r="B4" i="22"/>
  <c r="B3" i="22"/>
  <c r="I20" i="21"/>
  <c r="I19" i="21"/>
  <c r="I18" i="21"/>
  <c r="I17" i="21"/>
  <c r="I16" i="21"/>
  <c r="I15" i="21"/>
  <c r="D11" i="21"/>
  <c r="N11" i="21"/>
  <c r="N12" i="21"/>
  <c r="B4" i="21"/>
  <c r="B3" i="21"/>
  <c r="J49" i="20"/>
  <c r="D48" i="20"/>
  <c r="J48" i="20"/>
  <c r="D47" i="20"/>
  <c r="J47" i="20"/>
  <c r="D46" i="20"/>
  <c r="J46" i="20"/>
  <c r="I42" i="20"/>
  <c r="I41" i="20"/>
  <c r="I40" i="20"/>
  <c r="I39" i="20"/>
  <c r="I38" i="20"/>
  <c r="I37" i="20"/>
  <c r="I36" i="20"/>
  <c r="I35" i="20"/>
  <c r="F34" i="20"/>
  <c r="I34" i="20"/>
  <c r="F33" i="20"/>
  <c r="I33" i="20"/>
  <c r="I32" i="20"/>
  <c r="I31" i="20"/>
  <c r="I30" i="20"/>
  <c r="I29" i="20"/>
  <c r="I28" i="20"/>
  <c r="I27" i="20"/>
  <c r="I26" i="20"/>
  <c r="F25" i="20"/>
  <c r="I25" i="20"/>
  <c r="N21" i="20"/>
  <c r="N20" i="20"/>
  <c r="D19" i="20"/>
  <c r="N19" i="20"/>
  <c r="B15" i="20"/>
  <c r="B14" i="20"/>
  <c r="B13" i="20"/>
  <c r="B12" i="20"/>
  <c r="B11" i="20"/>
  <c r="B10" i="20"/>
  <c r="N5" i="21"/>
  <c r="N5" i="22"/>
  <c r="N5" i="25"/>
  <c r="N5" i="24"/>
  <c r="N5" i="26"/>
  <c r="N5" i="23"/>
  <c r="N5" i="20"/>
  <c r="B31" i="8"/>
  <c r="H9" i="8"/>
  <c r="N9" i="8"/>
  <c r="H10" i="8"/>
  <c r="N10" i="8"/>
  <c r="H11" i="8"/>
  <c r="N11" i="8"/>
  <c r="H12" i="8"/>
  <c r="N12" i="8"/>
  <c r="H13" i="8"/>
  <c r="N13" i="8"/>
  <c r="H27" i="8"/>
  <c r="N27" i="8"/>
  <c r="H28" i="8"/>
  <c r="N28" i="8"/>
  <c r="H29" i="8"/>
  <c r="N29" i="8"/>
  <c r="H30" i="8"/>
  <c r="N30" i="8"/>
  <c r="L31" i="8"/>
  <c r="M31" i="8"/>
  <c r="K31" i="8"/>
  <c r="H7" i="8"/>
  <c r="N7" i="8"/>
  <c r="O1" i="8"/>
  <c r="H8" i="8"/>
  <c r="N8" i="8"/>
  <c r="J31" i="8"/>
  <c r="N31" i="8"/>
</calcChain>
</file>

<file path=xl/sharedStrings.xml><?xml version="1.0" encoding="utf-8"?>
<sst xmlns="http://schemas.openxmlformats.org/spreadsheetml/2006/main" count="1187" uniqueCount="220">
  <si>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</si>
  <si>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</si>
  <si>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</si>
  <si>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</si>
  <si>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</si>
  <si>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</si>
  <si>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</si>
  <si>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</si>
  <si>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</si>
  <si>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</si>
  <si>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</si>
  <si>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</si>
  <si>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</si>
  <si>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</si>
  <si>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</si>
  <si>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</si>
  <si>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</si>
  <si>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</si>
  <si>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</si>
  <si>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</si>
  <si>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</si>
  <si>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</si>
  <si>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</si>
  <si>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</si>
  <si>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</si>
  <si>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</si>
  <si>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</si>
  <si>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</si>
  <si>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</si>
  <si>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</si>
  <si>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</si>
  <si>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</si>
  <si>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</si>
  <si>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</si>
  <si>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</si>
  <si>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</si>
  <si>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</si>
  <si>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</si>
  <si>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</si>
  <si>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</si>
  <si>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</si>
  <si>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</si>
  <si>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</si>
  <si>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</si>
  <si>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</si>
  <si>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</si>
  <si>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</si>
  <si>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</si>
  <si>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</si>
  <si>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</si>
  <si>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</si>
  <si>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</si>
  <si>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</si>
  <si>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</si>
  <si>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</si>
  <si>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</si>
  <si>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</si>
  <si>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</si>
  <si>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</si>
  <si>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</si>
  <si>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</si>
  <si>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</si>
  <si>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</si>
  <si>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</si>
  <si>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</si>
  <si>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</si>
  <si>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</si>
  <si>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</si>
  <si>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</si>
  <si>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</si>
  <si>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</si>
  <si>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</si>
  <si>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</si>
  <si>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</si>
  <si>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</si>
  <si>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</si>
  <si>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</si>
  <si>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</si>
  <si>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</si>
  <si>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</si>
  <si>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</si>
  <si>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</si>
  <si>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</si>
  <si>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</si>
  <si>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</si>
  <si>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</si>
  <si>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</si>
  <si>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</si>
  <si>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</si>
  <si>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</si>
  <si>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</si>
  <si>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</si>
  <si>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</si>
  <si>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</si>
  <si>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</si>
  <si>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</si>
  <si>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</si>
  <si>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</si>
  <si>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</si>
  <si>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</si>
  <si>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</si>
  <si>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</si>
  <si>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</si>
  <si>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</si>
  <si>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</si>
  <si>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</si>
  <si>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</si>
  <si>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</si>
  <si>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</si>
  <si>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</si>
  <si>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</si>
  <si>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</si>
  <si>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</si>
  <si>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</si>
  <si>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</si>
  <si>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</si>
  <si>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</si>
  <si>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</si>
  <si>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</si>
  <si>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</si>
  <si>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</si>
  <si>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</si>
  <si>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</si>
  <si>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</si>
  <si>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</si>
  <si>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</si>
  <si>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</si>
  <si>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</si>
  <si>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</si>
  <si>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</si>
  <si>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</si>
  <si>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</si>
  <si>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</si>
  <si>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</si>
  <si>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</si>
  <si>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</si>
  <si>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</si>
  <si>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</si>
  <si>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</si>
  <si>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</si>
  <si>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</si>
  <si>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</si>
  <si>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</si>
  <si>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</si>
  <si>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</si>
  <si>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</si>
  <si>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</si>
  <si>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</si>
  <si>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</si>
  <si>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</si>
  <si>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</si>
  <si>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</si>
  <si>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</si>
  <si>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</si>
  <si>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</si>
  <si>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</si>
  <si>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</si>
  <si>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</si>
  <si>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</si>
  <si>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</si>
  <si>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</si>
  <si>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</si>
  <si>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</si>
  <si>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</si>
  <si>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</si>
  <si>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</si>
  <si>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</si>
  <si>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</si>
  <si>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</si>
  <si>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</si>
  <si>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</si>
  <si>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</si>
  <si>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</si>
  <si>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</si>
  <si>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</si>
  <si>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</si>
  <si>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</si>
  <si>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</si>
  <si>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</si>
  <si>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</si>
  <si>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</si>
  <si>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</si>
  <si>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</si>
  <si>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</si>
  <si>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</si>
  <si>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</si>
  <si>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</si>
  <si>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</si>
  <si>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</si>
  <si>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</si>
  <si>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</si>
  <si>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</si>
  <si>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</si>
  <si>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</si>
  <si>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</si>
  <si>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</si>
  <si>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</si>
  <si>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</si>
  <si>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</si>
  <si>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</si>
  <si>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</si>
  <si>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SU_01006</t>
  </si>
  <si>
    <t>SU_01001</t>
  </si>
  <si>
    <t>SU_01004</t>
  </si>
  <si>
    <t>SU_01003</t>
  </si>
  <si>
    <t>Lower Front A-arm</t>
  </si>
  <si>
    <t>SU A0200</t>
  </si>
  <si>
    <t>Lower Front Bearing Support</t>
  </si>
  <si>
    <t>SU_02002</t>
  </si>
  <si>
    <t>Lower Front A-arm tube (Front)  Carbon Fiber Tube</t>
  </si>
  <si>
    <t>SU_02003</t>
  </si>
  <si>
    <t>Lower Front A-arm tube (Back)  Carbon Fiber Tube</t>
  </si>
  <si>
    <t>SU_02004</t>
  </si>
  <si>
    <t>SU_02005</t>
  </si>
  <si>
    <t>SU_02006</t>
  </si>
  <si>
    <t>SU 02001</t>
  </si>
  <si>
    <t>SU 02002</t>
  </si>
  <si>
    <t>Carbon Fiber, 1 Ply</t>
  </si>
  <si>
    <t>Stock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</si>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</sst>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\$* #,##0.000_);_(\$* \(#,##0.000\);_(\$* \-??_);_(@_)"/>
    <numFmt numFmtId="178" formatCode="_(\$* #,##0.000000_);_(\$* \(#,##0.000000\);_(\$* \-??_);_(@_)"/>
    <numFmt numFmtId="179" formatCode="0.000"/>
    <numFmt numFmtId="180" formatCode="0.000000"/>
    <numFmt numFmtId="181" formatCode="_-* #,##0.000000\ _€_-;\-* #,##0.000000\ _€_-;_-* &quot;-&quot;????\ _€_-;_-@_-"/>
  </numFmts>
  <fonts count="3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3">
    <xf numFmtId="0" fontId="0" fillId="0" borderId="0"/>
    <xf numFmtId="0" fontId="10" fillId="0" borderId="0"/>
    <xf numFmtId="170" fontId="1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9" fillId="2" borderId="6">
      <alignment vertical="center" wrapText="1"/>
    </xf>
    <xf numFmtId="171" fontId="10" fillId="0" borderId="0" applyFont="0" applyFill="0" applyBorder="0" applyAlignment="0" applyProtection="0"/>
    <xf numFmtId="0" fontId="5" fillId="0" borderId="0"/>
    <xf numFmtId="166" fontId="8" fillId="0" borderId="1">
      <alignment vertical="center" wrapText="1"/>
    </xf>
    <xf numFmtId="0" fontId="21" fillId="0" borderId="0" applyNumberFormat="0" applyFill="0" applyBorder="0" applyAlignment="0" applyProtection="0"/>
    <xf numFmtId="0" fontId="28" fillId="0" borderId="0"/>
    <xf numFmtId="170" fontId="33" fillId="13" borderId="1">
      <alignment vertical="center" wrapText="1"/>
    </xf>
    <xf numFmtId="170" fontId="27" fillId="11" borderId="6">
      <alignment vertical="center" wrapText="1"/>
    </xf>
    <xf numFmtId="170" fontId="3" fillId="0" borderId="0" applyFont="0" applyFill="0" applyBorder="0" applyAlignment="0" applyProtection="0"/>
    <xf numFmtId="0" fontId="30" fillId="12" borderId="0" applyNumberFormat="0" applyBorder="0" applyAlignment="0" applyProtection="0"/>
    <xf numFmtId="170" fontId="10" fillId="0" borderId="0" applyFont="0" applyFill="0" applyBorder="0" applyAlignment="0" applyProtection="0"/>
    <xf numFmtId="0" fontId="32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1" fillId="0" borderId="0"/>
    <xf numFmtId="174" fontId="33" fillId="0" borderId="1">
      <alignment vertical="center" wrapText="1"/>
    </xf>
    <xf numFmtId="165" fontId="18" fillId="0" borderId="0" applyFill="0" applyBorder="0" applyAlignment="0" applyProtection="0"/>
    <xf numFmtId="0" fontId="35" fillId="0" borderId="0"/>
    <xf numFmtId="0" fontId="2" fillId="0" borderId="0"/>
    <xf numFmtId="0" fontId="1" fillId="0" borderId="0"/>
  </cellStyleXfs>
  <cellXfs count="182">
    <xf numFmtId="0" fontId="0" fillId="0" borderId="0" xfId="0"/>
    <xf numFmtId="18" fontId="14" fillId="0" borderId="7" xfId="1" applyNumberFormat="1" applyFont="1" applyFill="1" applyBorder="1" applyAlignment="1" applyProtection="1">
      <protection locked="0"/>
    </xf>
    <xf numFmtId="0" fontId="14" fillId="0" borderId="7" xfId="1" applyFont="1" applyFill="1" applyBorder="1" applyAlignment="1">
      <alignment horizontal="center"/>
    </xf>
    <xf numFmtId="171" fontId="14" fillId="0" borderId="7" xfId="5" applyFont="1" applyFill="1" applyBorder="1" applyProtection="1">
      <protection locked="0"/>
    </xf>
    <xf numFmtId="0" fontId="14" fillId="0" borderId="7" xfId="1" applyFont="1" applyFill="1" applyBorder="1" applyAlignment="1" applyProtection="1">
      <alignment horizontal="center"/>
      <protection locked="0"/>
    </xf>
    <xf numFmtId="0" fontId="14" fillId="0" borderId="7" xfId="1" applyFont="1" applyFill="1" applyBorder="1" applyProtection="1">
      <protection locked="0"/>
    </xf>
    <xf numFmtId="171" fontId="11" fillId="0" borderId="0" xfId="5" applyFont="1"/>
    <xf numFmtId="0" fontId="11" fillId="0" borderId="0" xfId="1" applyFont="1" applyProtection="1">
      <protection locked="0"/>
    </xf>
    <xf numFmtId="171" fontId="10" fillId="0" borderId="0" xfId="5" applyFont="1"/>
    <xf numFmtId="0" fontId="11" fillId="0" borderId="0" xfId="1" applyFont="1"/>
    <xf numFmtId="0" fontId="13" fillId="0" borderId="0" xfId="1" applyFont="1"/>
    <xf numFmtId="0" fontId="10" fillId="0" borderId="0" xfId="1" applyFont="1" applyProtection="1">
      <protection locked="0"/>
    </xf>
    <xf numFmtId="0" fontId="10" fillId="0" borderId="0" xfId="1" applyFont="1" applyFill="1"/>
    <xf numFmtId="0" fontId="10" fillId="0" borderId="0" xfId="1" applyFont="1"/>
    <xf numFmtId="0" fontId="5" fillId="0" borderId="0" xfId="6" applyBorder="1"/>
    <xf numFmtId="0" fontId="5" fillId="0" borderId="0" xfId="6"/>
    <xf numFmtId="0" fontId="7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horizontal="left"/>
    </xf>
    <xf numFmtId="0" fontId="7" fillId="0" borderId="3" xfId="0" applyFont="1" applyBorder="1"/>
    <xf numFmtId="164" fontId="7" fillId="0" borderId="3" xfId="7" applyNumberFormat="1" applyFont="1" applyBorder="1" applyAlignment="1" applyProtection="1"/>
    <xf numFmtId="0" fontId="7" fillId="0" borderId="3" xfId="0" applyFont="1" applyBorder="1" applyAlignment="1"/>
    <xf numFmtId="11" fontId="7" fillId="0" borderId="3" xfId="0" applyNumberFormat="1" applyFont="1" applyBorder="1" applyAlignment="1"/>
    <xf numFmtId="0" fontId="0" fillId="0" borderId="0" xfId="0" applyAlignment="1"/>
    <xf numFmtId="2" fontId="7" fillId="0" borderId="3" xfId="7" applyNumberFormat="1" applyFont="1" applyBorder="1" applyAlignment="1" applyProtection="1"/>
    <xf numFmtId="0" fontId="6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7" fillId="0" borderId="0" xfId="0" applyNumberFormat="1" applyFont="1" applyBorder="1" applyAlignment="1">
      <alignment horizontal="left"/>
    </xf>
    <xf numFmtId="0" fontId="6" fillId="0" borderId="4" xfId="0" applyFont="1" applyBorder="1"/>
    <xf numFmtId="165" fontId="7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7" fillId="0" borderId="3" xfId="7" applyNumberFormat="1" applyFont="1" applyBorder="1" applyAlignment="1" applyProtection="1">
      <alignment wrapText="1"/>
    </xf>
    <xf numFmtId="1" fontId="7" fillId="0" borderId="3" xfId="0" applyNumberFormat="1" applyFont="1" applyBorder="1"/>
    <xf numFmtId="0" fontId="15" fillId="0" borderId="0" xfId="1" applyFont="1" applyAlignment="1">
      <alignment horizontal="center"/>
    </xf>
    <xf numFmtId="0" fontId="16" fillId="0" borderId="0" xfId="1" applyFont="1"/>
    <xf numFmtId="0" fontId="19" fillId="0" borderId="0" xfId="6" applyFont="1" applyFill="1" applyBorder="1"/>
    <xf numFmtId="0" fontId="5" fillId="0" borderId="0" xfId="6" applyFill="1"/>
    <xf numFmtId="0" fontId="5" fillId="0" borderId="0" xfId="6" applyFill="1" applyBorder="1"/>
    <xf numFmtId="0" fontId="5" fillId="0" borderId="0" xfId="6" applyFont="1"/>
    <xf numFmtId="0" fontId="5" fillId="0" borderId="0" xfId="6" applyFont="1" applyFill="1" applyBorder="1"/>
    <xf numFmtId="0" fontId="5" fillId="0" borderId="0" xfId="6" applyFont="1" applyFill="1"/>
    <xf numFmtId="0" fontId="14" fillId="0" borderId="7" xfId="1" applyFont="1" applyFill="1" applyBorder="1" applyAlignment="1">
      <alignment horizontal="left"/>
    </xf>
    <xf numFmtId="0" fontId="12" fillId="0" borderId="0" xfId="1" applyFont="1"/>
    <xf numFmtId="0" fontId="17" fillId="0" borderId="0" xfId="1" applyFont="1"/>
    <xf numFmtId="0" fontId="19" fillId="3" borderId="0" xfId="6" applyFont="1" applyFill="1" applyBorder="1" applyAlignment="1"/>
    <xf numFmtId="171" fontId="10" fillId="0" borderId="0" xfId="1" applyNumberFormat="1" applyFont="1"/>
    <xf numFmtId="0" fontId="15" fillId="0" borderId="8" xfId="1" applyFont="1" applyBorder="1" applyAlignment="1">
      <alignment horizontal="center" wrapText="1"/>
    </xf>
    <xf numFmtId="2" fontId="15" fillId="0" borderId="8" xfId="1" applyNumberFormat="1" applyFont="1" applyBorder="1" applyAlignment="1">
      <alignment horizontal="center" wrapText="1"/>
    </xf>
    <xf numFmtId="171" fontId="15" fillId="0" borderId="8" xfId="5" applyFont="1" applyBorder="1" applyAlignment="1">
      <alignment horizontal="center" wrapText="1"/>
    </xf>
    <xf numFmtId="0" fontId="20" fillId="4" borderId="9" xfId="6" applyFont="1" applyFill="1" applyBorder="1"/>
    <xf numFmtId="0" fontId="20" fillId="4" borderId="11" xfId="6" applyFont="1" applyFill="1" applyBorder="1"/>
    <xf numFmtId="0" fontId="20" fillId="4" borderId="10" xfId="6" applyFont="1" applyFill="1" applyBorder="1"/>
    <xf numFmtId="0" fontId="20" fillId="4" borderId="12" xfId="6" applyFont="1" applyFill="1" applyBorder="1"/>
    <xf numFmtId="0" fontId="5" fillId="5" borderId="14" xfId="6" quotePrefix="1" applyFill="1" applyBorder="1" applyAlignment="1">
      <alignment horizontal="left"/>
    </xf>
    <xf numFmtId="2" fontId="5" fillId="6" borderId="15" xfId="6" quotePrefix="1" applyNumberFormat="1" applyFill="1" applyBorder="1" applyAlignment="1">
      <alignment horizontal="right"/>
    </xf>
    <xf numFmtId="0" fontId="20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22" xfId="0" applyFont="1" applyBorder="1"/>
    <xf numFmtId="0" fontId="7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6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16" xfId="0" applyFont="1" applyBorder="1"/>
    <xf numFmtId="0" fontId="7" fillId="0" borderId="16" xfId="7" applyNumberFormat="1" applyFont="1" applyBorder="1" applyAlignment="1" applyProtection="1"/>
    <xf numFmtId="165" fontId="7" fillId="0" borderId="16" xfId="7" applyNumberFormat="1" applyFont="1" applyBorder="1" applyAlignment="1" applyProtection="1"/>
    <xf numFmtId="164" fontId="7" fillId="0" borderId="16" xfId="7" applyNumberFormat="1" applyFont="1" applyBorder="1" applyAlignment="1" applyProtection="1"/>
    <xf numFmtId="11" fontId="7" fillId="0" borderId="16" xfId="0" applyNumberFormat="1" applyFont="1" applyBorder="1"/>
    <xf numFmtId="167" fontId="7" fillId="0" borderId="16" xfId="7" applyNumberFormat="1" applyFont="1" applyBorder="1" applyAlignment="1" applyProtection="1"/>
    <xf numFmtId="0" fontId="7" fillId="0" borderId="16" xfId="0" applyFont="1" applyBorder="1" applyAlignment="1"/>
    <xf numFmtId="11" fontId="7" fillId="0" borderId="16" xfId="0" applyNumberFormat="1" applyFont="1" applyBorder="1" applyAlignment="1"/>
    <xf numFmtId="168" fontId="7" fillId="0" borderId="16" xfId="7" applyNumberFormat="1" applyFont="1" applyBorder="1" applyAlignment="1" applyProtection="1"/>
    <xf numFmtId="0" fontId="0" fillId="0" borderId="16" xfId="0" applyBorder="1" applyAlignment="1"/>
    <xf numFmtId="2" fontId="7" fillId="0" borderId="16" xfId="7" applyNumberFormat="1" applyFont="1" applyBorder="1" applyAlignment="1" applyProtection="1"/>
    <xf numFmtId="169" fontId="7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7" fillId="0" borderId="16" xfId="7" applyNumberFormat="1" applyFont="1" applyBorder="1" applyAlignment="1" applyProtection="1"/>
    <xf numFmtId="0" fontId="7" fillId="0" borderId="16" xfId="0" applyFont="1" applyBorder="1" applyAlignment="1">
      <alignment horizontal="right"/>
    </xf>
    <xf numFmtId="0" fontId="6" fillId="0" borderId="26" xfId="0" applyFont="1" applyBorder="1"/>
    <xf numFmtId="0" fontId="7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1" fillId="0" borderId="16" xfId="8" applyNumberFormat="1" applyBorder="1" applyAlignment="1" applyProtection="1"/>
    <xf numFmtId="0" fontId="22" fillId="0" borderId="0" xfId="0" applyFont="1"/>
    <xf numFmtId="0" fontId="21" fillId="0" borderId="0" xfId="8" applyBorder="1"/>
    <xf numFmtId="0" fontId="21" fillId="0" borderId="0" xfId="8"/>
    <xf numFmtId="0" fontId="24" fillId="0" borderId="0" xfId="0" applyFont="1"/>
    <xf numFmtId="0" fontId="25" fillId="0" borderId="0" xfId="0" applyFont="1"/>
    <xf numFmtId="0" fontId="5" fillId="5" borderId="14" xfId="6" quotePrefix="1" applyFont="1" applyFill="1" applyBorder="1" applyAlignment="1">
      <alignment horizontal="left"/>
    </xf>
    <xf numFmtId="0" fontId="4" fillId="5" borderId="14" xfId="6" applyFont="1" applyFill="1" applyBorder="1"/>
    <xf numFmtId="0" fontId="4" fillId="5" borderId="13" xfId="6" applyFont="1" applyFill="1" applyBorder="1"/>
    <xf numFmtId="172" fontId="7" fillId="0" borderId="16" xfId="7" applyNumberFormat="1" applyFont="1" applyBorder="1" applyAlignment="1" applyProtection="1"/>
    <xf numFmtId="172" fontId="14" fillId="0" borderId="7" xfId="1" applyNumberFormat="1" applyFont="1" applyFill="1" applyBorder="1" applyAlignment="1">
      <alignment horizontal="right"/>
    </xf>
    <xf numFmtId="173" fontId="7" fillId="0" borderId="16" xfId="7" applyNumberFormat="1" applyFont="1" applyBorder="1" applyAlignment="1" applyProtection="1"/>
    <xf numFmtId="0" fontId="6" fillId="7" borderId="16" xfId="0" applyFont="1" applyFill="1" applyBorder="1"/>
    <xf numFmtId="0" fontId="6" fillId="7" borderId="0" xfId="0" applyFont="1" applyFill="1" applyBorder="1"/>
    <xf numFmtId="165" fontId="6" fillId="7" borderId="16" xfId="0" applyNumberFormat="1" applyFont="1" applyFill="1" applyBorder="1"/>
    <xf numFmtId="0" fontId="6" fillId="7" borderId="16" xfId="0" applyFont="1" applyFill="1" applyBorder="1" applyAlignment="1">
      <alignment horizontal="right"/>
    </xf>
    <xf numFmtId="0" fontId="6" fillId="8" borderId="16" xfId="0" applyFont="1" applyFill="1" applyBorder="1"/>
    <xf numFmtId="0" fontId="6" fillId="8" borderId="16" xfId="0" applyFont="1" applyFill="1" applyBorder="1" applyAlignment="1">
      <alignment horizontal="left"/>
    </xf>
    <xf numFmtId="0" fontId="6" fillId="8" borderId="2" xfId="0" applyFont="1" applyFill="1" applyBorder="1"/>
    <xf numFmtId="0" fontId="6" fillId="8" borderId="27" xfId="0" applyFont="1" applyFill="1" applyBorder="1"/>
    <xf numFmtId="0" fontId="6" fillId="8" borderId="5" xfId="0" applyFont="1" applyFill="1" applyBorder="1"/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165" fontId="6" fillId="8" borderId="5" xfId="0" applyNumberFormat="1" applyFont="1" applyFill="1" applyBorder="1"/>
    <xf numFmtId="0" fontId="6" fillId="8" borderId="22" xfId="0" applyFont="1" applyFill="1" applyBorder="1"/>
    <xf numFmtId="0" fontId="6" fillId="8" borderId="5" xfId="0" applyFont="1" applyFill="1" applyBorder="1" applyAlignment="1">
      <alignment horizontal="right"/>
    </xf>
    <xf numFmtId="0" fontId="14" fillId="9" borderId="3" xfId="1" applyFont="1" applyFill="1" applyBorder="1" applyProtection="1">
      <protection locked="0"/>
    </xf>
    <xf numFmtId="0" fontId="14" fillId="9" borderId="3" xfId="1" applyFont="1" applyFill="1" applyBorder="1" applyAlignment="1">
      <alignment horizontal="left"/>
    </xf>
    <xf numFmtId="18" fontId="14" fillId="9" borderId="3" xfId="1" applyNumberFormat="1" applyFont="1" applyFill="1" applyBorder="1" applyAlignment="1" applyProtection="1">
      <protection locked="0"/>
    </xf>
    <xf numFmtId="172" fontId="14" fillId="9" borderId="3" xfId="5" applyNumberFormat="1" applyFont="1" applyFill="1" applyBorder="1" applyProtection="1">
      <protection locked="0"/>
    </xf>
    <xf numFmtId="172" fontId="14" fillId="9" borderId="3" xfId="1" applyNumberFormat="1" applyFont="1" applyFill="1" applyBorder="1" applyAlignment="1" applyProtection="1">
      <alignment horizontal="center"/>
      <protection locked="0"/>
    </xf>
    <xf numFmtId="172" fontId="14" fillId="9" borderId="3" xfId="1" applyNumberFormat="1" applyFont="1" applyFill="1" applyBorder="1" applyAlignment="1">
      <alignment horizontal="right"/>
    </xf>
    <xf numFmtId="0" fontId="14" fillId="9" borderId="3" xfId="1" applyFont="1" applyFill="1" applyBorder="1" applyAlignment="1">
      <alignment horizontal="center"/>
    </xf>
    <xf numFmtId="0" fontId="14" fillId="10" borderId="3" xfId="1" applyFont="1" applyFill="1" applyBorder="1" applyProtection="1">
      <protection locked="0"/>
    </xf>
    <xf numFmtId="0" fontId="14" fillId="10" borderId="3" xfId="1" applyFont="1" applyFill="1" applyBorder="1" applyAlignment="1">
      <alignment horizontal="left"/>
    </xf>
    <xf numFmtId="18" fontId="14" fillId="10" borderId="3" xfId="1" applyNumberFormat="1" applyFont="1" applyFill="1" applyBorder="1" applyAlignment="1" applyProtection="1">
      <protection locked="0"/>
    </xf>
    <xf numFmtId="0" fontId="21" fillId="10" borderId="3" xfId="8" applyFill="1" applyBorder="1" applyAlignment="1">
      <alignment horizontal="left"/>
    </xf>
    <xf numFmtId="172" fontId="14" fillId="10" borderId="3" xfId="5" applyNumberFormat="1" applyFont="1" applyFill="1" applyBorder="1" applyProtection="1">
      <protection locked="0"/>
    </xf>
    <xf numFmtId="172" fontId="14" fillId="10" borderId="3" xfId="1" applyNumberFormat="1" applyFont="1" applyFill="1" applyBorder="1" applyAlignment="1" applyProtection="1">
      <alignment horizontal="center"/>
      <protection locked="0"/>
    </xf>
    <xf numFmtId="172" fontId="14" fillId="10" borderId="3" xfId="1" applyNumberFormat="1" applyFont="1" applyFill="1" applyBorder="1" applyAlignment="1">
      <alignment horizontal="right"/>
    </xf>
    <xf numFmtId="0" fontId="14" fillId="10" borderId="3" xfId="1" applyFont="1" applyFill="1" applyBorder="1" applyAlignment="1">
      <alignment horizontal="center"/>
    </xf>
    <xf numFmtId="0" fontId="14" fillId="10" borderId="3" xfId="1" applyFont="1" applyFill="1" applyBorder="1" applyAlignment="1" applyProtection="1">
      <alignment horizontal="center"/>
      <protection locked="0"/>
    </xf>
    <xf numFmtId="11" fontId="14" fillId="10" borderId="3" xfId="1" applyNumberFormat="1" applyFont="1" applyFill="1" applyBorder="1" applyAlignment="1" applyProtection="1">
      <protection locked="0"/>
    </xf>
    <xf numFmtId="170" fontId="34" fillId="0" borderId="0" xfId="11" applyFont="1" applyFill="1" applyBorder="1">
      <alignment vertical="center" wrapText="1"/>
    </xf>
    <xf numFmtId="0" fontId="7" fillId="0" borderId="0" xfId="0" applyFont="1" applyFill="1" applyBorder="1"/>
    <xf numFmtId="0" fontId="7" fillId="0" borderId="16" xfId="0" applyNumberFormat="1" applyFont="1" applyBorder="1"/>
    <xf numFmtId="165" fontId="29" fillId="0" borderId="28" xfId="29" applyFont="1" applyFill="1" applyBorder="1" applyAlignment="1" applyProtection="1"/>
    <xf numFmtId="166" fontId="8" fillId="0" borderId="1" xfId="7">
      <alignment vertical="center" wrapText="1"/>
    </xf>
    <xf numFmtId="165" fontId="29" fillId="0" borderId="29" xfId="29" applyFont="1" applyFill="1" applyBorder="1" applyAlignment="1" applyProtection="1"/>
    <xf numFmtId="165" fontId="29" fillId="0" borderId="3" xfId="29" applyFont="1" applyFill="1" applyBorder="1" applyAlignment="1" applyProtection="1"/>
    <xf numFmtId="39" fontId="29" fillId="0" borderId="28" xfId="29" applyNumberFormat="1" applyFont="1" applyFill="1" applyBorder="1" applyAlignment="1" applyProtection="1"/>
    <xf numFmtId="37" fontId="29" fillId="0" borderId="30" xfId="29" applyNumberFormat="1" applyFont="1" applyFill="1" applyBorder="1" applyAlignment="1" applyProtection="1"/>
    <xf numFmtId="165" fontId="29" fillId="0" borderId="30" xfId="29" applyFont="1" applyFill="1" applyBorder="1" applyAlignment="1" applyProtection="1"/>
    <xf numFmtId="37" fontId="29" fillId="0" borderId="28" xfId="29" applyNumberFormat="1" applyFont="1" applyFill="1" applyBorder="1" applyAlignment="1" applyProtection="1"/>
    <xf numFmtId="0" fontId="18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7" fillId="0" borderId="3" xfId="0" applyNumberFormat="1" applyFont="1" applyBorder="1" applyAlignment="1"/>
    <xf numFmtId="176" fontId="0" fillId="0" borderId="0" xfId="0" applyNumberFormat="1" applyAlignment="1">
      <alignment wrapText="1"/>
    </xf>
    <xf numFmtId="0" fontId="7" fillId="0" borderId="3" xfId="0" applyNumberFormat="1" applyFont="1" applyBorder="1"/>
    <xf numFmtId="177" fontId="7" fillId="0" borderId="3" xfId="7" applyNumberFormat="1" applyFont="1" applyBorder="1" applyAlignment="1" applyProtection="1"/>
    <xf numFmtId="178" fontId="7" fillId="0" borderId="3" xfId="7" applyNumberFormat="1" applyFont="1" applyBorder="1" applyAlignment="1" applyProtection="1"/>
    <xf numFmtId="0" fontId="0" fillId="10" borderId="0" xfId="0" applyFill="1"/>
    <xf numFmtId="0" fontId="29" fillId="0" borderId="28" xfId="31" applyFont="1" applyFill="1" applyBorder="1"/>
    <xf numFmtId="0" fontId="29" fillId="0" borderId="28" xfId="31" applyFont="1" applyFill="1" applyBorder="1" applyAlignment="1">
      <alignment wrapText="1"/>
    </xf>
    <xf numFmtId="0" fontId="29" fillId="0" borderId="28" xfId="31" applyNumberFormat="1" applyFont="1" applyFill="1" applyBorder="1"/>
    <xf numFmtId="175" fontId="29" fillId="0" borderId="28" xfId="31" applyNumberFormat="1" applyFont="1" applyFill="1" applyBorder="1"/>
    <xf numFmtId="0" fontId="29" fillId="0" borderId="29" xfId="31" applyNumberFormat="1" applyFont="1" applyFill="1" applyBorder="1"/>
    <xf numFmtId="0" fontId="29" fillId="0" borderId="29" xfId="31" applyFont="1" applyFill="1" applyBorder="1"/>
    <xf numFmtId="0" fontId="29" fillId="0" borderId="3" xfId="31" applyNumberFormat="1" applyFont="1" applyFill="1" applyBorder="1"/>
    <xf numFmtId="0" fontId="29" fillId="0" borderId="3" xfId="31" applyFont="1" applyFill="1" applyBorder="1"/>
    <xf numFmtId="0" fontId="29" fillId="0" borderId="3" xfId="31" applyFont="1" applyBorder="1"/>
    <xf numFmtId="0" fontId="2" fillId="0" borderId="3" xfId="31" applyBorder="1"/>
    <xf numFmtId="4" fontId="29" fillId="0" borderId="28" xfId="31" applyNumberFormat="1" applyFont="1" applyFill="1" applyBorder="1"/>
    <xf numFmtId="0" fontId="18" fillId="0" borderId="28" xfId="31" applyFont="1" applyFill="1" applyBorder="1"/>
    <xf numFmtId="2" fontId="29" fillId="0" borderId="28" xfId="31" applyNumberFormat="1" applyFont="1" applyFill="1" applyBorder="1"/>
    <xf numFmtId="1" fontId="7" fillId="0" borderId="16" xfId="7" applyNumberFormat="1" applyFont="1" applyBorder="1" applyAlignment="1" applyProtection="1"/>
    <xf numFmtId="18" fontId="21" fillId="9" borderId="3" xfId="8" applyNumberFormat="1" applyFill="1" applyBorder="1" applyAlignment="1" applyProtection="1">
      <protection locked="0"/>
    </xf>
    <xf numFmtId="0" fontId="29" fillId="0" borderId="28" xfId="32" applyFont="1" applyFill="1" applyBorder="1"/>
    <xf numFmtId="0" fontId="7" fillId="0" borderId="16" xfId="0" applyFont="1" applyBorder="1" applyAlignment="1">
      <alignment wrapText="1"/>
    </xf>
    <xf numFmtId="179" fontId="0" fillId="0" borderId="16" xfId="0" applyNumberFormat="1" applyBorder="1"/>
    <xf numFmtId="0" fontId="29" fillId="0" borderId="3" xfId="9" applyFont="1" applyFill="1" applyBorder="1" applyAlignment="1" applyProtection="1">
      <alignment wrapText="1"/>
    </xf>
    <xf numFmtId="0" fontId="29" fillId="0" borderId="3" xfId="9" applyFont="1" applyFill="1" applyBorder="1" applyAlignment="1">
      <alignment horizontal="left" wrapText="1"/>
    </xf>
    <xf numFmtId="180" fontId="7" fillId="0" borderId="16" xfId="7" applyNumberFormat="1" applyFont="1" applyBorder="1" applyAlignment="1" applyProtection="1"/>
    <xf numFmtId="1" fontId="7" fillId="0" borderId="3" xfId="7" applyNumberFormat="1" applyFont="1" applyBorder="1" applyAlignment="1" applyProtection="1"/>
    <xf numFmtId="181" fontId="7" fillId="0" borderId="3" xfId="0" applyNumberFormat="1" applyFont="1" applyBorder="1" applyAlignment="1"/>
    <xf numFmtId="170" fontId="34" fillId="0" borderId="3" xfId="11" applyNumberFormat="1" applyFont="1" applyFill="1" applyBorder="1">
      <alignment vertical="center" wrapText="1"/>
    </xf>
  </cellXfs>
  <cellStyles count="33">
    <cellStyle name="Comma 2" xfId="5"/>
    <cellStyle name="Cost Table Plain" xfId="10"/>
    <cellStyle name="Cost_Green" xfId="4"/>
    <cellStyle name="Cost_Yellow" xfId="11"/>
    <cellStyle name="Currency 2" xfId="2"/>
    <cellStyle name="Currency 2 2" xfId="12"/>
    <cellStyle name="Good 2" xfId="13"/>
    <cellStyle name="Lien hypertexte" xfId="8" builtinId="8"/>
    <cellStyle name="Monétaire 10 2" xfId="29"/>
    <cellStyle name="Monétaire 2" xfId="3"/>
    <cellStyle name="Monétaire 3" xfId="1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3" xfId="6"/>
    <cellStyle name="Normal 3 2" xfId="26"/>
    <cellStyle name="Normal 3 3" xfId="25"/>
    <cellStyle name="Normal 3 4" xfId="31"/>
    <cellStyle name="Normal 3 5" xfId="32"/>
    <cellStyle name="Normal 4" xfId="9"/>
    <cellStyle name="Normal 5" xfId="27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FF66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23</xdr:row>
      <xdr:rowOff>126066</xdr:rowOff>
    </xdr:from>
    <xdr:to>
      <xdr:col>13</xdr:col>
      <xdr:colOff>760304</xdr:colOff>
      <xdr:row>42</xdr:row>
      <xdr:rowOff>123265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343259</xdr:colOff>
      <xdr:row>14</xdr:row>
      <xdr:rowOff>30552</xdr:rowOff>
    </xdr:from>
    <xdr:to>
      <xdr:col>13</xdr:col>
      <xdr:colOff>552928</xdr:colOff>
      <xdr:row>17</xdr:row>
      <xdr:rowOff>265982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28731" y="2546590"/>
          <a:ext cx="2948555" cy="20613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1724"/>
          <a:ext cx="8556200" cy="56692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382799</xdr:colOff>
      <xdr:row>12</xdr:row>
      <xdr:rowOff>106033</xdr:rowOff>
    </xdr:from>
    <xdr:to>
      <xdr:col>13</xdr:col>
      <xdr:colOff>186906</xdr:colOff>
      <xdr:row>21</xdr:row>
      <xdr:rowOff>121413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73271" y="2262637"/>
          <a:ext cx="2967126" cy="18197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126341</xdr:colOff>
      <xdr:row>1</xdr:row>
      <xdr:rowOff>158152</xdr:rowOff>
    </xdr:from>
    <xdr:ext cx="8610220" cy="407852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41" y="337869"/>
          <a:ext cx="8610220" cy="4078525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85726</xdr:colOff>
      <xdr:row>1</xdr:row>
      <xdr:rowOff>100642</xdr:rowOff>
    </xdr:from>
    <xdr:ext cx="8968458" cy="3900458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6" y="280359"/>
          <a:ext cx="8968458" cy="390045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107292</xdr:colOff>
      <xdr:row>1</xdr:row>
      <xdr:rowOff>90122</xdr:rowOff>
    </xdr:from>
    <xdr:ext cx="8972010" cy="369339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92" y="269839"/>
          <a:ext cx="8972010" cy="36933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59532</xdr:colOff>
      <xdr:row>13</xdr:row>
      <xdr:rowOff>168672</xdr:rowOff>
    </xdr:from>
    <xdr:to>
      <xdr:col>14</xdr:col>
      <xdr:colOff>166289</xdr:colOff>
      <xdr:row>18</xdr:row>
      <xdr:rowOff>92471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8516" y="2619375"/>
          <a:ext cx="3192461" cy="2394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626969</xdr:colOff>
      <xdr:row>12</xdr:row>
      <xdr:rowOff>49306</xdr:rowOff>
    </xdr:from>
    <xdr:to>
      <xdr:col>14</xdr:col>
      <xdr:colOff>17369</xdr:colOff>
      <xdr:row>21</xdr:row>
      <xdr:rowOff>165287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734" y="2335306"/>
          <a:ext cx="3200400" cy="24019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83820</xdr:rowOff>
    </xdr:from>
    <xdr:ext cx="9112263" cy="39630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66700"/>
          <a:ext cx="9112263" cy="3963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685799</xdr:colOff>
      <xdr:row>12</xdr:row>
      <xdr:rowOff>97971</xdr:rowOff>
    </xdr:from>
    <xdr:to>
      <xdr:col>12</xdr:col>
      <xdr:colOff>242723</xdr:colOff>
      <xdr:row>19</xdr:row>
      <xdr:rowOff>76200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9023" r="10549"/>
        <a:stretch/>
      </xdr:blipFill>
      <xdr:spPr>
        <a:xfrm>
          <a:off x="10145485" y="2318657"/>
          <a:ext cx="1940895" cy="14586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251244</xdr:colOff>
      <xdr:row>22</xdr:row>
      <xdr:rowOff>127359</xdr:rowOff>
    </xdr:from>
    <xdr:to>
      <xdr:col>13</xdr:col>
      <xdr:colOff>632004</xdr:colOff>
      <xdr:row>42</xdr:row>
      <xdr:rowOff>102678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47944" y="4229459"/>
          <a:ext cx="2869960" cy="3544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100" t="s">
        <v>128</v>
      </c>
    </row>
    <row r="3" spans="1:2" x14ac:dyDescent="0.3">
      <c r="A3" s="99" t="s">
        <v>61</v>
      </c>
      <c r="B3" s="96" t="s">
        <v>62</v>
      </c>
    </row>
    <row r="5" spans="1:2" x14ac:dyDescent="0.3">
      <c r="A5" t="s">
        <v>96</v>
      </c>
    </row>
    <row r="6" spans="1:2" x14ac:dyDescent="0.3">
      <c r="A6" t="s">
        <v>97</v>
      </c>
    </row>
    <row r="7" spans="1:2" x14ac:dyDescent="0.3">
      <c r="A7" t="s">
        <v>104</v>
      </c>
    </row>
    <row r="8" spans="1:2" x14ac:dyDescent="0.3">
      <c r="A8" t="s">
        <v>101</v>
      </c>
    </row>
    <row r="9" spans="1:2" x14ac:dyDescent="0.3">
      <c r="A9" t="s">
        <v>63</v>
      </c>
    </row>
    <row r="10" spans="1:2" x14ac:dyDescent="0.3">
      <c r="A10" s="96" t="s">
        <v>92</v>
      </c>
    </row>
    <row r="11" spans="1:2" x14ac:dyDescent="0.3">
      <c r="A11" t="s">
        <v>64</v>
      </c>
    </row>
    <row r="12" spans="1:2" x14ac:dyDescent="0.3">
      <c r="A12" t="s">
        <v>65</v>
      </c>
    </row>
    <row r="14" spans="1:2" x14ac:dyDescent="0.3">
      <c r="A14" t="s">
        <v>95</v>
      </c>
    </row>
    <row r="15" spans="1:2" x14ac:dyDescent="0.3">
      <c r="A15" t="s">
        <v>109</v>
      </c>
    </row>
    <row r="16" spans="1:2" x14ac:dyDescent="0.3">
      <c r="A16" t="s">
        <v>113</v>
      </c>
    </row>
    <row r="18" spans="1:3" x14ac:dyDescent="0.3">
      <c r="A18" s="99" t="s">
        <v>66</v>
      </c>
      <c r="B18" s="96" t="s">
        <v>99</v>
      </c>
      <c r="C18" s="96"/>
    </row>
    <row r="20" spans="1:3" x14ac:dyDescent="0.3">
      <c r="A20" t="s">
        <v>110</v>
      </c>
    </row>
    <row r="21" spans="1:3" x14ac:dyDescent="0.3">
      <c r="A21" t="s">
        <v>129</v>
      </c>
    </row>
    <row r="23" spans="1:3" x14ac:dyDescent="0.3">
      <c r="A23" s="99" t="s">
        <v>68</v>
      </c>
      <c r="B23" s="96" t="s">
        <v>69</v>
      </c>
    </row>
    <row r="25" spans="1:3" x14ac:dyDescent="0.3">
      <c r="A25" t="s">
        <v>121</v>
      </c>
    </row>
    <row r="26" spans="1:3" x14ac:dyDescent="0.3">
      <c r="A26" t="s">
        <v>75</v>
      </c>
    </row>
    <row r="27" spans="1:3" x14ac:dyDescent="0.3">
      <c r="A27" t="s">
        <v>70</v>
      </c>
    </row>
    <row r="28" spans="1:3" x14ac:dyDescent="0.3">
      <c r="A28" t="s">
        <v>105</v>
      </c>
    </row>
    <row r="29" spans="1:3" x14ac:dyDescent="0.3">
      <c r="A29" t="s">
        <v>102</v>
      </c>
    </row>
    <row r="30" spans="1:3" x14ac:dyDescent="0.3">
      <c r="A30" t="s">
        <v>71</v>
      </c>
    </row>
    <row r="31" spans="1:3" x14ac:dyDescent="0.3">
      <c r="A31" s="96" t="s">
        <v>92</v>
      </c>
    </row>
    <row r="32" spans="1:3" x14ac:dyDescent="0.3">
      <c r="A32" t="s">
        <v>103</v>
      </c>
    </row>
    <row r="33" spans="1:2" x14ac:dyDescent="0.3">
      <c r="A33" t="s">
        <v>106</v>
      </c>
    </row>
    <row r="35" spans="1:2" x14ac:dyDescent="0.3">
      <c r="A35" t="s">
        <v>107</v>
      </c>
    </row>
    <row r="36" spans="1:2" x14ac:dyDescent="0.3">
      <c r="A36" t="s">
        <v>108</v>
      </c>
    </row>
    <row r="37" spans="1:2" x14ac:dyDescent="0.3">
      <c r="A37" t="s">
        <v>114</v>
      </c>
    </row>
    <row r="39" spans="1:2" x14ac:dyDescent="0.3">
      <c r="A39" s="99" t="s">
        <v>72</v>
      </c>
      <c r="B39" s="96" t="s">
        <v>67</v>
      </c>
    </row>
    <row r="41" spans="1:2" x14ac:dyDescent="0.3">
      <c r="A41" t="s">
        <v>119</v>
      </c>
    </row>
    <row r="42" spans="1:2" x14ac:dyDescent="0.3">
      <c r="A42" t="s">
        <v>120</v>
      </c>
    </row>
    <row r="43" spans="1:2" x14ac:dyDescent="0.3">
      <c r="A43" t="s">
        <v>98</v>
      </c>
    </row>
    <row r="45" spans="1:2" x14ac:dyDescent="0.3">
      <c r="A45" s="99" t="s">
        <v>73</v>
      </c>
      <c r="B45" s="96" t="s">
        <v>89</v>
      </c>
    </row>
    <row r="47" spans="1:2" x14ac:dyDescent="0.3">
      <c r="A47" t="s">
        <v>122</v>
      </c>
    </row>
    <row r="48" spans="1:2" x14ac:dyDescent="0.3">
      <c r="A48" t="s">
        <v>90</v>
      </c>
    </row>
    <row r="49" spans="1:2" x14ac:dyDescent="0.3">
      <c r="A49" t="s">
        <v>91</v>
      </c>
    </row>
    <row r="50" spans="1:2" x14ac:dyDescent="0.3">
      <c r="A50" t="s">
        <v>111</v>
      </c>
    </row>
    <row r="51" spans="1:2" x14ac:dyDescent="0.3">
      <c r="A51" t="s">
        <v>123</v>
      </c>
    </row>
    <row r="52" spans="1:2" x14ac:dyDescent="0.3">
      <c r="A52" t="s">
        <v>124</v>
      </c>
    </row>
    <row r="53" spans="1:2" x14ac:dyDescent="0.3">
      <c r="A53" t="s">
        <v>93</v>
      </c>
    </row>
    <row r="55" spans="1:2" x14ac:dyDescent="0.3">
      <c r="A55" t="s">
        <v>115</v>
      </c>
    </row>
    <row r="57" spans="1:2" x14ac:dyDescent="0.3">
      <c r="A57" s="99" t="s">
        <v>77</v>
      </c>
      <c r="B57" s="96" t="s">
        <v>74</v>
      </c>
    </row>
    <row r="59" spans="1:2" x14ac:dyDescent="0.3">
      <c r="A59" t="s">
        <v>76</v>
      </c>
    </row>
    <row r="60" spans="1:2" x14ac:dyDescent="0.3">
      <c r="A60" t="s">
        <v>116</v>
      </c>
    </row>
    <row r="61" spans="1:2" x14ac:dyDescent="0.3">
      <c r="A61" t="s">
        <v>112</v>
      </c>
    </row>
    <row r="63" spans="1:2" x14ac:dyDescent="0.3">
      <c r="A63" s="99" t="s">
        <v>88</v>
      </c>
      <c r="B63" s="96" t="s">
        <v>78</v>
      </c>
    </row>
    <row r="65" spans="1:1" x14ac:dyDescent="0.3">
      <c r="A65" t="s">
        <v>79</v>
      </c>
    </row>
    <row r="66" spans="1:1" x14ac:dyDescent="0.3">
      <c r="A66" t="s">
        <v>81</v>
      </c>
    </row>
    <row r="67" spans="1:1" x14ac:dyDescent="0.3">
      <c r="A67" t="s">
        <v>80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117</v>
      </c>
    </row>
    <row r="72" spans="1:1" x14ac:dyDescent="0.3">
      <c r="A72" t="s">
        <v>118</v>
      </c>
    </row>
    <row r="74" spans="1:1" x14ac:dyDescent="0.3">
      <c r="A74" t="s">
        <v>125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117</v>
      </c>
    </row>
    <row r="78" spans="1:1" x14ac:dyDescent="0.3">
      <c r="A78" t="s">
        <v>118</v>
      </c>
    </row>
    <row r="80" spans="1:1" x14ac:dyDescent="0.3">
      <c r="A80" s="96" t="s">
        <v>94</v>
      </c>
    </row>
    <row r="82" spans="1:1" x14ac:dyDescent="0.3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workbookViewId="0">
      <selection activeCell="B4" sqref="B4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12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192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32.10593472</v>
      </c>
      <c r="O5" s="64"/>
    </row>
    <row r="6" spans="1:17" x14ac:dyDescent="0.3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194</v>
      </c>
      <c r="C11" s="21" t="s">
        <v>38</v>
      </c>
      <c r="D11" s="31">
        <v>2.25</v>
      </c>
      <c r="E11" s="152">
        <f>J11*K11*L11/1000000000</f>
        <v>1.5775360000000002E-2</v>
      </c>
      <c r="F11" s="21" t="s">
        <v>187</v>
      </c>
      <c r="G11" s="21"/>
      <c r="H11" s="20"/>
      <c r="I11" s="22" t="s">
        <v>193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0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195</v>
      </c>
      <c r="D16" s="31">
        <v>0.04</v>
      </c>
      <c r="E16" s="28" t="s">
        <v>186</v>
      </c>
      <c r="F16" s="154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197</v>
      </c>
      <c r="D18" s="31">
        <v>0.04</v>
      </c>
      <c r="E18" s="28" t="s">
        <v>186</v>
      </c>
      <c r="F18" s="154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9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8" t="s">
        <v>200</v>
      </c>
    </row>
  </sheetData>
  <hyperlinks>
    <hyperlink ref="B1" location="SU_01005" display="SU_0100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70" zoomScaleNormal="70" workbookViewId="0">
      <selection activeCell="B5" sqref="B5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8.063213596672</v>
      </c>
      <c r="O5" s="64"/>
    </row>
    <row r="6" spans="1:17" x14ac:dyDescent="0.3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55">
        <f>4.2</f>
        <v>4.2</v>
      </c>
      <c r="E11" s="152">
        <f>J11*K11*L11/1000000000</f>
        <v>1.4715095040000001E-2</v>
      </c>
      <c r="F11" s="21" t="s">
        <v>187</v>
      </c>
      <c r="G11" s="21"/>
      <c r="H11" s="20"/>
      <c r="I11" s="22" t="s">
        <v>193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56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0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195</v>
      </c>
      <c r="D16" s="31">
        <v>0.04</v>
      </c>
      <c r="E16" s="28" t="s">
        <v>186</v>
      </c>
      <c r="F16" s="154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196</v>
      </c>
      <c r="D18" s="31">
        <v>0.04</v>
      </c>
      <c r="E18" s="28" t="s">
        <v>186</v>
      </c>
      <c r="F18" s="154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8" t="s">
        <v>201</v>
      </c>
    </row>
    <row r="58" spans="12:12" x14ac:dyDescent="0.3">
      <c r="L58" s="95">
        <f>'SU 01002'!L52</f>
        <v>0</v>
      </c>
    </row>
  </sheetData>
  <hyperlinks>
    <hyperlink ref="B1" location="SU_01006" display="SU_01006"/>
    <hyperlink ref="L58" location="BR_01001" display="BR_0100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60" zoomScaleNormal="6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57.109375" customWidth="1"/>
    <col min="3" max="3" width="49.21875" customWidth="1"/>
    <col min="5" max="5" width="9.88671875" customWidth="1"/>
    <col min="14" max="14" width="11.554687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97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93.523108907895633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205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206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187.04621781579127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SU_02001!B5</f>
        <v>Lower Front Bearing Support</v>
      </c>
      <c r="C10" s="77">
        <f>SU_02001!N2</f>
        <v>19.08406304</v>
      </c>
      <c r="D10" s="140">
        <v>1</v>
      </c>
      <c r="E10" s="77">
        <f t="shared" ref="E10:E15" si="0">C10*D10</f>
        <v>19.08406304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SU_02002!B5</f>
        <v>Inner Bearing Support</v>
      </c>
      <c r="C11" s="77">
        <f>SU_02002!N2</f>
        <v>4.6183805439999999</v>
      </c>
      <c r="D11" s="75">
        <v>2</v>
      </c>
      <c r="E11" s="77">
        <f t="shared" si="0"/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SU_02003!B5</f>
        <v>Lower Front A-arm tube (Front)  Carbon Fiber Tube</v>
      </c>
      <c r="C12" s="77">
        <f>SU_02003!N2</f>
        <v>10.323996479999998</v>
      </c>
      <c r="D12" s="75">
        <v>1</v>
      </c>
      <c r="E12" s="77">
        <f t="shared" si="0"/>
        <v>10.323996479999998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SU_02004!B5</f>
        <v>Lower Front A-arm tube (Back)  Carbon Fiber Tube</v>
      </c>
      <c r="C13" s="77">
        <f>SU_02004!N2</f>
        <v>9.2404703999999978</v>
      </c>
      <c r="D13" s="75">
        <v>1</v>
      </c>
      <c r="E13" s="77">
        <f t="shared" si="0"/>
        <v>9.2404703999999978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SU_02005!B5</f>
        <v>Spacer</v>
      </c>
      <c r="C14" s="77">
        <f>SU_02005!N2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tr">
        <f>SU_02006!B5</f>
        <v>Outboard A-arm Insert</v>
      </c>
      <c r="C15" s="77">
        <f>SU_02006!N2</f>
        <v>2.015803399168</v>
      </c>
      <c r="D15" s="139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3">
      <c r="A16" s="65"/>
      <c r="B16" s="58"/>
      <c r="C16" s="58"/>
      <c r="D16" s="110" t="s">
        <v>18</v>
      </c>
      <c r="E16" s="109">
        <f>SUM(E10:E15)</f>
        <v>67.969865166335993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3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3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" customHeight="1" x14ac:dyDescent="0.3">
      <c r="A19" s="75">
        <v>10</v>
      </c>
      <c r="B19" s="75" t="s">
        <v>132</v>
      </c>
      <c r="C19" s="75"/>
      <c r="D19" s="77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" customHeight="1" x14ac:dyDescent="0.3">
      <c r="A20" s="75">
        <v>20</v>
      </c>
      <c r="B20" s="75" t="s">
        <v>137</v>
      </c>
      <c r="C20" s="75" t="s">
        <v>138</v>
      </c>
      <c r="D20" s="77"/>
      <c r="E20" s="81"/>
      <c r="F20" s="81"/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29.4" customHeight="1" x14ac:dyDescent="0.3">
      <c r="A21" s="75">
        <v>30</v>
      </c>
      <c r="B21" s="75" t="s">
        <v>137</v>
      </c>
      <c r="C21" s="174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3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3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3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3">
      <c r="A25" s="75">
        <v>10</v>
      </c>
      <c r="B25" s="88" t="s">
        <v>140</v>
      </c>
      <c r="C25" s="75" t="s">
        <v>141</v>
      </c>
      <c r="D25" s="77">
        <v>0.02</v>
      </c>
      <c r="E25" s="88" t="s">
        <v>142</v>
      </c>
      <c r="F25" s="175">
        <f>3*2*PI()*0.8*0.5</f>
        <v>7.5398223686155035</v>
      </c>
      <c r="G25" s="173"/>
      <c r="H25" s="173"/>
      <c r="I25" s="77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3">
      <c r="A26" s="75">
        <v>20</v>
      </c>
      <c r="B26" s="88" t="s">
        <v>143</v>
      </c>
      <c r="C26" s="75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3">
      <c r="A27" s="75">
        <v>30</v>
      </c>
      <c r="B27" s="88" t="s">
        <v>145</v>
      </c>
      <c r="C27" s="75" t="s">
        <v>146</v>
      </c>
      <c r="D27" s="77">
        <v>0.02</v>
      </c>
      <c r="E27" s="88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3">
      <c r="A28" s="75">
        <v>40</v>
      </c>
      <c r="B28" s="88" t="s">
        <v>145</v>
      </c>
      <c r="C28" s="75" t="s">
        <v>147</v>
      </c>
      <c r="D28" s="77">
        <v>0.02</v>
      </c>
      <c r="E28" s="88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3">
      <c r="A29" s="75">
        <v>50</v>
      </c>
      <c r="B29" s="88" t="s">
        <v>148</v>
      </c>
      <c r="C29" s="75" t="s">
        <v>149</v>
      </c>
      <c r="D29" s="77">
        <v>0.02</v>
      </c>
      <c r="E29" s="88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75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90</v>
      </c>
      <c r="B33" s="88" t="s">
        <v>153</v>
      </c>
      <c r="C33" s="75" t="s">
        <v>155</v>
      </c>
      <c r="D33" s="77">
        <v>10</v>
      </c>
      <c r="E33" s="88" t="s">
        <v>154</v>
      </c>
      <c r="F33" s="175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100</v>
      </c>
      <c r="B34" s="88" t="s">
        <v>157</v>
      </c>
      <c r="C34" s="75" t="s">
        <v>156</v>
      </c>
      <c r="D34" s="77">
        <v>20</v>
      </c>
      <c r="E34" s="88" t="s">
        <v>154</v>
      </c>
      <c r="F34" s="175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110</v>
      </c>
      <c r="B35" s="88" t="s">
        <v>158</v>
      </c>
      <c r="C35" s="75" t="s">
        <v>159</v>
      </c>
      <c r="D35" s="77">
        <v>0.06</v>
      </c>
      <c r="E35" s="88" t="s">
        <v>32</v>
      </c>
      <c r="F35" s="87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120</v>
      </c>
      <c r="B36" s="88" t="s">
        <v>160</v>
      </c>
      <c r="C36" s="75" t="s">
        <v>161</v>
      </c>
      <c r="D36" s="77">
        <v>0.13</v>
      </c>
      <c r="E36" s="88" t="s">
        <v>32</v>
      </c>
      <c r="F36" s="87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130</v>
      </c>
      <c r="B37" s="88" t="s">
        <v>160</v>
      </c>
      <c r="C37" s="75" t="s">
        <v>162</v>
      </c>
      <c r="D37" s="77">
        <v>0.13</v>
      </c>
      <c r="E37" s="88" t="s">
        <v>32</v>
      </c>
      <c r="F37" s="87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140</v>
      </c>
      <c r="B38" s="88" t="s">
        <v>158</v>
      </c>
      <c r="C38" s="75" t="s">
        <v>163</v>
      </c>
      <c r="D38" s="77">
        <v>0.06</v>
      </c>
      <c r="E38" s="88" t="s">
        <v>32</v>
      </c>
      <c r="F38" s="87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150</v>
      </c>
      <c r="B39" s="88" t="s">
        <v>160</v>
      </c>
      <c r="C39" s="75" t="s">
        <v>164</v>
      </c>
      <c r="D39" s="77">
        <v>0.13</v>
      </c>
      <c r="E39" s="88" t="s">
        <v>32</v>
      </c>
      <c r="F39" s="87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160</v>
      </c>
      <c r="B40" s="88" t="s">
        <v>160</v>
      </c>
      <c r="C40" s="75" t="s">
        <v>165</v>
      </c>
      <c r="D40" s="77">
        <v>0.13</v>
      </c>
      <c r="E40" s="88" t="s">
        <v>32</v>
      </c>
      <c r="F40" s="87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3">
      <c r="A41" s="75">
        <v>170</v>
      </c>
      <c r="B41" s="88" t="s">
        <v>166</v>
      </c>
      <c r="C41" s="75" t="s">
        <v>167</v>
      </c>
      <c r="D41" s="77">
        <v>0.75</v>
      </c>
      <c r="E41" s="88" t="s">
        <v>32</v>
      </c>
      <c r="F41" s="87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3">
      <c r="A42" s="75">
        <v>180</v>
      </c>
      <c r="B42" s="88" t="s">
        <v>168</v>
      </c>
      <c r="C42" s="75" t="s">
        <v>169</v>
      </c>
      <c r="D42" s="77">
        <v>0.25</v>
      </c>
      <c r="E42" s="88" t="s">
        <v>32</v>
      </c>
      <c r="F42" s="87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3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3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3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3">
      <c r="A46" s="75">
        <v>10</v>
      </c>
      <c r="B46" s="88" t="s">
        <v>170</v>
      </c>
      <c r="C46" s="75" t="s">
        <v>171</v>
      </c>
      <c r="D46" s="77">
        <f>0.8/105154*E46^2*G46*SQRT(G46)+(0.003*EXP(0.319*E46))</f>
        <v>0.16167651505774214</v>
      </c>
      <c r="E46" s="87">
        <v>8</v>
      </c>
      <c r="F46" s="88" t="s">
        <v>30</v>
      </c>
      <c r="G46" s="87">
        <v>40</v>
      </c>
      <c r="H46" s="88" t="s">
        <v>30</v>
      </c>
      <c r="I46" s="87">
        <v>2</v>
      </c>
      <c r="J46" s="77">
        <f>D46*I46</f>
        <v>0.32335303011548427</v>
      </c>
      <c r="K46" s="58"/>
      <c r="L46" s="58"/>
      <c r="M46" s="58"/>
      <c r="N46" s="58"/>
      <c r="O46" s="64"/>
    </row>
    <row r="47" spans="1:15" x14ac:dyDescent="0.3">
      <c r="A47" s="75">
        <v>20</v>
      </c>
      <c r="B47" s="88" t="s">
        <v>170</v>
      </c>
      <c r="C47" s="75" t="s">
        <v>172</v>
      </c>
      <c r="D47" s="77">
        <f>0.8/105154*E47^2*G47*SQRT(G47)+(0.003*EXP(0.319*E47))</f>
        <v>0.26479118861318168</v>
      </c>
      <c r="E47" s="87">
        <v>8</v>
      </c>
      <c r="F47" s="88" t="s">
        <v>30</v>
      </c>
      <c r="G47" s="87">
        <v>60</v>
      </c>
      <c r="H47" s="88" t="s">
        <v>30</v>
      </c>
      <c r="I47" s="87">
        <v>1</v>
      </c>
      <c r="J47" s="77">
        <f>D47*I47</f>
        <v>0.26479118861318168</v>
      </c>
      <c r="K47" s="58"/>
      <c r="L47" s="58"/>
      <c r="M47" s="58"/>
      <c r="N47" s="58"/>
      <c r="O47" s="64"/>
    </row>
    <row r="48" spans="1:15" x14ac:dyDescent="0.3">
      <c r="A48" s="75">
        <v>30</v>
      </c>
      <c r="B48" s="88" t="s">
        <v>173</v>
      </c>
      <c r="C48" s="75" t="s">
        <v>174</v>
      </c>
      <c r="D48" s="77">
        <f>(0.009*EXP(0.2*E48))</f>
        <v>4.4577291819556032E-2</v>
      </c>
      <c r="E48" s="87">
        <v>8</v>
      </c>
      <c r="F48" s="88" t="s">
        <v>30</v>
      </c>
      <c r="G48" s="87"/>
      <c r="H48" s="88"/>
      <c r="I48" s="87">
        <v>3</v>
      </c>
      <c r="J48" s="77">
        <f>D48*I48</f>
        <v>0.1337318754586681</v>
      </c>
      <c r="K48" s="58"/>
      <c r="L48" s="58"/>
      <c r="M48" s="58"/>
      <c r="N48" s="58"/>
      <c r="O48" s="64"/>
    </row>
    <row r="49" spans="1:15" x14ac:dyDescent="0.3">
      <c r="A49" s="75">
        <v>40</v>
      </c>
      <c r="B49" s="88" t="s">
        <v>175</v>
      </c>
      <c r="C49" s="75" t="s">
        <v>176</v>
      </c>
      <c r="D49" s="77">
        <v>0.01</v>
      </c>
      <c r="E49" s="87">
        <v>8</v>
      </c>
      <c r="F49" s="88" t="s">
        <v>30</v>
      </c>
      <c r="G49" s="87"/>
      <c r="H49" s="88"/>
      <c r="I49" s="87">
        <v>6</v>
      </c>
      <c r="J49" s="77">
        <f>D49*I49</f>
        <v>0.06</v>
      </c>
      <c r="K49" s="60"/>
      <c r="L49" s="60"/>
      <c r="M49" s="60"/>
      <c r="N49" s="60"/>
      <c r="O49" s="64"/>
    </row>
    <row r="50" spans="1:15" x14ac:dyDescent="0.3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3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" thickBot="1" x14ac:dyDescent="0.3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SU_02001" display="SU_02001"/>
    <hyperlink ref="B11:B13" location="BR_01001" display="BR_01001"/>
    <hyperlink ref="B14" location="SU_02005" display="SU_02005"/>
    <hyperlink ref="B15" location="SU_02006" display="SU_02006"/>
    <hyperlink ref="B11" location="SU_02002" display="SU_02002"/>
    <hyperlink ref="B12" location="SU_02003" display="SU_02003"/>
    <hyperlink ref="B13" location="SU_02004" display="SU_02004"/>
    <hyperlink ref="E2" location="SU_A02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N3" sqref="N3"/>
    </sheetView>
  </sheetViews>
  <sheetFormatPr baseColWidth="10" defaultColWidth="9.109375" defaultRowHeight="14.4" x14ac:dyDescent="0.3"/>
  <cols>
    <col min="3" max="3" width="24.5546875" customWidth="1"/>
    <col min="10" max="10" width="12.5546875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19.08406304</v>
      </c>
      <c r="O2" s="64"/>
    </row>
    <row r="3" spans="1:19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9" x14ac:dyDescent="0.3">
      <c r="A4" s="111" t="s">
        <v>5</v>
      </c>
      <c r="B4" s="98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207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19.08406304</v>
      </c>
      <c r="O5" s="64"/>
    </row>
    <row r="6" spans="1:19" x14ac:dyDescent="0.3">
      <c r="A6" s="111" t="s">
        <v>7</v>
      </c>
      <c r="B6" s="29" t="s">
        <v>215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2.3578128</v>
      </c>
      <c r="E11" s="21"/>
      <c r="F11" s="21"/>
      <c r="G11" s="21"/>
      <c r="H11" s="20"/>
      <c r="I11" s="22" t="s">
        <v>134</v>
      </c>
      <c r="J11" s="106">
        <f>50*90</f>
        <v>4500</v>
      </c>
      <c r="K11" s="83">
        <v>46</v>
      </c>
      <c r="L11" s="84">
        <v>2712</v>
      </c>
      <c r="M11" s="24">
        <v>1</v>
      </c>
      <c r="N11" s="31">
        <f>D11*M11</f>
        <v>2.3578128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2.3578128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100</v>
      </c>
      <c r="G16" s="28"/>
      <c r="H16" s="27"/>
      <c r="I16" s="31">
        <f t="shared" si="0"/>
        <v>4</v>
      </c>
      <c r="J16" s="58"/>
      <c r="K16" s="58"/>
      <c r="L16" s="58"/>
      <c r="M16" s="58"/>
      <c r="N16" s="58"/>
      <c r="O16" s="64"/>
      <c r="R16" s="150">
        <f>R14/2</f>
        <v>0</v>
      </c>
    </row>
    <row r="17" spans="1:18" s="17" customFormat="1" ht="43.2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1">
        <f>R14/6</f>
        <v>0</v>
      </c>
    </row>
    <row r="18" spans="1:18" ht="28.8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30</v>
      </c>
      <c r="G18" s="28"/>
      <c r="H18" s="27"/>
      <c r="I18" s="31">
        <f t="shared" si="0"/>
        <v>1.2</v>
      </c>
      <c r="J18" s="58"/>
      <c r="K18" s="58"/>
      <c r="L18" s="58"/>
      <c r="M18" s="58"/>
      <c r="N18" s="58"/>
      <c r="O18" s="64"/>
      <c r="R18" s="150">
        <f>R14/6*2</f>
        <v>0</v>
      </c>
    </row>
    <row r="19" spans="1:18" ht="43.2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8" ht="28.8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95</v>
      </c>
      <c r="G20" s="27"/>
      <c r="H20" s="27"/>
      <c r="I20" s="31">
        <f t="shared" si="0"/>
        <v>3.8000000000000003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11.600000000000001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E3" location="dSU_02001" display="Drawing"/>
    <hyperlink ref="B4" location="SU_A0200" display="Lower Front A-arm"/>
    <hyperlink ref="G2" location="SU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8" t="str">
        <f>SU_01001</f>
        <v>SU_01001</v>
      </c>
    </row>
  </sheetData>
  <hyperlinks>
    <hyperlink ref="B1" location="SU_02001" display="SU_02001"/>
  </hyperlinks>
  <pageMargins left="0.7" right="0.7" top="0.75" bottom="0.75" header="0.3" footer="0.3"/>
  <pageSetup paperSize="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N4" sqref="N4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3">
      <c r="A4" s="111" t="s">
        <v>5</v>
      </c>
      <c r="B4" s="97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9.2367610879999997</v>
      </c>
      <c r="O5" s="64"/>
    </row>
    <row r="6" spans="1:19" x14ac:dyDescent="0.3">
      <c r="A6" s="111" t="s">
        <v>7</v>
      </c>
      <c r="B6" s="29" t="s">
        <v>216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2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0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3"/>
      <c r="S15" s="26"/>
    </row>
    <row r="16" spans="1:19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0"/>
    </row>
    <row r="17" spans="1:19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1"/>
      <c r="S17" s="17"/>
    </row>
    <row r="18" spans="1:19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0"/>
    </row>
    <row r="19" spans="1:19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9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SU_A0200" display="Lower Front A-arm"/>
    <hyperlink ref="E3" location="dSU_02002" display="Drawing"/>
    <hyperlink ref="G2" location="SU_A0200_BOM" display="Back to BOM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8" t="s">
        <v>208</v>
      </c>
    </row>
    <row r="6" spans="1:2" x14ac:dyDescent="0.3">
      <c r="B6" s="157"/>
    </row>
  </sheetData>
  <hyperlinks>
    <hyperlink ref="B1" location="SU_02002!B5" display="SU_01002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N4" sqref="N4"/>
    </sheetView>
  </sheetViews>
  <sheetFormatPr baseColWidth="10" defaultRowHeight="14.4" x14ac:dyDescent="0.3"/>
  <cols>
    <col min="2" max="2" width="19.44140625" customWidth="1"/>
    <col min="3" max="3" width="33" customWidth="1"/>
    <col min="5" max="5" width="17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10.323996479999998</v>
      </c>
      <c r="O2" s="64"/>
    </row>
    <row r="3" spans="1:15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209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10.323996479999998</v>
      </c>
      <c r="O5" s="64"/>
    </row>
    <row r="6" spans="1:15" x14ac:dyDescent="0.3">
      <c r="A6" s="111" t="s">
        <v>7</v>
      </c>
      <c r="B6" s="29" t="s">
        <v>210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6" t="s">
        <v>217</v>
      </c>
      <c r="C11" s="177" t="s">
        <v>218</v>
      </c>
      <c r="D11" s="181">
        <f>200*E11*L11</f>
        <v>9.9739964799999985</v>
      </c>
      <c r="E11" s="180">
        <f>J11*K11</f>
        <v>3.1563279999999995E-5</v>
      </c>
      <c r="F11" s="21" t="s">
        <v>219</v>
      </c>
      <c r="G11" s="21"/>
      <c r="H11" s="20"/>
      <c r="I11" s="22" t="s">
        <v>191</v>
      </c>
      <c r="J11" s="178">
        <f>3.14*(0.008*0.008-0.006*0.006)</f>
        <v>8.7919999999999985E-5</v>
      </c>
      <c r="K11" s="83">
        <v>0.35899999999999999</v>
      </c>
      <c r="L11" s="84">
        <v>1580</v>
      </c>
      <c r="M11" s="179">
        <v>1</v>
      </c>
      <c r="N11" s="31">
        <f>D11*M11</f>
        <v>9.9739964799999985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9.9739964799999985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7"/>
  <sheetViews>
    <sheetView tabSelected="1" zoomScale="90" zoomScaleNormal="9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4" customWidth="1"/>
    <col min="7" max="7" width="14" style="9" customWidth="1"/>
    <col min="8" max="8" width="11" style="9" bestFit="1" customWidth="1"/>
    <col min="9" max="13" width="10.44140625" style="6" customWidth="1"/>
    <col min="14" max="14" width="12.33203125" style="9" customWidth="1"/>
    <col min="15" max="15" width="11.109375" style="13" customWidth="1"/>
    <col min="16" max="16384" width="9.109375" style="13"/>
  </cols>
  <sheetData>
    <row r="1" spans="1:15" ht="15" thickBot="1" x14ac:dyDescent="0.35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" thickBot="1" x14ac:dyDescent="0.35">
      <c r="A2" s="52" t="s">
        <v>43</v>
      </c>
      <c r="B2" s="102" t="s">
        <v>126</v>
      </c>
      <c r="C2" s="14"/>
      <c r="F2" s="40"/>
    </row>
    <row r="3" spans="1:15" s="15" customFormat="1" ht="15.6" thickTop="1" thickBot="1" x14ac:dyDescent="0.35">
      <c r="A3" s="53" t="s">
        <v>44</v>
      </c>
      <c r="B3" s="55">
        <v>2018</v>
      </c>
      <c r="C3" s="14"/>
      <c r="F3" s="40"/>
    </row>
    <row r="4" spans="1:15" s="15" customFormat="1" ht="15.6" thickTop="1" thickBot="1" x14ac:dyDescent="0.35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" thickTop="1" x14ac:dyDescent="0.3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4.4" x14ac:dyDescent="0.3">
      <c r="A7" s="121"/>
      <c r="B7" s="122" t="s">
        <v>130</v>
      </c>
      <c r="C7" s="130" t="str">
        <f>SU_A0100</f>
        <v>SU A0100</v>
      </c>
      <c r="D7" s="123" t="s">
        <v>11</v>
      </c>
      <c r="E7" s="123"/>
      <c r="F7" s="172" t="str">
        <f>'SU A0100'!B4</f>
        <v>Upper Front A-arm</v>
      </c>
      <c r="G7" s="123"/>
      <c r="H7" s="124">
        <f t="shared" ref="H7:H30" si="0">SUM(J7:M7)</f>
        <v>30.137392541559642</v>
      </c>
      <c r="I7" s="136">
        <f>SU_A0100_q</f>
        <v>2</v>
      </c>
      <c r="J7" s="125">
        <f>SU_A0100_m</f>
        <v>20.759999999999998</v>
      </c>
      <c r="K7" s="125">
        <f>SU_A0100_p</f>
        <v>8.595516447372308</v>
      </c>
      <c r="L7" s="125">
        <f>SU_A0100_f</f>
        <v>0.78187609418733417</v>
      </c>
      <c r="M7" s="125">
        <v>0</v>
      </c>
      <c r="N7" s="126">
        <f t="shared" ref="N7:N30" si="1">H7*I7</f>
        <v>60.274785083119284</v>
      </c>
      <c r="O7" s="127"/>
    </row>
    <row r="8" spans="1:15" ht="14.4" x14ac:dyDescent="0.3">
      <c r="A8" s="128"/>
      <c r="B8" s="128" t="s">
        <v>130</v>
      </c>
      <c r="C8" s="130" t="str">
        <f>SU_01001</f>
        <v>SU_01001</v>
      </c>
      <c r="D8" s="130" t="s">
        <v>11</v>
      </c>
      <c r="E8" s="130" t="str">
        <f>$F$7</f>
        <v>Upper Front A-arm</v>
      </c>
      <c r="F8" s="131" t="str">
        <f>'SU 01001'!B5</f>
        <v>Upper Front Bearing Support</v>
      </c>
      <c r="G8" s="130"/>
      <c r="H8" s="132">
        <f t="shared" si="0"/>
        <v>19.08406304</v>
      </c>
      <c r="I8" s="136">
        <f>SU_A0100_q*SU_01001_q</f>
        <v>2</v>
      </c>
      <c r="J8" s="133">
        <f>SU_01001_m</f>
        <v>4.2440630400000003</v>
      </c>
      <c r="K8" s="133">
        <f>SU_01001_p</f>
        <v>14.84</v>
      </c>
      <c r="L8" s="133">
        <v>0</v>
      </c>
      <c r="M8" s="125">
        <v>0</v>
      </c>
      <c r="N8" s="134">
        <f t="shared" si="1"/>
        <v>38.16812608</v>
      </c>
      <c r="O8" s="135"/>
    </row>
    <row r="9" spans="1:15" ht="14.4" x14ac:dyDescent="0.3">
      <c r="A9" s="128"/>
      <c r="B9" s="128" t="s">
        <v>130</v>
      </c>
      <c r="C9" s="130" t="str">
        <f>SU_01002</f>
        <v>SU_01002</v>
      </c>
      <c r="D9" s="130" t="s">
        <v>11</v>
      </c>
      <c r="E9" s="130" t="str">
        <f t="shared" ref="E9:E13" si="2">$F$7</f>
        <v>Upper Front A-arm</v>
      </c>
      <c r="F9" s="131" t="str">
        <f>'SU 01002'!B5</f>
        <v>Inner Bearing Support</v>
      </c>
      <c r="G9" s="130"/>
      <c r="H9" s="132">
        <f t="shared" si="0"/>
        <v>4.6183805439999999</v>
      </c>
      <c r="I9" s="136">
        <f>SU_A0100_q*SU_01002_q</f>
        <v>8</v>
      </c>
      <c r="J9" s="133">
        <f>SU_01002_m</f>
        <v>0.85838054400000008</v>
      </c>
      <c r="K9" s="133">
        <f>SU_01002_p</f>
        <v>3.76</v>
      </c>
      <c r="L9" s="133">
        <v>0</v>
      </c>
      <c r="M9" s="125">
        <v>0</v>
      </c>
      <c r="N9" s="134">
        <f t="shared" si="1"/>
        <v>36.947044351999999</v>
      </c>
      <c r="O9" s="135"/>
    </row>
    <row r="10" spans="1:15" ht="14.4" x14ac:dyDescent="0.3">
      <c r="A10" s="128"/>
      <c r="B10" s="128" t="s">
        <v>130</v>
      </c>
      <c r="C10" s="130" t="str">
        <f>SU_01003</f>
        <v>SU_01003</v>
      </c>
      <c r="D10" s="130" t="s">
        <v>11</v>
      </c>
      <c r="E10" s="130" t="str">
        <f t="shared" si="2"/>
        <v>Upper Front A-arm</v>
      </c>
      <c r="F10" s="131" t="str">
        <f>'SU 01003'!B5</f>
        <v>Upper Front A-arm tube (Front)  Carbon Fiber Tube</v>
      </c>
      <c r="G10" s="130"/>
      <c r="H10" s="132">
        <f t="shared" si="0"/>
        <v>8.240292479999999</v>
      </c>
      <c r="I10" s="136">
        <f>SU_A0100_q*SU_01003_q</f>
        <v>4</v>
      </c>
      <c r="J10" s="133">
        <f>SU_01003_m</f>
        <v>7.8902924799999985</v>
      </c>
      <c r="K10" s="133">
        <f>SU_01003_p</f>
        <v>0.35</v>
      </c>
      <c r="L10" s="133">
        <v>0</v>
      </c>
      <c r="M10" s="125">
        <v>0</v>
      </c>
      <c r="N10" s="134">
        <f t="shared" si="1"/>
        <v>32.961169919999996</v>
      </c>
      <c r="O10" s="135"/>
    </row>
    <row r="11" spans="1:15" ht="14.4" x14ac:dyDescent="0.3">
      <c r="A11" s="128"/>
      <c r="B11" s="128" t="s">
        <v>130</v>
      </c>
      <c r="C11" s="130" t="str">
        <f>SU_01004</f>
        <v>SU_01004</v>
      </c>
      <c r="D11" s="130" t="s">
        <v>11</v>
      </c>
      <c r="E11" s="130" t="str">
        <f t="shared" si="2"/>
        <v>Upper Front A-arm</v>
      </c>
      <c r="F11" s="131" t="str">
        <f>'SU 01004'!B5</f>
        <v>Upper Front A-arm tube (Back)  Carbon Fiber Tube</v>
      </c>
      <c r="G11" s="130"/>
      <c r="H11" s="132">
        <f t="shared" si="0"/>
        <v>6.7400255999999974</v>
      </c>
      <c r="I11" s="136">
        <f>SU_A0100_q*SU_01004_q</f>
        <v>4</v>
      </c>
      <c r="J11" s="133">
        <f>SU_01004_m</f>
        <v>6.3900255999999978</v>
      </c>
      <c r="K11" s="133">
        <f>SU_01004_p</f>
        <v>0.35</v>
      </c>
      <c r="L11" s="133">
        <v>0</v>
      </c>
      <c r="M11" s="125">
        <v>0</v>
      </c>
      <c r="N11" s="134">
        <f t="shared" si="1"/>
        <v>26.96010239999999</v>
      </c>
      <c r="O11" s="135"/>
    </row>
    <row r="12" spans="1:15" ht="14.4" x14ac:dyDescent="0.3">
      <c r="A12" s="128"/>
      <c r="B12" s="128" t="s">
        <v>130</v>
      </c>
      <c r="C12" s="130" t="str">
        <f>SU_01005</f>
        <v>SU_01005</v>
      </c>
      <c r="D12" s="130" t="s">
        <v>11</v>
      </c>
      <c r="E12" s="130" t="str">
        <f t="shared" si="2"/>
        <v>Upper Front A-arm</v>
      </c>
      <c r="F12" s="131" t="str">
        <f>'SU 01005'!B5</f>
        <v>Spacer</v>
      </c>
      <c r="G12" s="130"/>
      <c r="H12" s="132">
        <f t="shared" si="0"/>
        <v>2.6754945600000002</v>
      </c>
      <c r="I12" s="136">
        <f>SU_A0100_q*SU_01005_q</f>
        <v>24</v>
      </c>
      <c r="J12" s="133">
        <f>SU_01005_m</f>
        <v>3.5494560000000008E-2</v>
      </c>
      <c r="K12" s="133">
        <f>SU_01005_p</f>
        <v>2.64</v>
      </c>
      <c r="L12" s="133">
        <v>0</v>
      </c>
      <c r="M12" s="125">
        <v>0</v>
      </c>
      <c r="N12" s="134">
        <f t="shared" si="1"/>
        <v>64.211869440000001</v>
      </c>
      <c r="O12" s="135"/>
    </row>
    <row r="13" spans="1:15" ht="14.4" x14ac:dyDescent="0.3">
      <c r="A13" s="128"/>
      <c r="B13" s="128" t="s">
        <v>130</v>
      </c>
      <c r="C13" s="130" t="str">
        <f>SU_01006</f>
        <v>SU_01006</v>
      </c>
      <c r="D13" s="130" t="s">
        <v>11</v>
      </c>
      <c r="E13" s="130" t="str">
        <f t="shared" si="2"/>
        <v>Upper Front A-arm</v>
      </c>
      <c r="F13" s="131" t="str">
        <f>'SU 01006'!$B$5</f>
        <v>Outboard A-arm Insert</v>
      </c>
      <c r="G13" s="130"/>
      <c r="H13" s="132">
        <f t="shared" si="0"/>
        <v>2.015803399168</v>
      </c>
      <c r="I13" s="136">
        <f>SU_A0100_q*SU_01006_q</f>
        <v>8</v>
      </c>
      <c r="J13" s="133">
        <f>SU_01006_m</f>
        <v>6.1803399168000005E-2</v>
      </c>
      <c r="K13" s="133">
        <f>SU_01006_p</f>
        <v>1.954</v>
      </c>
      <c r="L13" s="133">
        <v>0</v>
      </c>
      <c r="M13" s="125">
        <v>0</v>
      </c>
      <c r="N13" s="134">
        <f t="shared" si="1"/>
        <v>16.126427193344</v>
      </c>
      <c r="O13" s="135"/>
    </row>
    <row r="14" spans="1:15" ht="14.4" x14ac:dyDescent="0.3">
      <c r="A14" s="121"/>
      <c r="B14" s="122" t="s">
        <v>130</v>
      </c>
      <c r="C14" s="130" t="str">
        <f>SU_A0200</f>
        <v>SU A0200</v>
      </c>
      <c r="D14" s="123" t="s">
        <v>11</v>
      </c>
      <c r="E14" s="123"/>
      <c r="F14" s="172" t="str">
        <f>SU_A0200!B4</f>
        <v>Lower Front A-arm</v>
      </c>
      <c r="G14" s="123"/>
      <c r="H14" s="124">
        <f t="shared" ref="H14:H20" si="3">SUM(J14:M14)</f>
        <v>30.137392541559642</v>
      </c>
      <c r="I14" s="136">
        <f>SU_A0200_q</f>
        <v>2</v>
      </c>
      <c r="J14" s="125">
        <f>SU_A0200_m</f>
        <v>20.759999999999998</v>
      </c>
      <c r="K14" s="125">
        <f>SU_A0200_p</f>
        <v>8.595516447372308</v>
      </c>
      <c r="L14" s="125">
        <f>SU_A0200_f</f>
        <v>0.78187609418733417</v>
      </c>
      <c r="M14" s="125">
        <v>0</v>
      </c>
      <c r="N14" s="126">
        <f t="shared" ref="N14:N20" si="4">H14*I14</f>
        <v>60.274785083119284</v>
      </c>
      <c r="O14" s="127"/>
    </row>
    <row r="15" spans="1:15" ht="14.4" x14ac:dyDescent="0.3">
      <c r="A15" s="128"/>
      <c r="B15" s="128" t="s">
        <v>130</v>
      </c>
      <c r="C15" s="130" t="str">
        <f>SU_02001</f>
        <v>SU 02001</v>
      </c>
      <c r="D15" s="130" t="s">
        <v>11</v>
      </c>
      <c r="E15" s="130" t="str">
        <f>$F$14</f>
        <v>Lower Front A-arm</v>
      </c>
      <c r="F15" s="131" t="str">
        <f>SU_02001!B5</f>
        <v>Lower Front Bearing Support</v>
      </c>
      <c r="G15" s="130"/>
      <c r="H15" s="132">
        <f t="shared" si="3"/>
        <v>13.957812800000001</v>
      </c>
      <c r="I15" s="136">
        <f>SU_A0200_q*SU_02001_q</f>
        <v>2</v>
      </c>
      <c r="J15" s="133">
        <f>SU_02001_m</f>
        <v>2.3578128</v>
      </c>
      <c r="K15" s="133">
        <f>SU_02001_p</f>
        <v>11.600000000000001</v>
      </c>
      <c r="L15" s="133">
        <v>0</v>
      </c>
      <c r="M15" s="125">
        <v>0</v>
      </c>
      <c r="N15" s="134">
        <f t="shared" si="4"/>
        <v>27.915625600000002</v>
      </c>
      <c r="O15" s="135"/>
    </row>
    <row r="16" spans="1:15" ht="14.4" x14ac:dyDescent="0.3">
      <c r="A16" s="128"/>
      <c r="B16" s="128" t="s">
        <v>130</v>
      </c>
      <c r="C16" s="130" t="str">
        <f>SU_02002</f>
        <v>SU 02002</v>
      </c>
      <c r="D16" s="130" t="s">
        <v>11</v>
      </c>
      <c r="E16" s="130" t="str">
        <f t="shared" ref="E16:E20" si="5">$F$14</f>
        <v>Lower Front A-arm</v>
      </c>
      <c r="F16" s="131" t="str">
        <f>SU_02002!B5</f>
        <v>Inner Bearing Support</v>
      </c>
      <c r="G16" s="130"/>
      <c r="H16" s="132">
        <f t="shared" si="3"/>
        <v>4.6183805439999999</v>
      </c>
      <c r="I16" s="136">
        <f>SU_A0200_q*SU_02002_q</f>
        <v>4</v>
      </c>
      <c r="J16" s="133">
        <f>SU_02002_m</f>
        <v>0.85838054400000008</v>
      </c>
      <c r="K16" s="133">
        <f>SU_02002_p</f>
        <v>3.76</v>
      </c>
      <c r="L16" s="133">
        <v>0</v>
      </c>
      <c r="M16" s="125">
        <v>0</v>
      </c>
      <c r="N16" s="134">
        <f t="shared" si="4"/>
        <v>18.473522175999999</v>
      </c>
      <c r="O16" s="135"/>
    </row>
    <row r="17" spans="1:15" ht="14.4" x14ac:dyDescent="0.3">
      <c r="A17" s="128"/>
      <c r="B17" s="128" t="s">
        <v>130</v>
      </c>
      <c r="C17" s="130" t="str">
        <f>SU_02003</f>
        <v>SU_02003</v>
      </c>
      <c r="D17" s="130" t="s">
        <v>11</v>
      </c>
      <c r="E17" s="130" t="str">
        <f t="shared" si="5"/>
        <v>Lower Front A-arm</v>
      </c>
      <c r="F17" s="131" t="str">
        <f>SU_02003!B5</f>
        <v>Lower Front A-arm tube (Front)  Carbon Fiber Tube</v>
      </c>
      <c r="G17" s="130"/>
      <c r="H17" s="132">
        <f t="shared" si="3"/>
        <v>10.323996479999998</v>
      </c>
      <c r="I17" s="136">
        <f>SU_A0200_q*SU_02003_q</f>
        <v>2</v>
      </c>
      <c r="J17" s="133">
        <f>SU_02003_m</f>
        <v>9.9739964799999985</v>
      </c>
      <c r="K17" s="133">
        <f>SU_02003_p</f>
        <v>0.35</v>
      </c>
      <c r="L17" s="133">
        <v>0</v>
      </c>
      <c r="M17" s="125">
        <v>0</v>
      </c>
      <c r="N17" s="134">
        <f t="shared" si="4"/>
        <v>20.647992959999996</v>
      </c>
      <c r="O17" s="135"/>
    </row>
    <row r="18" spans="1:15" ht="14.4" x14ac:dyDescent="0.3">
      <c r="A18" s="128"/>
      <c r="B18" s="128" t="s">
        <v>130</v>
      </c>
      <c r="C18" s="130" t="str">
        <f>SU_02004</f>
        <v>SU_02004</v>
      </c>
      <c r="D18" s="130" t="s">
        <v>11</v>
      </c>
      <c r="E18" s="130" t="str">
        <f t="shared" si="5"/>
        <v>Lower Front A-arm</v>
      </c>
      <c r="F18" s="131" t="str">
        <f>SU_02004!B5</f>
        <v>Lower Front A-arm tube (Back)  Carbon Fiber Tube</v>
      </c>
      <c r="G18" s="130"/>
      <c r="H18" s="132">
        <f t="shared" si="3"/>
        <v>9.2404703999999978</v>
      </c>
      <c r="I18" s="136">
        <f>SU_A0200_q*SU_02004_q</f>
        <v>2</v>
      </c>
      <c r="J18" s="133">
        <f>SU_02004_m</f>
        <v>8.8904703999999981</v>
      </c>
      <c r="K18" s="133">
        <f>SU_02004_p</f>
        <v>0.35</v>
      </c>
      <c r="L18" s="133">
        <v>0</v>
      </c>
      <c r="M18" s="125">
        <v>0</v>
      </c>
      <c r="N18" s="134">
        <f t="shared" si="4"/>
        <v>18.480940799999996</v>
      </c>
      <c r="O18" s="135"/>
    </row>
    <row r="19" spans="1:15" ht="14.4" x14ac:dyDescent="0.3">
      <c r="A19" s="128"/>
      <c r="B19" s="128" t="s">
        <v>130</v>
      </c>
      <c r="C19" s="130" t="str">
        <f>SU_02005</f>
        <v>SU_02005</v>
      </c>
      <c r="D19" s="130" t="s">
        <v>11</v>
      </c>
      <c r="E19" s="130" t="str">
        <f t="shared" si="5"/>
        <v>Lower Front A-arm</v>
      </c>
      <c r="F19" s="131" t="str">
        <f>SU_02005!B5</f>
        <v>Spacer</v>
      </c>
      <c r="G19" s="130"/>
      <c r="H19" s="132">
        <f t="shared" si="3"/>
        <v>2.6754945600000002</v>
      </c>
      <c r="I19" s="136">
        <f>SU_A0200_q*SU_02005_q</f>
        <v>12</v>
      </c>
      <c r="J19" s="133">
        <f>SU_02005_m</f>
        <v>3.5494560000000008E-2</v>
      </c>
      <c r="K19" s="133">
        <f>SU_02005_p</f>
        <v>2.64</v>
      </c>
      <c r="L19" s="133">
        <v>0</v>
      </c>
      <c r="M19" s="125">
        <v>0</v>
      </c>
      <c r="N19" s="134">
        <f t="shared" si="4"/>
        <v>32.10593472</v>
      </c>
      <c r="O19" s="135"/>
    </row>
    <row r="20" spans="1:15" ht="14.4" x14ac:dyDescent="0.3">
      <c r="A20" s="128"/>
      <c r="B20" s="128" t="s">
        <v>130</v>
      </c>
      <c r="C20" s="130" t="str">
        <f>SU_02006</f>
        <v>SU_02006</v>
      </c>
      <c r="D20" s="130" t="s">
        <v>11</v>
      </c>
      <c r="E20" s="130" t="str">
        <f t="shared" si="5"/>
        <v>Lower Front A-arm</v>
      </c>
      <c r="F20" s="131" t="str">
        <f>SU_02006!B5</f>
        <v>Outboard A-arm Insert</v>
      </c>
      <c r="G20" s="130"/>
      <c r="H20" s="132">
        <f t="shared" si="3"/>
        <v>2.015803399168</v>
      </c>
      <c r="I20" s="136">
        <f>SU_A0200_q*SU_02006_q</f>
        <v>4</v>
      </c>
      <c r="J20" s="133">
        <f>SU_02006_m</f>
        <v>6.1803399168000005E-2</v>
      </c>
      <c r="K20" s="133">
        <f>SU_02006_p</f>
        <v>1.954</v>
      </c>
      <c r="L20" s="133">
        <v>0</v>
      </c>
      <c r="M20" s="125">
        <v>0</v>
      </c>
      <c r="N20" s="134">
        <f t="shared" si="4"/>
        <v>8.063213596672</v>
      </c>
      <c r="O20" s="135"/>
    </row>
    <row r="21" spans="1:15" ht="14.4" x14ac:dyDescent="0.3">
      <c r="A21" s="128"/>
      <c r="B21" s="128" t="s">
        <v>130</v>
      </c>
      <c r="C21" s="130"/>
      <c r="D21" s="130"/>
      <c r="E21" s="130"/>
      <c r="F21" s="131"/>
      <c r="G21" s="130"/>
      <c r="H21" s="132"/>
      <c r="I21" s="136"/>
      <c r="J21" s="133"/>
      <c r="K21" s="133"/>
      <c r="L21" s="133"/>
      <c r="M21" s="125"/>
      <c r="N21" s="134"/>
      <c r="O21" s="135"/>
    </row>
    <row r="22" spans="1:15" ht="13.8" x14ac:dyDescent="0.25">
      <c r="A22" s="128"/>
      <c r="B22" s="128" t="s">
        <v>130</v>
      </c>
      <c r="C22" s="130"/>
      <c r="D22" s="130" t="s">
        <v>11</v>
      </c>
      <c r="E22" s="130"/>
      <c r="F22" s="129"/>
      <c r="G22" s="130"/>
      <c r="H22" s="132">
        <f t="shared" ref="H22:H25" si="6">SUM(J22:M22)</f>
        <v>0</v>
      </c>
      <c r="I22" s="136"/>
      <c r="J22" s="133"/>
      <c r="K22" s="133"/>
      <c r="L22" s="133"/>
      <c r="M22" s="133"/>
      <c r="N22" s="134">
        <f t="shared" ref="N22:N25" si="7">H22*I22</f>
        <v>0</v>
      </c>
      <c r="O22" s="135"/>
    </row>
    <row r="23" spans="1:15" ht="13.8" x14ac:dyDescent="0.25">
      <c r="A23" s="128"/>
      <c r="B23" s="128" t="s">
        <v>130</v>
      </c>
      <c r="C23" s="130"/>
      <c r="D23" s="130" t="s">
        <v>11</v>
      </c>
      <c r="E23" s="130"/>
      <c r="F23" s="129"/>
      <c r="G23" s="137"/>
      <c r="H23" s="132">
        <f t="shared" si="6"/>
        <v>0</v>
      </c>
      <c r="I23" s="136"/>
      <c r="J23" s="133"/>
      <c r="K23" s="133"/>
      <c r="L23" s="133"/>
      <c r="M23" s="133"/>
      <c r="N23" s="134">
        <f t="shared" si="7"/>
        <v>0</v>
      </c>
      <c r="O23" s="135"/>
    </row>
    <row r="24" spans="1:15" ht="13.8" x14ac:dyDescent="0.25">
      <c r="A24" s="128"/>
      <c r="B24" s="128" t="s">
        <v>130</v>
      </c>
      <c r="C24" s="130"/>
      <c r="D24" s="130" t="s">
        <v>11</v>
      </c>
      <c r="E24" s="130"/>
      <c r="F24" s="129"/>
      <c r="G24" s="130"/>
      <c r="H24" s="132">
        <f t="shared" si="6"/>
        <v>0</v>
      </c>
      <c r="I24" s="136"/>
      <c r="J24" s="133"/>
      <c r="K24" s="133"/>
      <c r="L24" s="133"/>
      <c r="M24" s="133"/>
      <c r="N24" s="134">
        <f t="shared" si="7"/>
        <v>0</v>
      </c>
      <c r="O24" s="135"/>
    </row>
    <row r="25" spans="1:15" ht="15" customHeight="1" x14ac:dyDescent="0.25">
      <c r="A25" s="128"/>
      <c r="B25" s="128" t="s">
        <v>130</v>
      </c>
      <c r="C25" s="130"/>
      <c r="D25" s="130" t="s">
        <v>11</v>
      </c>
      <c r="E25" s="130"/>
      <c r="F25" s="129"/>
      <c r="G25" s="130"/>
      <c r="H25" s="132">
        <f t="shared" si="6"/>
        <v>0</v>
      </c>
      <c r="I25" s="136"/>
      <c r="J25" s="133"/>
      <c r="K25" s="133"/>
      <c r="L25" s="133"/>
      <c r="M25" s="133"/>
      <c r="N25" s="134">
        <f t="shared" si="7"/>
        <v>0</v>
      </c>
      <c r="O25" s="135"/>
    </row>
    <row r="26" spans="1:15" ht="14.4" x14ac:dyDescent="0.3">
      <c r="A26" s="128"/>
      <c r="B26" s="128" t="s">
        <v>130</v>
      </c>
      <c r="C26" s="130"/>
      <c r="D26" s="130"/>
      <c r="E26" s="130"/>
      <c r="F26" s="131"/>
      <c r="G26" s="130"/>
      <c r="H26" s="132"/>
      <c r="I26" s="136"/>
      <c r="J26" s="133"/>
      <c r="K26" s="133"/>
      <c r="L26" s="133"/>
      <c r="M26" s="125"/>
      <c r="N26" s="134"/>
      <c r="O26" s="135"/>
    </row>
    <row r="27" spans="1:15" ht="13.8" x14ac:dyDescent="0.25">
      <c r="A27" s="128"/>
      <c r="B27" s="128" t="s">
        <v>130</v>
      </c>
      <c r="C27" s="130"/>
      <c r="D27" s="130" t="s">
        <v>11</v>
      </c>
      <c r="E27" s="130"/>
      <c r="F27" s="129"/>
      <c r="G27" s="130"/>
      <c r="H27" s="132">
        <f t="shared" si="0"/>
        <v>0</v>
      </c>
      <c r="I27" s="136"/>
      <c r="J27" s="133"/>
      <c r="K27" s="133"/>
      <c r="L27" s="133"/>
      <c r="M27" s="133"/>
      <c r="N27" s="134">
        <f t="shared" si="1"/>
        <v>0</v>
      </c>
      <c r="O27" s="135"/>
    </row>
    <row r="28" spans="1:15" ht="13.8" x14ac:dyDescent="0.25">
      <c r="A28" s="128"/>
      <c r="B28" s="128" t="s">
        <v>130</v>
      </c>
      <c r="C28" s="130"/>
      <c r="D28" s="130" t="s">
        <v>11</v>
      </c>
      <c r="E28" s="130"/>
      <c r="F28" s="129"/>
      <c r="G28" s="137"/>
      <c r="H28" s="132">
        <f t="shared" si="0"/>
        <v>0</v>
      </c>
      <c r="I28" s="136"/>
      <c r="J28" s="133"/>
      <c r="K28" s="133"/>
      <c r="L28" s="133"/>
      <c r="M28" s="133"/>
      <c r="N28" s="134">
        <f t="shared" si="1"/>
        <v>0</v>
      </c>
      <c r="O28" s="135"/>
    </row>
    <row r="29" spans="1:15" ht="13.8" x14ac:dyDescent="0.25">
      <c r="A29" s="128"/>
      <c r="B29" s="128" t="s">
        <v>130</v>
      </c>
      <c r="C29" s="130"/>
      <c r="D29" s="130" t="s">
        <v>11</v>
      </c>
      <c r="E29" s="130"/>
      <c r="F29" s="129"/>
      <c r="G29" s="130"/>
      <c r="H29" s="132">
        <f t="shared" si="0"/>
        <v>0</v>
      </c>
      <c r="I29" s="136"/>
      <c r="J29" s="133"/>
      <c r="K29" s="133"/>
      <c r="L29" s="133"/>
      <c r="M29" s="133"/>
      <c r="N29" s="134">
        <f t="shared" si="1"/>
        <v>0</v>
      </c>
      <c r="O29" s="135"/>
    </row>
    <row r="30" spans="1:15" ht="15" customHeight="1" thickBot="1" x14ac:dyDescent="0.3">
      <c r="A30" s="128"/>
      <c r="B30" s="128" t="s">
        <v>130</v>
      </c>
      <c r="C30" s="130"/>
      <c r="D30" s="130" t="s">
        <v>11</v>
      </c>
      <c r="E30" s="130"/>
      <c r="F30" s="129"/>
      <c r="G30" s="130"/>
      <c r="H30" s="132">
        <f t="shared" si="0"/>
        <v>0</v>
      </c>
      <c r="I30" s="136"/>
      <c r="J30" s="133"/>
      <c r="K30" s="133"/>
      <c r="L30" s="133"/>
      <c r="M30" s="133"/>
      <c r="N30" s="134">
        <f t="shared" si="1"/>
        <v>0</v>
      </c>
      <c r="O30" s="135"/>
    </row>
    <row r="31" spans="1:15" s="12" customFormat="1" ht="15" thickTop="1" thickBot="1" x14ac:dyDescent="0.3">
      <c r="A31" s="5"/>
      <c r="B31" s="43" t="str">
        <f>[1]SU_A0200!B3</f>
        <v>Suspension &amp; Shocks</v>
      </c>
      <c r="C31" s="1"/>
      <c r="D31" s="1"/>
      <c r="E31" s="1"/>
      <c r="F31" s="43" t="s">
        <v>60</v>
      </c>
      <c r="G31" s="1"/>
      <c r="H31" s="3"/>
      <c r="I31" s="4"/>
      <c r="J31" s="105">
        <f>SUMPRODUCT($I7:$I30,J7:J30)</f>
        <v>203.41396923801594</v>
      </c>
      <c r="K31" s="105">
        <f>SUMPRODUCT($I7:$I30,K7:K30)</f>
        <v>255.07006578948921</v>
      </c>
      <c r="L31" s="105">
        <f>SUMPRODUCT($I7:$I30,L7:L30)</f>
        <v>3.1275043767493367</v>
      </c>
      <c r="M31" s="105">
        <f>SUMPRODUCT($I7:$I30,M7:M30)</f>
        <v>0</v>
      </c>
      <c r="N31" s="105">
        <f>SUM(N7:N30)</f>
        <v>461.61153940425459</v>
      </c>
      <c r="O31" s="2"/>
    </row>
    <row r="32" spans="1:15" ht="13.8" thickTop="1" x14ac:dyDescent="0.25">
      <c r="A32" s="11"/>
      <c r="B32" s="44"/>
      <c r="C32" s="13"/>
      <c r="D32" s="13"/>
      <c r="E32" s="13"/>
      <c r="F32" s="13"/>
      <c r="G32" s="13"/>
      <c r="H32" s="8"/>
      <c r="I32" s="13"/>
      <c r="J32" s="13"/>
      <c r="K32" s="13"/>
      <c r="L32" s="13"/>
      <c r="M32" s="13"/>
      <c r="N32" s="13"/>
    </row>
    <row r="33" spans="1:14" x14ac:dyDescent="0.25">
      <c r="A33" s="11"/>
      <c r="B33" s="44"/>
      <c r="C33" s="13"/>
      <c r="D33" s="13"/>
      <c r="E33" s="13"/>
      <c r="F33" s="13"/>
      <c r="G33" s="13"/>
      <c r="H33" s="8"/>
      <c r="I33" s="13"/>
      <c r="J33" s="13"/>
      <c r="K33" s="13"/>
      <c r="L33" s="13"/>
      <c r="M33" s="13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47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47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x14ac:dyDescent="0.25">
      <c r="A49" s="11"/>
      <c r="B49" s="11"/>
      <c r="D49" s="13"/>
      <c r="E49" s="13"/>
      <c r="G49" s="13"/>
      <c r="H49" s="13"/>
      <c r="I49" s="8"/>
      <c r="J49" s="8"/>
      <c r="K49" s="8"/>
      <c r="L49" s="8"/>
      <c r="M49" s="8"/>
      <c r="N49" s="13"/>
    </row>
    <row r="50" spans="1:14" x14ac:dyDescent="0.25">
      <c r="A50" s="11"/>
      <c r="B50" s="11"/>
      <c r="D50" s="13"/>
      <c r="E50" s="13"/>
      <c r="G50" s="13"/>
      <c r="H50" s="13"/>
      <c r="I50" s="8"/>
      <c r="J50" s="8"/>
      <c r="K50" s="8"/>
      <c r="L50" s="8"/>
      <c r="M50" s="8"/>
      <c r="N50" s="13"/>
    </row>
    <row r="51" spans="1:14" x14ac:dyDescent="0.25">
      <c r="A51" s="11"/>
      <c r="B51" s="11"/>
      <c r="D51" s="13"/>
      <c r="E51" s="13"/>
      <c r="G51" s="13"/>
      <c r="H51" s="13"/>
      <c r="I51" s="8"/>
      <c r="J51" s="8"/>
      <c r="K51" s="8"/>
      <c r="L51" s="8"/>
      <c r="M51" s="8"/>
      <c r="N51" s="13"/>
    </row>
    <row r="52" spans="1:14" x14ac:dyDescent="0.25">
      <c r="A52" s="11"/>
      <c r="B52" s="11"/>
      <c r="D52" s="13"/>
      <c r="E52" s="13"/>
      <c r="G52" s="13"/>
      <c r="H52" s="13"/>
      <c r="I52" s="8"/>
      <c r="J52" s="8"/>
      <c r="K52" s="8"/>
      <c r="L52" s="8"/>
      <c r="M52" s="8"/>
      <c r="N52" s="13"/>
    </row>
    <row r="53" spans="1:14" x14ac:dyDescent="0.25">
      <c r="A53" s="11"/>
      <c r="B53" s="11"/>
      <c r="D53" s="13"/>
      <c r="E53" s="13"/>
      <c r="G53" s="13"/>
      <c r="H53" s="13"/>
      <c r="I53" s="8"/>
      <c r="J53" s="8"/>
      <c r="K53" s="8"/>
      <c r="L53" s="8"/>
      <c r="M53" s="8"/>
      <c r="N53" s="13"/>
    </row>
    <row r="54" spans="1:14" x14ac:dyDescent="0.25">
      <c r="A54" s="11"/>
      <c r="B54" s="11"/>
      <c r="D54" s="13"/>
      <c r="E54" s="13"/>
      <c r="G54" s="13"/>
      <c r="H54" s="13"/>
      <c r="I54" s="8"/>
      <c r="J54" s="8"/>
      <c r="K54" s="8"/>
      <c r="L54" s="8"/>
      <c r="M54" s="8"/>
      <c r="N54" s="13"/>
    </row>
    <row r="55" spans="1:14" x14ac:dyDescent="0.25">
      <c r="A55" s="11"/>
      <c r="B55" s="11"/>
      <c r="D55" s="13"/>
      <c r="E55" s="13"/>
      <c r="G55" s="13"/>
      <c r="H55" s="13"/>
      <c r="I55" s="8"/>
      <c r="J55" s="8"/>
      <c r="K55" s="8"/>
      <c r="L55" s="8"/>
      <c r="M55" s="8"/>
      <c r="N55" s="13"/>
    </row>
    <row r="56" spans="1:14" x14ac:dyDescent="0.25">
      <c r="A56" s="11"/>
      <c r="B56" s="11"/>
      <c r="D56" s="13"/>
      <c r="E56" s="13"/>
      <c r="G56" s="13"/>
      <c r="H56" s="13"/>
      <c r="I56" s="8"/>
      <c r="J56" s="8"/>
      <c r="K56" s="8"/>
      <c r="L56" s="8"/>
      <c r="M56" s="8"/>
      <c r="N56" s="13"/>
    </row>
    <row r="57" spans="1:14" x14ac:dyDescent="0.25">
      <c r="A57" s="11"/>
      <c r="B57" s="11"/>
      <c r="D57" s="13"/>
      <c r="E57" s="13"/>
      <c r="G57" s="13"/>
      <c r="H57" s="13"/>
      <c r="I57" s="8"/>
      <c r="J57" s="8"/>
      <c r="K57" s="8"/>
      <c r="L57" s="8"/>
      <c r="M57" s="8"/>
      <c r="N57" s="13"/>
    </row>
    <row r="58" spans="1:14" x14ac:dyDescent="0.25">
      <c r="A58" s="11"/>
      <c r="B58" s="11"/>
      <c r="D58" s="13"/>
      <c r="E58" s="13"/>
      <c r="G58" s="13"/>
      <c r="H58" s="13"/>
      <c r="I58" s="8"/>
      <c r="J58" s="8"/>
      <c r="K58" s="8"/>
      <c r="L58" s="8"/>
      <c r="M58" s="8"/>
      <c r="N58" s="13"/>
    </row>
    <row r="59" spans="1:14" x14ac:dyDescent="0.25">
      <c r="A59" s="11"/>
      <c r="B59" s="11"/>
      <c r="D59" s="13"/>
      <c r="E59" s="13"/>
      <c r="G59" s="13"/>
      <c r="H59" s="13"/>
      <c r="I59" s="8"/>
      <c r="J59" s="8"/>
      <c r="K59" s="8"/>
      <c r="L59" s="8"/>
      <c r="M59" s="8"/>
      <c r="N59" s="13"/>
    </row>
    <row r="60" spans="1:14" x14ac:dyDescent="0.25">
      <c r="A60" s="11"/>
      <c r="B60" s="11"/>
      <c r="D60" s="13"/>
      <c r="E60" s="13"/>
      <c r="G60" s="13"/>
      <c r="H60" s="13"/>
      <c r="I60" s="8"/>
      <c r="J60" s="8"/>
      <c r="K60" s="8"/>
      <c r="L60" s="8"/>
      <c r="M60" s="8"/>
      <c r="N60" s="13"/>
    </row>
    <row r="61" spans="1:14" x14ac:dyDescent="0.25">
      <c r="A61" s="11"/>
      <c r="B61" s="11"/>
      <c r="D61" s="13"/>
      <c r="E61" s="13"/>
      <c r="G61" s="13"/>
      <c r="H61" s="13"/>
      <c r="I61" s="8"/>
      <c r="J61" s="8"/>
      <c r="K61" s="8"/>
      <c r="L61" s="8"/>
      <c r="M61" s="8"/>
      <c r="N61" s="13"/>
    </row>
    <row r="62" spans="1:14" s="9" customFormat="1" x14ac:dyDescent="0.25">
      <c r="A62" s="7"/>
      <c r="B62" s="11"/>
      <c r="F62" s="44"/>
      <c r="I62" s="6"/>
      <c r="J62" s="6"/>
      <c r="K62" s="6"/>
      <c r="L62" s="6"/>
      <c r="M62" s="6"/>
    </row>
    <row r="63" spans="1:14" s="9" customFormat="1" x14ac:dyDescent="0.25">
      <c r="A63" s="7"/>
      <c r="B63" s="11"/>
      <c r="F63" s="44"/>
      <c r="I63" s="6"/>
      <c r="J63" s="6"/>
      <c r="K63" s="6"/>
      <c r="L63" s="6"/>
      <c r="M63" s="6"/>
    </row>
    <row r="64" spans="1:14" s="9" customFormat="1" x14ac:dyDescent="0.25">
      <c r="A64" s="7"/>
      <c r="B64" s="11"/>
      <c r="F64" s="44"/>
      <c r="I64" s="6"/>
      <c r="J64" s="6"/>
      <c r="K64" s="6"/>
      <c r="L64" s="6"/>
      <c r="M64" s="6"/>
    </row>
    <row r="65" spans="1:14" s="9" customFormat="1" x14ac:dyDescent="0.25">
      <c r="A65" s="7"/>
      <c r="B65" s="11"/>
      <c r="F65" s="44"/>
      <c r="I65" s="6"/>
      <c r="J65" s="6"/>
      <c r="K65" s="6"/>
      <c r="L65" s="6"/>
      <c r="M65" s="6"/>
    </row>
    <row r="66" spans="1:14" s="9" customFormat="1" x14ac:dyDescent="0.25">
      <c r="A66" s="7"/>
      <c r="B66" s="11"/>
      <c r="F66" s="44"/>
      <c r="I66" s="6"/>
      <c r="J66" s="6"/>
      <c r="K66" s="6"/>
      <c r="L66" s="6"/>
      <c r="M66" s="6"/>
    </row>
    <row r="67" spans="1:14" s="9" customFormat="1" x14ac:dyDescent="0.25">
      <c r="A67" s="7"/>
      <c r="B67" s="11"/>
      <c r="F67" s="44"/>
      <c r="I67" s="6"/>
      <c r="J67" s="6"/>
      <c r="K67" s="6"/>
      <c r="L67" s="6"/>
      <c r="M67" s="6"/>
    </row>
    <row r="68" spans="1:14" s="9" customFormat="1" x14ac:dyDescent="0.25">
      <c r="A68" s="7"/>
      <c r="B68" s="11"/>
      <c r="F68" s="44"/>
      <c r="I68" s="6"/>
      <c r="J68" s="6"/>
      <c r="K68" s="6"/>
      <c r="L68" s="6"/>
      <c r="M68" s="6"/>
    </row>
    <row r="69" spans="1:14" s="9" customFormat="1" x14ac:dyDescent="0.25">
      <c r="A69" s="7"/>
      <c r="B69" s="11"/>
      <c r="F69" s="44"/>
      <c r="I69" s="6"/>
      <c r="J69" s="6"/>
      <c r="K69" s="6"/>
      <c r="L69" s="6"/>
      <c r="M69" s="6"/>
    </row>
    <row r="70" spans="1:14" s="9" customFormat="1" x14ac:dyDescent="0.25">
      <c r="A70" s="7"/>
      <c r="B70" s="11"/>
      <c r="F70" s="44"/>
      <c r="I70" s="6"/>
      <c r="J70" s="6"/>
      <c r="K70" s="6"/>
      <c r="L70" s="6"/>
      <c r="M70" s="6"/>
    </row>
    <row r="71" spans="1:14" s="9" customFormat="1" x14ac:dyDescent="0.25">
      <c r="A71" s="7"/>
      <c r="B71" s="11"/>
      <c r="F71" s="44"/>
      <c r="I71" s="6"/>
      <c r="J71" s="6"/>
      <c r="K71" s="6"/>
      <c r="L71" s="6"/>
      <c r="M71" s="6"/>
    </row>
    <row r="72" spans="1:14" s="10" customFormat="1" x14ac:dyDescent="0.25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  <row r="165" spans="1:14" s="10" customFormat="1" x14ac:dyDescent="0.25">
      <c r="A165" s="7"/>
      <c r="B165" s="11"/>
      <c r="C165" s="9"/>
      <c r="D165" s="9"/>
      <c r="E165" s="9"/>
      <c r="F165" s="44"/>
      <c r="G165" s="9"/>
      <c r="H165" s="9"/>
      <c r="I165" s="6"/>
      <c r="J165" s="6"/>
      <c r="K165" s="6"/>
      <c r="L165" s="6"/>
      <c r="M165" s="6"/>
      <c r="N165" s="9"/>
    </row>
    <row r="166" spans="1:14" s="10" customFormat="1" x14ac:dyDescent="0.25">
      <c r="A166" s="7"/>
      <c r="B166" s="11"/>
      <c r="C166" s="9"/>
      <c r="D166" s="9"/>
      <c r="E166" s="9"/>
      <c r="F166" s="44"/>
      <c r="G166" s="9"/>
      <c r="H166" s="9"/>
      <c r="I166" s="6"/>
      <c r="J166" s="6"/>
      <c r="K166" s="6"/>
      <c r="L166" s="6"/>
      <c r="M166" s="6"/>
      <c r="N166" s="9"/>
    </row>
    <row r="167" spans="1:14" s="10" customFormat="1" x14ac:dyDescent="0.25">
      <c r="A167" s="7"/>
      <c r="B167" s="11"/>
      <c r="C167" s="9"/>
      <c r="D167" s="9"/>
      <c r="E167" s="9"/>
      <c r="F167" s="44"/>
      <c r="G167" s="9"/>
      <c r="H167" s="9"/>
      <c r="I167" s="6"/>
      <c r="J167" s="6"/>
      <c r="K167" s="6"/>
      <c r="L167" s="6"/>
      <c r="M167" s="6"/>
      <c r="N167" s="9"/>
    </row>
    <row r="168" spans="1:14" s="10" customFormat="1" x14ac:dyDescent="0.25">
      <c r="A168" s="7"/>
      <c r="B168" s="11"/>
      <c r="C168" s="9"/>
      <c r="D168" s="9"/>
      <c r="E168" s="9"/>
      <c r="F168" s="44"/>
      <c r="G168" s="9"/>
      <c r="H168" s="9"/>
      <c r="I168" s="6"/>
      <c r="J168" s="6"/>
      <c r="K168" s="6"/>
      <c r="L168" s="6"/>
      <c r="M168" s="6"/>
      <c r="N168" s="9"/>
    </row>
    <row r="169" spans="1:14" s="10" customFormat="1" x14ac:dyDescent="0.25">
      <c r="A169" s="7"/>
      <c r="B169" s="11"/>
      <c r="C169" s="9"/>
      <c r="D169" s="9"/>
      <c r="E169" s="9"/>
      <c r="F169" s="44"/>
      <c r="G169" s="9"/>
      <c r="H169" s="9"/>
      <c r="I169" s="6"/>
      <c r="J169" s="6"/>
      <c r="K169" s="6"/>
      <c r="L169" s="6"/>
      <c r="M169" s="6"/>
      <c r="N169" s="9"/>
    </row>
    <row r="170" spans="1:14" s="10" customFormat="1" x14ac:dyDescent="0.25">
      <c r="A170" s="7"/>
      <c r="B170" s="11"/>
      <c r="C170" s="9"/>
      <c r="D170" s="9"/>
      <c r="E170" s="9"/>
      <c r="F170" s="44"/>
      <c r="G170" s="9"/>
      <c r="H170" s="9"/>
      <c r="I170" s="6"/>
      <c r="J170" s="6"/>
      <c r="K170" s="6"/>
      <c r="L170" s="6"/>
      <c r="M170" s="6"/>
      <c r="N170" s="9"/>
    </row>
    <row r="171" spans="1:14" s="10" customFormat="1" x14ac:dyDescent="0.25">
      <c r="A171" s="7"/>
      <c r="B171" s="11"/>
      <c r="C171" s="9"/>
      <c r="D171" s="9"/>
      <c r="E171" s="9"/>
      <c r="F171" s="44"/>
      <c r="G171" s="9"/>
      <c r="H171" s="9"/>
      <c r="I171" s="6"/>
      <c r="J171" s="6"/>
      <c r="K171" s="6"/>
      <c r="L171" s="6"/>
      <c r="M171" s="6"/>
      <c r="N171" s="9"/>
    </row>
    <row r="172" spans="1:14" s="10" customFormat="1" x14ac:dyDescent="0.25">
      <c r="A172" s="7"/>
      <c r="B172" s="11"/>
      <c r="C172" s="9"/>
      <c r="D172" s="9"/>
      <c r="E172" s="9"/>
      <c r="F172" s="44"/>
      <c r="G172" s="9"/>
      <c r="H172" s="9"/>
      <c r="I172" s="6"/>
      <c r="J172" s="6"/>
      <c r="K172" s="6"/>
      <c r="L172" s="6"/>
      <c r="M172" s="6"/>
      <c r="N172" s="9"/>
    </row>
    <row r="173" spans="1:14" s="10" customFormat="1" x14ac:dyDescent="0.25">
      <c r="A173" s="7"/>
      <c r="B173" s="11"/>
      <c r="C173" s="9"/>
      <c r="D173" s="9"/>
      <c r="E173" s="9"/>
      <c r="F173" s="44"/>
      <c r="G173" s="9"/>
      <c r="H173" s="9"/>
      <c r="I173" s="6"/>
      <c r="J173" s="6"/>
      <c r="K173" s="6"/>
      <c r="L173" s="6"/>
      <c r="M173" s="6"/>
      <c r="N173" s="9"/>
    </row>
    <row r="174" spans="1:14" s="10" customFormat="1" x14ac:dyDescent="0.25">
      <c r="A174" s="7"/>
      <c r="B174" s="11"/>
      <c r="C174" s="9"/>
      <c r="D174" s="9"/>
      <c r="E174" s="9"/>
      <c r="F174" s="44"/>
      <c r="G174" s="9"/>
      <c r="H174" s="9"/>
      <c r="I174" s="6"/>
      <c r="J174" s="6"/>
      <c r="K174" s="6"/>
      <c r="L174" s="6"/>
      <c r="M174" s="6"/>
      <c r="N174" s="9"/>
    </row>
    <row r="175" spans="1:14" s="10" customFormat="1" x14ac:dyDescent="0.25">
      <c r="A175" s="7"/>
      <c r="B175" s="11"/>
      <c r="C175" s="9"/>
      <c r="D175" s="9"/>
      <c r="E175" s="9"/>
      <c r="F175" s="44"/>
      <c r="G175" s="9"/>
      <c r="H175" s="9"/>
      <c r="I175" s="6"/>
      <c r="J175" s="6"/>
      <c r="K175" s="6"/>
      <c r="L175" s="6"/>
      <c r="M175" s="6"/>
      <c r="N175" s="9"/>
    </row>
    <row r="176" spans="1:14" s="10" customFormat="1" x14ac:dyDescent="0.25">
      <c r="A176" s="7"/>
      <c r="B176" s="11"/>
      <c r="C176" s="9"/>
      <c r="D176" s="9"/>
      <c r="E176" s="9"/>
      <c r="F176" s="44"/>
      <c r="G176" s="9"/>
      <c r="H176" s="9"/>
      <c r="I176" s="6"/>
      <c r="J176" s="6"/>
      <c r="K176" s="6"/>
      <c r="L176" s="6"/>
      <c r="M176" s="6"/>
      <c r="N176" s="9"/>
    </row>
    <row r="177" spans="1:14" s="10" customFormat="1" x14ac:dyDescent="0.25">
      <c r="A177" s="7"/>
      <c r="B177" s="11"/>
      <c r="C177" s="9"/>
      <c r="D177" s="9"/>
      <c r="E177" s="9"/>
      <c r="F177" s="44"/>
      <c r="G177" s="9"/>
      <c r="H177" s="9"/>
      <c r="I177" s="6"/>
      <c r="J177" s="6"/>
      <c r="K177" s="6"/>
      <c r="L177" s="6"/>
      <c r="M177" s="6"/>
      <c r="N177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3" location="SU_01006" display="SU_01006"/>
    <hyperlink ref="F14" location="SU_A0200" display="SU_A0200"/>
    <hyperlink ref="F15" location="SU_02001" display="SU_02001"/>
    <hyperlink ref="F16:F20" location="SU_01001" display="SU_01001"/>
    <hyperlink ref="F16" location="SU_02002" display="SU_02002"/>
    <hyperlink ref="F17" location="SU_02003" display="SU_02003"/>
    <hyperlink ref="F18" location="SU_02004" display="SU_02004"/>
    <hyperlink ref="F19" location="SU_02005" display="SU_02005"/>
    <hyperlink ref="F20" location="SU_02006" display="SU_02006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N4" sqref="N4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8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9.2404703999999978</v>
      </c>
      <c r="O2" s="64"/>
    </row>
    <row r="3" spans="1:15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5" x14ac:dyDescent="0.3">
      <c r="A4" s="111" t="s">
        <v>5</v>
      </c>
      <c r="B4" s="97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211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9.2404703999999978</v>
      </c>
      <c r="O5" s="64"/>
    </row>
    <row r="6" spans="1:15" x14ac:dyDescent="0.3">
      <c r="A6" s="111" t="s">
        <v>7</v>
      </c>
      <c r="B6" s="29" t="s">
        <v>212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6" t="s">
        <v>217</v>
      </c>
      <c r="C11" s="177" t="s">
        <v>218</v>
      </c>
      <c r="D11" s="181">
        <f>200*E11*L11</f>
        <v>8.8904703999999981</v>
      </c>
      <c r="E11" s="180">
        <f>J11*K11</f>
        <v>2.8134399999999996E-5</v>
      </c>
      <c r="F11" s="21" t="s">
        <v>219</v>
      </c>
      <c r="G11" s="21"/>
      <c r="H11" s="20"/>
      <c r="I11" s="22" t="s">
        <v>191</v>
      </c>
      <c r="J11" s="178">
        <f>3.14*(0.008*0.008-0.006*0.006)</f>
        <v>8.7919999999999985E-5</v>
      </c>
      <c r="K11" s="83">
        <f>320/1000</f>
        <v>0.32</v>
      </c>
      <c r="L11" s="84">
        <v>1580</v>
      </c>
      <c r="M11" s="179">
        <v>1</v>
      </c>
      <c r="N11" s="31">
        <f>D11*M11</f>
        <v>8.8904703999999981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8.8904703999999981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70" zoomScaleNormal="70" workbookViewId="0">
      <selection activeCell="N4" sqref="N4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6</v>
      </c>
      <c r="O3" s="64"/>
    </row>
    <row r="4" spans="1:17" x14ac:dyDescent="0.3">
      <c r="A4" s="111" t="s">
        <v>5</v>
      </c>
      <c r="B4" s="97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192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16.05296736</v>
      </c>
      <c r="O5" s="64"/>
    </row>
    <row r="6" spans="1:17" x14ac:dyDescent="0.3">
      <c r="A6" s="111" t="s">
        <v>7</v>
      </c>
      <c r="B6" s="29" t="s">
        <v>213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194</v>
      </c>
      <c r="C11" s="21" t="s">
        <v>38</v>
      </c>
      <c r="D11" s="31">
        <v>2.25</v>
      </c>
      <c r="E11" s="152">
        <f>J11*K11*L11/1000000000</f>
        <v>1.5775360000000002E-2</v>
      </c>
      <c r="F11" s="21" t="s">
        <v>187</v>
      </c>
      <c r="G11" s="21"/>
      <c r="H11" s="20"/>
      <c r="I11" s="22" t="s">
        <v>193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0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195</v>
      </c>
      <c r="D16" s="31">
        <v>0.04</v>
      </c>
      <c r="E16" s="28" t="s">
        <v>186</v>
      </c>
      <c r="F16" s="154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197</v>
      </c>
      <c r="D18" s="31">
        <v>0.04</v>
      </c>
      <c r="E18" s="28" t="s">
        <v>186</v>
      </c>
      <c r="F18" s="154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9" t="s">
        <v>184</v>
      </c>
      <c r="C20" s="19" t="s">
        <v>196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/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8" t="s">
        <v>213</v>
      </c>
    </row>
  </sheetData>
  <hyperlinks>
    <hyperlink ref="B1" location="SU_02005" display="SU_02005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90" zoomScaleNormal="90" workbookViewId="0">
      <selection activeCell="N4" sqref="N4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SU_A0200!B3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7" x14ac:dyDescent="0.3">
      <c r="A4" s="111" t="s">
        <v>5</v>
      </c>
      <c r="B4" s="98" t="s">
        <v>205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4.031606798336</v>
      </c>
      <c r="O5" s="64"/>
    </row>
    <row r="6" spans="1:17" x14ac:dyDescent="0.3">
      <c r="A6" s="111" t="s">
        <v>7</v>
      </c>
      <c r="B6" s="29" t="s">
        <v>214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55">
        <f>4.2</f>
        <v>4.2</v>
      </c>
      <c r="E11" s="152">
        <f>J11*K11*L11/1000000000</f>
        <v>1.4715095040000001E-2</v>
      </c>
      <c r="F11" s="21" t="s">
        <v>187</v>
      </c>
      <c r="G11" s="21"/>
      <c r="H11" s="20"/>
      <c r="I11" s="22" t="s">
        <v>193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56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0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195</v>
      </c>
      <c r="D16" s="31">
        <v>0.04</v>
      </c>
      <c r="E16" s="28" t="s">
        <v>186</v>
      </c>
      <c r="F16" s="154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196</v>
      </c>
      <c r="D18" s="31">
        <v>0.04</v>
      </c>
      <c r="E18" s="28" t="s">
        <v>186</v>
      </c>
      <c r="F18" s="154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E3" location="'SU Drawing Part 6'!A1" display="Drawing"/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/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8" t="s">
        <v>214</v>
      </c>
    </row>
  </sheetData>
  <hyperlinks>
    <hyperlink ref="B1" location="SU_02006" display="SU_02006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68" zoomScaleNormal="68" zoomScaleSheetLayoutView="80" workbookViewId="0">
      <selection activeCell="N3" sqref="N3"/>
    </sheetView>
  </sheetViews>
  <sheetFormatPr baseColWidth="10" defaultColWidth="9.109375" defaultRowHeight="14.4" x14ac:dyDescent="0.3"/>
  <cols>
    <col min="2" max="2" width="57.109375" customWidth="1"/>
    <col min="3" max="3" width="48.21875" customWidth="1"/>
    <col min="5" max="5" width="14.109375" customWidth="1"/>
    <col min="14" max="14" width="13.7773437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97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93.523108907895633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187.04621781579127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'SU 01001'!B5</f>
        <v>Upper Front Bearing Support</v>
      </c>
      <c r="C10" s="77">
        <f>'SU 01001'!N2</f>
        <v>19.08406304</v>
      </c>
      <c r="D10" s="140">
        <v>1</v>
      </c>
      <c r="E10" s="77">
        <f>C10*D10</f>
        <v>19.08406304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'SU 01002'!B5</f>
        <v>Inner Bearing Support</v>
      </c>
      <c r="C11" s="77">
        <f>'SU 01002'!N2</f>
        <v>4.6183805439999999</v>
      </c>
      <c r="D11" s="75">
        <v>2</v>
      </c>
      <c r="E11" s="77">
        <f t="shared" ref="E11:E15" si="0">C11*D11</f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'SU 01003'!B5</f>
        <v>Upper Front A-arm tube (Front)  Carbon Fiber Tube</v>
      </c>
      <c r="C12" s="77">
        <f>'SU 01003'!N2</f>
        <v>8.240292479999999</v>
      </c>
      <c r="D12" s="75">
        <v>1</v>
      </c>
      <c r="E12" s="77">
        <f t="shared" si="0"/>
        <v>8.240292479999999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'SU 01004'!B5</f>
        <v>Upper Front A-arm tube (Back)  Carbon Fiber Tube</v>
      </c>
      <c r="C13" s="77">
        <f>'SU 01004'!N2</f>
        <v>6.7400255999999974</v>
      </c>
      <c r="D13" s="75">
        <v>1</v>
      </c>
      <c r="E13" s="77">
        <f t="shared" si="0"/>
        <v>6.7400255999999974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'SU 01005'!B5</f>
        <v>Spacer</v>
      </c>
      <c r="C14" s="77">
        <f>'SU 01005'!N2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tr">
        <f>'SU 01006'!B5</f>
        <v>Outboard A-arm Insert</v>
      </c>
      <c r="C15" s="77">
        <f>'SU 01006'!N2</f>
        <v>2.015803399168</v>
      </c>
      <c r="D15" s="139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3">
      <c r="A16" s="65"/>
      <c r="B16" s="58"/>
      <c r="C16" s="58"/>
      <c r="D16" s="110" t="s">
        <v>18</v>
      </c>
      <c r="E16" s="109">
        <f>SUM(E10:E15)</f>
        <v>63.385716366335998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3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3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" customHeight="1" x14ac:dyDescent="0.3">
      <c r="A19" s="75">
        <v>10</v>
      </c>
      <c r="B19" s="75" t="s">
        <v>132</v>
      </c>
      <c r="C19" s="75"/>
      <c r="D19" s="138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" customHeight="1" x14ac:dyDescent="0.3">
      <c r="A20" s="75">
        <v>20</v>
      </c>
      <c r="B20" s="158" t="s">
        <v>137</v>
      </c>
      <c r="C20" s="159" t="s">
        <v>138</v>
      </c>
      <c r="D20" s="77"/>
      <c r="E20" s="81"/>
      <c r="F20" s="81">
        <v>95</v>
      </c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29.4" customHeight="1" x14ac:dyDescent="0.3">
      <c r="A21" s="75">
        <v>30</v>
      </c>
      <c r="B21" s="158" t="s">
        <v>137</v>
      </c>
      <c r="C21" s="159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3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3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3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3">
      <c r="A25" s="158">
        <v>10</v>
      </c>
      <c r="B25" s="160" t="s">
        <v>140</v>
      </c>
      <c r="C25" s="160" t="s">
        <v>141</v>
      </c>
      <c r="D25" s="141">
        <v>0.02</v>
      </c>
      <c r="E25" s="158" t="s">
        <v>142</v>
      </c>
      <c r="F25" s="161">
        <f>3*2*PI()*0.8*0.5</f>
        <v>7.5398223686155035</v>
      </c>
      <c r="G25" s="158"/>
      <c r="H25" s="158"/>
      <c r="I25" s="141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3">
      <c r="A26" s="75">
        <v>20</v>
      </c>
      <c r="B26" s="88" t="s">
        <v>143</v>
      </c>
      <c r="C26" s="160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3">
      <c r="A27" s="75">
        <v>30</v>
      </c>
      <c r="B27" s="142" t="s">
        <v>145</v>
      </c>
      <c r="C27" s="75" t="s">
        <v>146</v>
      </c>
      <c r="D27" s="77">
        <v>0.02</v>
      </c>
      <c r="E27" s="75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3">
      <c r="A28" s="75">
        <v>40</v>
      </c>
      <c r="B28" s="142" t="s">
        <v>145</v>
      </c>
      <c r="C28" s="75" t="s">
        <v>147</v>
      </c>
      <c r="D28" s="77">
        <v>0.02</v>
      </c>
      <c r="E28" s="75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3">
      <c r="A29" s="75">
        <v>50</v>
      </c>
      <c r="B29" s="142" t="s">
        <v>148</v>
      </c>
      <c r="C29" s="75" t="s">
        <v>149</v>
      </c>
      <c r="D29" s="77">
        <v>0.02</v>
      </c>
      <c r="E29" s="75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158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90</v>
      </c>
      <c r="B33" s="88" t="s">
        <v>153</v>
      </c>
      <c r="C33" s="75" t="s">
        <v>155</v>
      </c>
      <c r="D33" s="77">
        <v>10</v>
      </c>
      <c r="E33" s="75" t="s">
        <v>154</v>
      </c>
      <c r="F33" s="87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100</v>
      </c>
      <c r="B34" s="88" t="s">
        <v>157</v>
      </c>
      <c r="C34" s="75" t="s">
        <v>156</v>
      </c>
      <c r="D34" s="77">
        <v>20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110</v>
      </c>
      <c r="B35" s="160" t="s">
        <v>158</v>
      </c>
      <c r="C35" s="160" t="s">
        <v>159</v>
      </c>
      <c r="D35" s="141">
        <v>0.06</v>
      </c>
      <c r="E35" s="158" t="s">
        <v>32</v>
      </c>
      <c r="F35" s="158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120</v>
      </c>
      <c r="B36" s="162" t="s">
        <v>160</v>
      </c>
      <c r="C36" s="162" t="s">
        <v>161</v>
      </c>
      <c r="D36" s="143">
        <v>0.13</v>
      </c>
      <c r="E36" s="163" t="s">
        <v>32</v>
      </c>
      <c r="F36" s="163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130</v>
      </c>
      <c r="B37" s="164" t="s">
        <v>160</v>
      </c>
      <c r="C37" s="164" t="s">
        <v>162</v>
      </c>
      <c r="D37" s="144">
        <v>0.13</v>
      </c>
      <c r="E37" s="165" t="s">
        <v>32</v>
      </c>
      <c r="F37" s="165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140</v>
      </c>
      <c r="B38" s="164" t="s">
        <v>158</v>
      </c>
      <c r="C38" s="164" t="s">
        <v>163</v>
      </c>
      <c r="D38" s="144">
        <v>0.06</v>
      </c>
      <c r="E38" s="165" t="s">
        <v>32</v>
      </c>
      <c r="F38" s="165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150</v>
      </c>
      <c r="B39" s="164" t="s">
        <v>160</v>
      </c>
      <c r="C39" s="164" t="s">
        <v>164</v>
      </c>
      <c r="D39" s="144">
        <v>0.13</v>
      </c>
      <c r="E39" s="165" t="s">
        <v>32</v>
      </c>
      <c r="F39" s="165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160</v>
      </c>
      <c r="B40" s="164" t="s">
        <v>160</v>
      </c>
      <c r="C40" s="164" t="s">
        <v>165</v>
      </c>
      <c r="D40" s="144">
        <v>0.13</v>
      </c>
      <c r="E40" s="165" t="s">
        <v>32</v>
      </c>
      <c r="F40" s="165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3">
      <c r="A41" s="75">
        <v>170</v>
      </c>
      <c r="B41" s="166" t="s">
        <v>166</v>
      </c>
      <c r="C41" s="167" t="s">
        <v>167</v>
      </c>
      <c r="D41" s="144">
        <v>0.75</v>
      </c>
      <c r="E41" s="165" t="s">
        <v>32</v>
      </c>
      <c r="F41" s="165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3">
      <c r="A42" s="75">
        <v>180</v>
      </c>
      <c r="B42" s="166" t="s">
        <v>168</v>
      </c>
      <c r="C42" s="167" t="s">
        <v>169</v>
      </c>
      <c r="D42" s="144">
        <v>0.25</v>
      </c>
      <c r="E42" s="167" t="s">
        <v>32</v>
      </c>
      <c r="F42" s="165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3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3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3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3">
      <c r="A46" s="158">
        <v>10</v>
      </c>
      <c r="B46" s="158" t="s">
        <v>170</v>
      </c>
      <c r="C46" s="158" t="s">
        <v>171</v>
      </c>
      <c r="D46" s="168">
        <f>0.8/105154*E46^2*G46*SQRT(G46)+(0.003*EXP(0.319*E46))</f>
        <v>0.16167651505774214</v>
      </c>
      <c r="E46" s="158">
        <v>8</v>
      </c>
      <c r="F46" s="145" t="s">
        <v>30</v>
      </c>
      <c r="G46" s="169">
        <v>40</v>
      </c>
      <c r="H46" s="160" t="s">
        <v>30</v>
      </c>
      <c r="I46" s="146">
        <v>2</v>
      </c>
      <c r="J46" s="147">
        <f>D46*I46</f>
        <v>0.32335303011548427</v>
      </c>
      <c r="K46" s="58"/>
      <c r="L46" s="58"/>
      <c r="M46" s="58"/>
      <c r="N46" s="58"/>
      <c r="O46" s="64"/>
    </row>
    <row r="47" spans="1:15" x14ac:dyDescent="0.3">
      <c r="A47" s="158">
        <v>20</v>
      </c>
      <c r="B47" s="158" t="s">
        <v>170</v>
      </c>
      <c r="C47" s="158" t="s">
        <v>172</v>
      </c>
      <c r="D47" s="168">
        <f>0.8/105154*E47^2*G47*SQRT(G47)+(0.003*EXP(0.319*E47))</f>
        <v>0.26479118861318168</v>
      </c>
      <c r="E47" s="158">
        <v>8</v>
      </c>
      <c r="F47" s="145" t="s">
        <v>30</v>
      </c>
      <c r="G47" s="169">
        <v>60</v>
      </c>
      <c r="H47" s="160" t="s">
        <v>30</v>
      </c>
      <c r="I47" s="148">
        <v>1</v>
      </c>
      <c r="J47" s="141">
        <f>D47*I47</f>
        <v>0.26479118861318168</v>
      </c>
      <c r="K47" s="58"/>
      <c r="L47" s="58"/>
      <c r="M47" s="58"/>
      <c r="N47" s="58"/>
      <c r="O47" s="64"/>
    </row>
    <row r="48" spans="1:15" x14ac:dyDescent="0.3">
      <c r="A48" s="158">
        <v>30</v>
      </c>
      <c r="B48" s="158" t="s">
        <v>173</v>
      </c>
      <c r="C48" s="158" t="s">
        <v>174</v>
      </c>
      <c r="D48" s="170">
        <f>(0.009*EXP(0.2*E48))</f>
        <v>4.4577291819556032E-2</v>
      </c>
      <c r="E48" s="158">
        <v>8</v>
      </c>
      <c r="F48" s="145" t="s">
        <v>30</v>
      </c>
      <c r="G48" s="158"/>
      <c r="H48" s="160"/>
      <c r="I48" s="148">
        <v>3</v>
      </c>
      <c r="J48" s="141">
        <f>D48*I48</f>
        <v>0.1337318754586681</v>
      </c>
      <c r="K48" s="58"/>
      <c r="L48" s="58"/>
      <c r="M48" s="58"/>
      <c r="N48" s="58"/>
      <c r="O48" s="64"/>
    </row>
    <row r="49" spans="1:15" x14ac:dyDescent="0.3">
      <c r="A49" s="158">
        <v>40</v>
      </c>
      <c r="B49" s="158" t="s">
        <v>175</v>
      </c>
      <c r="C49" s="158" t="s">
        <v>176</v>
      </c>
      <c r="D49" s="158">
        <v>0.01</v>
      </c>
      <c r="E49" s="158">
        <v>8</v>
      </c>
      <c r="F49" s="145" t="s">
        <v>30</v>
      </c>
      <c r="G49" s="158"/>
      <c r="H49" s="160"/>
      <c r="I49" s="148">
        <v>6</v>
      </c>
      <c r="J49" s="141">
        <f>D49*I49</f>
        <v>0.06</v>
      </c>
      <c r="K49" s="60"/>
      <c r="L49" s="60"/>
      <c r="M49" s="60"/>
      <c r="N49" s="60"/>
      <c r="O49" s="64"/>
    </row>
    <row r="50" spans="1:15" x14ac:dyDescent="0.3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3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" thickBot="1" x14ac:dyDescent="0.3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SU_01001" display="SU_01001"/>
    <hyperlink ref="B11:B13" location="BR_01001" display="BR_01001"/>
    <hyperlink ref="B14" location="SU_01005" display="SU_01005"/>
    <hyperlink ref="B15" location="SU_01006" display="SU_01006"/>
    <hyperlink ref="B11" location="SU_01002" display="SU_01002"/>
    <hyperlink ref="B12" location="SU_01003" display="SU_01003"/>
    <hyperlink ref="B13" location="SU_01004" display="SU_01004"/>
    <hyperlink ref="E2" location="SU_A01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96" zoomScaleNormal="96" workbookViewId="0">
      <selection activeCell="R19" sqref="R19"/>
    </sheetView>
  </sheetViews>
  <sheetFormatPr baseColWidth="10" defaultColWidth="9.109375" defaultRowHeight="14.4" x14ac:dyDescent="0.3"/>
  <cols>
    <col min="3" max="3" width="24.5546875" customWidth="1"/>
    <col min="10" max="10" width="10" bestFit="1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19.08406304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19.08406304</v>
      </c>
      <c r="O5" s="64"/>
    </row>
    <row r="6" spans="1:19" x14ac:dyDescent="0.3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4.2440630400000003</v>
      </c>
      <c r="E11" s="21"/>
      <c r="F11" s="21"/>
      <c r="G11" s="21"/>
      <c r="H11" s="20"/>
      <c r="I11" s="22" t="s">
        <v>134</v>
      </c>
      <c r="J11" s="171">
        <f>90*90</f>
        <v>8100</v>
      </c>
      <c r="K11" s="83">
        <v>46</v>
      </c>
      <c r="L11" s="84">
        <v>2712</v>
      </c>
      <c r="M11" s="24">
        <v>1</v>
      </c>
      <c r="N11" s="31">
        <f>D11*M11</f>
        <v>4.2440630400000003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4.2440630400000003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50"/>
    </row>
    <row r="17" spans="1:18" s="17" customFormat="1" ht="43.2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1"/>
    </row>
    <row r="18" spans="1:18" ht="28.8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50"/>
    </row>
    <row r="19" spans="1:18" ht="43.2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8" ht="28.8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8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85" zoomScaleNormal="85" workbookViewId="0">
      <selection activeCell="N3" sqref="N3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18.473522175999999</v>
      </c>
      <c r="O5" s="64"/>
    </row>
    <row r="6" spans="1:19" x14ac:dyDescent="0.3">
      <c r="A6" s="111" t="s">
        <v>7</v>
      </c>
      <c r="B6" s="29" t="s">
        <v>199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2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0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3"/>
      <c r="S15" s="26"/>
    </row>
    <row r="16" spans="1:19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0"/>
    </row>
    <row r="17" spans="1:19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1"/>
      <c r="S17" s="17"/>
    </row>
    <row r="18" spans="1:19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0"/>
    </row>
    <row r="19" spans="1:19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9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8" t="s">
        <v>199</v>
      </c>
    </row>
    <row r="6" spans="1:2" x14ac:dyDescent="0.3">
      <c r="B6" s="157"/>
    </row>
  </sheetData>
  <hyperlinks>
    <hyperlink ref="B1" location="SU_01002" display="SU_01002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4.7773437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8.240292479999999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16.480584959999998</v>
      </c>
      <c r="O5" s="64"/>
    </row>
    <row r="6" spans="1:15" x14ac:dyDescent="0.3">
      <c r="A6" s="111" t="s">
        <v>7</v>
      </c>
      <c r="B6" s="29" t="s">
        <v>204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6" t="s">
        <v>217</v>
      </c>
      <c r="C11" s="177" t="s">
        <v>218</v>
      </c>
      <c r="D11" s="181">
        <f>200*E11*L11</f>
        <v>7.8902924799999985</v>
      </c>
      <c r="E11" s="180">
        <f>J11*K11</f>
        <v>2.4969279999999993E-5</v>
      </c>
      <c r="F11" s="21" t="s">
        <v>219</v>
      </c>
      <c r="G11" s="21"/>
      <c r="H11" s="20"/>
      <c r="I11" s="22" t="s">
        <v>191</v>
      </c>
      <c r="J11" s="178">
        <f>3.14*(0.008*0.008-0.006*0.006)</f>
        <v>8.7919999999999985E-5</v>
      </c>
      <c r="K11" s="83">
        <v>0.28399999999999997</v>
      </c>
      <c r="L11" s="84">
        <v>1580</v>
      </c>
      <c r="M11" s="179">
        <v>1</v>
      </c>
      <c r="N11" s="31">
        <f>D11*M11</f>
        <v>7.8902924799999985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7.8902924799999985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3.8867187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6.7400255999999974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13.480051199999995</v>
      </c>
      <c r="O5" s="64"/>
    </row>
    <row r="6" spans="1:15" x14ac:dyDescent="0.3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176" t="s">
        <v>217</v>
      </c>
      <c r="C11" s="177" t="s">
        <v>218</v>
      </c>
      <c r="D11" s="181">
        <f>200*E11*L11</f>
        <v>6.3900255999999978</v>
      </c>
      <c r="E11" s="180">
        <f>J11*K11</f>
        <v>2.0221599999999996E-5</v>
      </c>
      <c r="F11" s="21" t="s">
        <v>219</v>
      </c>
      <c r="G11" s="21"/>
      <c r="H11" s="20"/>
      <c r="I11" s="22" t="s">
        <v>191</v>
      </c>
      <c r="J11" s="178">
        <f>3.14*(0.008*0.008-0.006*0.006)</f>
        <v>8.7919999999999985E-5</v>
      </c>
      <c r="K11" s="83">
        <v>0.23</v>
      </c>
      <c r="L11" s="84">
        <v>1580</v>
      </c>
      <c r="M11" s="179">
        <v>1</v>
      </c>
      <c r="N11" s="31">
        <f>D11*M11</f>
        <v>6.3900255999999978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6.3900255999999978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70</vt:i4>
      </vt:variant>
    </vt:vector>
  </HeadingPairs>
  <TitlesOfParts>
    <vt:vector size="94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SU_A0200</vt:lpstr>
      <vt:lpstr>SU_02001</vt:lpstr>
      <vt:lpstr>dSU_02001</vt:lpstr>
      <vt:lpstr>SU_02002</vt:lpstr>
      <vt:lpstr>dSU_02002</vt:lpstr>
      <vt:lpstr>SU_02003</vt:lpstr>
      <vt:lpstr>SU_02004</vt:lpstr>
      <vt:lpstr>SU_02005</vt:lpstr>
      <vt:lpstr>dSU_02005</vt:lpstr>
      <vt:lpstr>SU_02006</vt:lpstr>
      <vt:lpstr>dSU_02006</vt:lpstr>
      <vt:lpstr>dSU_01001</vt:lpstr>
      <vt:lpstr>dSU_01002</vt:lpstr>
      <vt:lpstr>dSU_01005</vt:lpstr>
      <vt:lpstr>dSU_01006</vt:lpstr>
      <vt:lpstr>dSU_02001</vt:lpstr>
      <vt:lpstr>dSU_02002</vt:lpstr>
      <vt:lpstr>dSU_02005</vt:lpstr>
      <vt:lpstr>dSU_02006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SU_02001</vt:lpstr>
      <vt:lpstr>SU_02001_m</vt:lpstr>
      <vt:lpstr>SU_02001_p</vt:lpstr>
      <vt:lpstr>SU_02001_q</vt:lpstr>
      <vt:lpstr>SU_02002</vt:lpstr>
      <vt:lpstr>SU_02002_m</vt:lpstr>
      <vt:lpstr>SU_02002_p</vt:lpstr>
      <vt:lpstr>SU_02002_q</vt:lpstr>
      <vt:lpstr>SU_02003</vt:lpstr>
      <vt:lpstr>SU_02003_m</vt:lpstr>
      <vt:lpstr>SU_02003_p</vt:lpstr>
      <vt:lpstr>SU_02003_q</vt:lpstr>
      <vt:lpstr>SU_02004</vt:lpstr>
      <vt:lpstr>SU_02004_m</vt:lpstr>
      <vt:lpstr>SU_02004_p</vt:lpstr>
      <vt:lpstr>SU_02004_q</vt:lpstr>
      <vt:lpstr>SU_02005</vt:lpstr>
      <vt:lpstr>SU_02005_m</vt:lpstr>
      <vt:lpstr>SU_02005_p</vt:lpstr>
      <vt:lpstr>SU_02005_q</vt:lpstr>
      <vt:lpstr>SU_02006</vt:lpstr>
      <vt:lpstr>SU_02006_m</vt:lpstr>
      <vt:lpstr>SU_02006_p</vt:lpstr>
      <vt:lpstr>SU_02006_q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  <vt:lpstr>SU_A0200</vt:lpstr>
      <vt:lpstr>SU_A0200_BOM</vt:lpstr>
      <vt:lpstr>SU_A0200_f</vt:lpstr>
      <vt:lpstr>SU_A0200_m</vt:lpstr>
      <vt:lpstr>SU_A0200_p</vt:lpstr>
      <vt:lpstr>SU_A0200_pa</vt:lpstr>
      <vt:lpstr>SU_A0200_q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2018-05-03T12:28:02Z</dcterms:modified>
  <dc:language>fr-FR</dc:language>
</cp:coreProperties>
</file>