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ssiers\ECL\Cours\EPSA\Github\MS - Miscellanous, Finish &amp; Assembly\Cost\"/>
    </mc:Choice>
  </mc:AlternateContent>
  <xr:revisionPtr revIDLastSave="0" documentId="12_ncr:500000_{8D0724D4-73B2-4A37-8F85-4F8614470C89}" xr6:coauthVersionLast="31" xr6:coauthVersionMax="31" xr10:uidLastSave="{00000000-0000-0000-0000-000000000000}"/>
  <bookViews>
    <workbookView xWindow="4740" yWindow="60" windowWidth="16380" windowHeight="8196" firstSheet="2" activeTab="2" xr2:uid="{00000000-000D-0000-FFFF-FFFF00000000}"/>
  </bookViews>
  <sheets>
    <sheet name="Instructions" sheetId="7" r:id="rId1"/>
    <sheet name="BOM" sheetId="8" r:id="rId2"/>
    <sheet name="MS_A0100" sheetId="1" r:id="rId3"/>
    <sheet name="MS_0100_001" sheetId="2" r:id="rId4"/>
    <sheet name="dMS_0100_001" sheetId="9" r:id="rId5"/>
    <sheet name="MS_0100_002" sheetId="13" r:id="rId6"/>
    <sheet name="dMS_0100_002" sheetId="14" r:id="rId7"/>
    <sheet name="MS_0100_003" sheetId="15" r:id="rId8"/>
    <sheet name="dMS_0100_003" sheetId="33" r:id="rId9"/>
    <sheet name="MS_0100_004" sheetId="20" r:id="rId10"/>
    <sheet name="dMS_0100_004" sheetId="34" r:id="rId11"/>
    <sheet name="MS_0100_005" sheetId="21" r:id="rId12"/>
    <sheet name="dMS_0100_005" sheetId="35" r:id="rId13"/>
    <sheet name="MS_0100_006" sheetId="22" r:id="rId14"/>
    <sheet name="dMS_0100_006" sheetId="36" r:id="rId15"/>
    <sheet name="MS_0100_007" sheetId="23" r:id="rId16"/>
    <sheet name="dMS_0100_007" sheetId="37" r:id="rId17"/>
    <sheet name="MS_0100_008" sheetId="24" r:id="rId18"/>
    <sheet name="dMS_0100_008" sheetId="38" r:id="rId19"/>
  </sheet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ede">#REF!</definedName>
    <definedName name="dqwdqd">#REF!</definedName>
    <definedName name="eded">#REF!</definedName>
    <definedName name="er">#REF!</definedName>
    <definedName name="ervcdx">#REF!</definedName>
    <definedName name="ezfdscx">#REF!</definedName>
    <definedName name="FR_0300_015">#REF!</definedName>
    <definedName name="FR_0300_015_m">#REF!</definedName>
    <definedName name="FR_0300_015_p">#REF!</definedName>
    <definedName name="FR_0300_015_q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MS_0100_001">MS_0100_001!$B$6</definedName>
    <definedName name="MS_0100_001_m">MS_0100_001!$N$12</definedName>
    <definedName name="MS_0100_001_p">MS_0100_001!$I$18</definedName>
    <definedName name="MS_0100_001_q">MS_0100_001!$N$3</definedName>
    <definedName name="MS_0100_002">MS_0100_002!$B$6</definedName>
    <definedName name="MS_0100_002_m">MS_0100_002!$N$12</definedName>
    <definedName name="MS_0100_002_p">MS_0100_002!$I$17</definedName>
    <definedName name="MS_0100_002_q">MS_0100_002!$N$3</definedName>
    <definedName name="MS_0100_003">MS_0100_003!$B$6</definedName>
    <definedName name="MS_0100_003_m">MS_0100_003!$N$12</definedName>
    <definedName name="MS_0100_003_p">MS_0100_003!$I$18</definedName>
    <definedName name="MS_0100_003_q">MS_0100_003!$N$3</definedName>
    <definedName name="MS_0100_004">MS_0100_004!$B$6</definedName>
    <definedName name="MS_0100_004_m">MS_0100_004!$N$12</definedName>
    <definedName name="MS_0100_004_p">MS_0100_004!$I$17</definedName>
    <definedName name="MS_0100_004_q">MS_0100_004!$N$3</definedName>
    <definedName name="MS_0100_005">MS_0100_005!$B$6</definedName>
    <definedName name="MS_0100_005_m">MS_0100_005!$N$12</definedName>
    <definedName name="MS_0100_005_p">MS_0100_005!$I$17</definedName>
    <definedName name="MS_0100_005_q">MS_0100_005!$N$3</definedName>
    <definedName name="MS_0100_006">MS_0100_006!$B$6</definedName>
    <definedName name="MS_0100_006_m">MS_0100_006!$N$12</definedName>
    <definedName name="MS_0100_006_p">MS_0100_006!$I$17</definedName>
    <definedName name="MS_0100_006_q">MS_0100_006!$N$3</definedName>
    <definedName name="MS_0100_007">MS_0100_007!$B$6</definedName>
    <definedName name="MS_0100_007_m">MS_0100_007!$N$12</definedName>
    <definedName name="MS_0100_007_p">MS_0100_007!$I$17</definedName>
    <definedName name="MS_0100_007_q">MS_0100_007!$N$3</definedName>
    <definedName name="MS_0100_008">MS_0100_008!$B$6</definedName>
    <definedName name="MS_0100_008_m">MS_0100_008!$N$12</definedName>
    <definedName name="MS_0100_008_p">MS_0100_008!$I$17</definedName>
    <definedName name="MS_0100_008_q">MS_0100_008!$N$3</definedName>
    <definedName name="MS_A0100">MS_A0100!$B$5</definedName>
    <definedName name="MS_A0100_f">MS_A0100!$J$65</definedName>
    <definedName name="MS_A0100_m">MS_A0100!$N$24</definedName>
    <definedName name="MS_A0100_p">MS_A0100!$I$59</definedName>
    <definedName name="MS_A0100_pa">MS_A0100!$E$18</definedName>
    <definedName name="MS_A0100_q">MS_A0100!$N$3</definedName>
    <definedName name="MS_A0100_t">MS_A0100!$I$69</definedName>
    <definedName name="nbtgv">#REF!</definedName>
    <definedName name="P_N_Base">MS_A0100!$A$5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BOM!$A$1:$N$16</definedName>
  </definedNames>
  <calcPr calcId="162913"/>
</workbook>
</file>

<file path=xl/calcChain.xml><?xml version="1.0" encoding="utf-8"?>
<calcChain xmlns="http://schemas.openxmlformats.org/spreadsheetml/2006/main">
  <c r="E11" i="24" l="1"/>
  <c r="E11" i="23"/>
  <c r="E11" i="22"/>
  <c r="E11" i="21"/>
  <c r="E11" i="20"/>
  <c r="E11" i="15"/>
  <c r="E11" i="13"/>
  <c r="E11" i="2"/>
  <c r="N24" i="1" l="1"/>
  <c r="N23" i="1"/>
  <c r="I58" i="1"/>
  <c r="J11" i="23"/>
  <c r="N11" i="23" s="1"/>
  <c r="N12" i="23" s="1"/>
  <c r="J11" i="24"/>
  <c r="I17" i="2"/>
  <c r="I17" i="15"/>
  <c r="F16" i="15"/>
  <c r="F16" i="13"/>
  <c r="F16" i="2"/>
  <c r="M22" i="1"/>
  <c r="N22" i="1" s="1"/>
  <c r="M21" i="1"/>
  <c r="E21" i="1"/>
  <c r="I49" i="1"/>
  <c r="I50" i="1"/>
  <c r="I51" i="1"/>
  <c r="I52" i="1"/>
  <c r="I53" i="1"/>
  <c r="I54" i="1"/>
  <c r="I55" i="1"/>
  <c r="I56" i="1"/>
  <c r="I57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F68" i="1"/>
  <c r="E22" i="1"/>
  <c r="F30" i="1"/>
  <c r="F29" i="1"/>
  <c r="F27" i="1"/>
  <c r="F28" i="1"/>
  <c r="I29" i="1"/>
  <c r="I15" i="8" l="1"/>
  <c r="I14" i="8"/>
  <c r="I13" i="8"/>
  <c r="I12" i="8"/>
  <c r="I11" i="8"/>
  <c r="I10" i="8"/>
  <c r="I8" i="8"/>
  <c r="I7" i="8"/>
  <c r="F15" i="8"/>
  <c r="F14" i="8"/>
  <c r="F13" i="8"/>
  <c r="F12" i="8"/>
  <c r="F11" i="8"/>
  <c r="F10" i="8"/>
  <c r="C15" i="8"/>
  <c r="C14" i="8"/>
  <c r="C13" i="8"/>
  <c r="C12" i="8"/>
  <c r="C11" i="8"/>
  <c r="C10" i="8"/>
  <c r="C9" i="8"/>
  <c r="C8" i="8"/>
  <c r="C7" i="8"/>
  <c r="N21" i="1" l="1"/>
  <c r="D17" i="1" l="1"/>
  <c r="I16" i="24"/>
  <c r="I15" i="24"/>
  <c r="N11" i="24"/>
  <c r="N12" i="24" s="1"/>
  <c r="J15" i="8" s="1"/>
  <c r="B4" i="24"/>
  <c r="B3" i="24"/>
  <c r="D16" i="1"/>
  <c r="I16" i="23"/>
  <c r="I15" i="23"/>
  <c r="J14" i="8"/>
  <c r="B4" i="23"/>
  <c r="B3" i="23"/>
  <c r="D15" i="1"/>
  <c r="I16" i="22"/>
  <c r="I15" i="22"/>
  <c r="N11" i="22"/>
  <c r="N12" i="22" s="1"/>
  <c r="J13" i="8" s="1"/>
  <c r="B4" i="22"/>
  <c r="B3" i="22"/>
  <c r="D11" i="1"/>
  <c r="D14" i="1"/>
  <c r="I16" i="21"/>
  <c r="I15" i="21"/>
  <c r="N11" i="21"/>
  <c r="N12" i="21" s="1"/>
  <c r="J12" i="8" s="1"/>
  <c r="B4" i="21"/>
  <c r="B3" i="21"/>
  <c r="D12" i="1"/>
  <c r="D13" i="1"/>
  <c r="I16" i="20"/>
  <c r="I15" i="20"/>
  <c r="I17" i="20" s="1"/>
  <c r="N11" i="20"/>
  <c r="N12" i="20" s="1"/>
  <c r="J11" i="8" s="1"/>
  <c r="B4" i="20"/>
  <c r="B3" i="20"/>
  <c r="N11" i="15"/>
  <c r="N12" i="15" s="1"/>
  <c r="J10" i="8" s="1"/>
  <c r="I15" i="15"/>
  <c r="I16" i="15"/>
  <c r="I18" i="15" s="1"/>
  <c r="B4" i="15"/>
  <c r="B3" i="15"/>
  <c r="I17" i="21" l="1"/>
  <c r="I17" i="24"/>
  <c r="K15" i="8" s="1"/>
  <c r="N2" i="24"/>
  <c r="N5" i="24" s="1"/>
  <c r="I17" i="23"/>
  <c r="K14" i="8" s="1"/>
  <c r="I17" i="22"/>
  <c r="K13" i="8" s="1"/>
  <c r="K10" i="8"/>
  <c r="I9" i="8"/>
  <c r="F9" i="8"/>
  <c r="D10" i="1"/>
  <c r="I15" i="13"/>
  <c r="I16" i="13"/>
  <c r="N11" i="13"/>
  <c r="N12" i="13" s="1"/>
  <c r="N11" i="2"/>
  <c r="B4" i="13"/>
  <c r="B3" i="13"/>
  <c r="I17" i="13" l="1"/>
  <c r="K9" i="8" s="1"/>
  <c r="N2" i="13"/>
  <c r="C11" i="1" s="1"/>
  <c r="N2" i="23"/>
  <c r="N5" i="23" s="1"/>
  <c r="N2" i="21"/>
  <c r="N5" i="21" s="1"/>
  <c r="K12" i="8"/>
  <c r="N2" i="22"/>
  <c r="N5" i="22" s="1"/>
  <c r="N2" i="20"/>
  <c r="N5" i="20" s="1"/>
  <c r="K11" i="8"/>
  <c r="C17" i="1"/>
  <c r="J9" i="8"/>
  <c r="N2" i="15"/>
  <c r="D64" i="1"/>
  <c r="J64" i="1" s="1"/>
  <c r="D62" i="1"/>
  <c r="J63" i="1"/>
  <c r="N5" i="13" l="1"/>
  <c r="N5" i="15"/>
  <c r="C12" i="1"/>
  <c r="C14" i="1"/>
  <c r="C16" i="1"/>
  <c r="C15" i="1"/>
  <c r="C13" i="1"/>
  <c r="J62" i="1"/>
  <c r="I30" i="1" l="1"/>
  <c r="I31" i="1"/>
  <c r="I59" i="1" s="1"/>
  <c r="I32" i="1"/>
  <c r="I28" i="1"/>
  <c r="I33" i="1"/>
  <c r="E11" i="1"/>
  <c r="E12" i="1"/>
  <c r="E13" i="1"/>
  <c r="E14" i="1"/>
  <c r="E15" i="1"/>
  <c r="E16" i="1"/>
  <c r="E17" i="1"/>
  <c r="B8" i="8" l="1"/>
  <c r="B3" i="2" l="1"/>
  <c r="B16" i="8"/>
  <c r="B9" i="8"/>
  <c r="B10" i="8"/>
  <c r="B11" i="8"/>
  <c r="B12" i="8"/>
  <c r="B13" i="8"/>
  <c r="B14" i="8"/>
  <c r="B15" i="8"/>
  <c r="B7" i="8"/>
  <c r="B4" i="2" l="1"/>
  <c r="F8" i="8"/>
  <c r="F7" i="8"/>
  <c r="E9" i="8" l="1"/>
  <c r="E13" i="8"/>
  <c r="E10" i="8"/>
  <c r="E14" i="8"/>
  <c r="E8" i="8"/>
  <c r="E11" i="8"/>
  <c r="E15" i="8"/>
  <c r="E12" i="8"/>
  <c r="H9" i="8"/>
  <c r="N9" i="8" s="1"/>
  <c r="H10" i="8"/>
  <c r="N10" i="8" s="1"/>
  <c r="H11" i="8"/>
  <c r="N11" i="8" s="1"/>
  <c r="H12" i="8"/>
  <c r="N12" i="8" s="1"/>
  <c r="H13" i="8"/>
  <c r="N13" i="8" s="1"/>
  <c r="H14" i="8"/>
  <c r="N14" i="8" s="1"/>
  <c r="H15" i="8"/>
  <c r="N15" i="8" s="1"/>
  <c r="I16" i="2"/>
  <c r="I18" i="2" s="1"/>
  <c r="I15" i="2"/>
  <c r="N12" i="2"/>
  <c r="I68" i="1"/>
  <c r="J65" i="1"/>
  <c r="L7" i="8" s="1"/>
  <c r="I27" i="1"/>
  <c r="K7" i="8" l="1"/>
  <c r="J8" i="8"/>
  <c r="L16" i="8"/>
  <c r="I69" i="1"/>
  <c r="K8" i="8"/>
  <c r="J7" i="8"/>
  <c r="N2" i="2" l="1"/>
  <c r="N5" i="2" s="1"/>
  <c r="M7" i="8"/>
  <c r="M16" i="8" s="1"/>
  <c r="K16" i="8"/>
  <c r="H8" i="8"/>
  <c r="N8" i="8" s="1"/>
  <c r="O1" i="8"/>
  <c r="H7" i="8" l="1"/>
  <c r="N7" i="8" s="1"/>
  <c r="N16" i="8" s="1"/>
  <c r="C10" i="1"/>
  <c r="E10" i="1" s="1"/>
  <c r="E18" i="1" s="1"/>
  <c r="N2" i="1" s="1"/>
  <c r="J16" i="8"/>
  <c r="N5" i="1" l="1"/>
</calcChain>
</file>

<file path=xl/sharedStrings.xml><?xml version="1.0" encoding="utf-8"?>
<sst xmlns="http://schemas.openxmlformats.org/spreadsheetml/2006/main" count="753" uniqueCount="216">
  <si>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</si>
  <si>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</si>
  <si>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</si>
  <si>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</si>
  <si>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</si>
  <si>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</si>
  <si>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</si>
  <si>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</si>
  <si>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</si>
  <si>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</si>
  <si>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</si>
  <si>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</si>
  <si>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</si>
  <si>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</si>
  <si>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</si>
  <si>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</si>
  <si>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</si>
  <si>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</si>
  <si>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</si>
  <si>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</si>
  <si>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</si>
  <si>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</si>
  <si>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</si>
  <si>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</si>
  <si>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</si>
  <si>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</si>
  <si>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</si>
  <si>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</si>
  <si>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</si>
  <si>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</si>
  <si>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</si>
  <si>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</si>
  <si>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</si>
  <si>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</si>
  <si>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</si>
  <si>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</si>
  <si>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</si>
  <si>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Washer, Grade 8.8 (SAE 5)</t>
  </si>
  <si>
    <t>Nut, Grade 8.8 (SAE 5)</t>
  </si>
  <si>
    <t>Tooling</t>
  </si>
  <si>
    <t>PVF</t>
  </si>
  <si>
    <t>FractionIncluded</t>
  </si>
  <si>
    <t>Welds - Welding Fixture</t>
  </si>
  <si>
    <t>point</t>
  </si>
  <si>
    <t>Ecole Centrale de Lyon</t>
  </si>
  <si>
    <t>Machining Setup, Install and remove</t>
  </si>
  <si>
    <t>Laser Cut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</si>
  <si>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</si>
  <si>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</si>
  <si>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</si>
  <si>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</si>
  <si>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</si>
  <si>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</si>
  <si>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</si>
  <si>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</si>
  <si>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</si>
  <si>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</si>
  <si>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</si>
  <si>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</si>
  <si>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</si>
  <si>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</si>
  <si>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</si>
  <si>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</si>
  <si>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</si>
  <si>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</si>
  <si>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</si>
  <si>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</si>
  <si>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</si>
  <si>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</si>
  <si>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</si>
  <si>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</si>
  <si>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</si>
  <si>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</si>
  <si>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</si>
  <si>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</si>
  <si>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</si>
  <si>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</si>
  <si>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</si>
  <si>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</si>
  <si>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</si>
  <si>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</si>
  <si>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</si>
  <si>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</si>
  <si>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</si>
  <si>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</si>
  <si>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</si>
  <si>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</si>
  <si>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</si>
  <si>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</si>
  <si>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</si>
  <si>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</si>
  <si>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</si>
  <si>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</si>
  <si>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 part :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</si>
  <si>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</si>
  <si>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</si>
  <si>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</si>
  <si>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</si>
  <si>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</si>
  <si>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</si>
  <si>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</si>
  <si>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</si>
  <si>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</si>
  <si>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</si>
  <si>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</si>
  <si>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</si>
  <si>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</si>
  <si>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</si>
  <si>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</si>
  <si>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</si>
  <si>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</si>
  <si>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</si>
  <si>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</si>
  <si>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</si>
  <si>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</si>
  <si>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</si>
  <si>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</si>
  <si>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</si>
  <si>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</si>
  <si>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</si>
  <si>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</si>
  <si>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</si>
  <si>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</si>
  <si>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</si>
  <si>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</si>
  <si>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</si>
  <si>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</si>
  <si>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</si>
  <si>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</si>
  <si>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</si>
  <si>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</si>
  <si>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</si>
  <si>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</si>
  <si>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</si>
  <si>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</si>
  <si>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</si>
  <si>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 sur cette étape.</t>
  </si>
  <si>
    <t>Frame and Body</t>
  </si>
  <si>
    <t>Weld</t>
  </si>
  <si>
    <t>Assemble, 1 kg, Loose</t>
  </si>
  <si>
    <t>Reaction Tool &lt;= 25.4 mm</t>
  </si>
  <si>
    <t>Ratchet &lt;= 25.4 mm</t>
  </si>
  <si>
    <t>Aerosol Apply</t>
  </si>
  <si>
    <t>m^2</t>
  </si>
  <si>
    <t>Bolt, Grade 8.8 (SAE 5)</t>
  </si>
  <si>
    <t>Mounts welded to the chassis</t>
  </si>
  <si>
    <t>Aluminum, Normal (per kg)</t>
  </si>
  <si>
    <t xml:space="preserve">Drawing part : </t>
  </si>
  <si>
    <t>Sheet metal bends</t>
  </si>
  <si>
    <t>bend</t>
  </si>
  <si>
    <t>frontal area</t>
  </si>
  <si>
    <t>Steel, Alloy</t>
  </si>
  <si>
    <t xml:space="preserve">Drawing Part : </t>
  </si>
  <si>
    <t>Material - Steel</t>
  </si>
  <si>
    <t>Paint</t>
  </si>
  <si>
    <t>MS_A0100</t>
  </si>
  <si>
    <t>Firewall</t>
  </si>
  <si>
    <t>The assembly of the Firewall</t>
  </si>
  <si>
    <t>Firewall Up Bracket</t>
  </si>
  <si>
    <t>Firewall Middle Side</t>
  </si>
  <si>
    <t>Firewall Upper Side</t>
  </si>
  <si>
    <t>Firewall Bottom</t>
  </si>
  <si>
    <t>Firewall Middle</t>
  </si>
  <si>
    <t>Firewall Middle, Bottom and Sides Bracket</t>
  </si>
  <si>
    <t>Firewall Lower Side</t>
  </si>
  <si>
    <t>MS_0100_001</t>
  </si>
  <si>
    <t>MS_0100_002</t>
  </si>
  <si>
    <t>MS_0100_003</t>
  </si>
  <si>
    <t>MS_0100_004</t>
  </si>
  <si>
    <t>MS_0100_006</t>
  </si>
  <si>
    <t>MS_0100_008</t>
  </si>
  <si>
    <t>MS_0100_007</t>
  </si>
  <si>
    <t>Upper plate</t>
  </si>
  <si>
    <t>Middle plate</t>
  </si>
  <si>
    <t>Firewall Up</t>
  </si>
  <si>
    <t>Lower plate</t>
  </si>
  <si>
    <t>Upper side plate</t>
  </si>
  <si>
    <t>Middle side plate</t>
  </si>
  <si>
    <t>Lower side plate</t>
  </si>
  <si>
    <t>Bracket for the upper plate</t>
  </si>
  <si>
    <t>Bracket for the Middle, Bottom and Side plates</t>
  </si>
  <si>
    <t>MS_0100_005</t>
  </si>
  <si>
    <t>Welding the Firewall Up Brackets on the chassis</t>
  </si>
  <si>
    <t>Painting the Firewall Up Brackets</t>
  </si>
  <si>
    <t>Welding the Firewall Middle, Bottom and Sides Brackets on the chassis</t>
  </si>
  <si>
    <t>Painting the Firewall Middle, Bottom and Sides Brackets</t>
  </si>
  <si>
    <t>Fixing the Plates to the Brackets</t>
  </si>
  <si>
    <t>Positioning the Firewall Middle Plate on the Brackets</t>
  </si>
  <si>
    <t>Fixing the Firewall Middle Plate to the Brackets</t>
  </si>
  <si>
    <t>Positioning the Firewall Upper Plate on the Brackets</t>
  </si>
  <si>
    <t>Fixing the Firewall Upper Plate to the Brackets</t>
  </si>
  <si>
    <t>Positioning the Firewall Bottom Plate on the Brackets</t>
  </si>
  <si>
    <t>Fixing the Firewall Bottom Plate to the Brackets</t>
  </si>
  <si>
    <t>Positioning the Firewall Upper left Side Plate on the Brackets</t>
  </si>
  <si>
    <t>Fixing the Firewall Upper left Side Plate to the Brackets</t>
  </si>
  <si>
    <t>Positioning the Firewall Middle left Side Plate on the Brackets</t>
  </si>
  <si>
    <t>Fixing the Firewall Middle left Side Plate to the Brackets</t>
  </si>
  <si>
    <t>Positioning the Firewall Lower left Side Plate on the Brackets</t>
  </si>
  <si>
    <t>Fixing the Firewall Lower left Side Plate to the Brackets</t>
  </si>
  <si>
    <t>Positioning the Firewall Upper right Side Plate on the Brackets</t>
  </si>
  <si>
    <t>Fixing the Firewall Upper right Side Plate to the Brackets</t>
  </si>
  <si>
    <t>Positioning the Firewall Middle right Side Plate on the Brackets</t>
  </si>
  <si>
    <t>Fixing the Firewall Middle right Side Plate to the Brackets</t>
  </si>
  <si>
    <t>Positioning the Firewall Lower right Side Plate on the Brackets</t>
  </si>
  <si>
    <t>Fixing the Firewall Lower right Side Plate to the Brackets</t>
  </si>
  <si>
    <t>2 parts made from the same plate</t>
  </si>
  <si>
    <t>4 parts made from the same plate</t>
  </si>
  <si>
    <t>Frontal area</t>
  </si>
  <si>
    <t>kg</t>
  </si>
  <si>
    <t>Tape</t>
  </si>
  <si>
    <t>Sealing with aluminium tape</t>
  </si>
  <si>
    <t>m</t>
  </si>
  <si>
    <t>Assemble, 3 kg, Line-on-Line</t>
  </si>
  <si>
    <t>Aluminium tape (no price in the sheet…)</t>
  </si>
  <si>
    <t>Material - Aluminum</t>
  </si>
  <si>
    <t>Steel, Alloy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</si>
</sst>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_(* #,##0.000_);_(* \(#,##0.000\);_(* \-??_);_(@_)"/>
    <numFmt numFmtId="168" formatCode="_(* #,##0_);_(* \(#,##0\);_(* \-??_);_(@_)"/>
    <numFmt numFmtId="169" formatCode="_(&quot;$&quot;* #,##0.00_);_(&quot;$&quot;* \(#,##0.00\);_(&quot;$&quot;* &quot;-&quot;??_);_(@_)"/>
    <numFmt numFmtId="170" formatCode="_(* #,##0.00_);_(* \(#,##0.00\);_(* &quot;-&quot;??_);_(@_)"/>
    <numFmt numFmtId="171" formatCode="_-[$$-409]* #,##0.00_ ;_-[$$-409]* \-#,##0.00\ ;_-[$$-409]* &quot;-&quot;??_ ;_-@_ "/>
    <numFmt numFmtId="172" formatCode="0.0000"/>
    <numFmt numFmtId="173" formatCode="0.000"/>
    <numFmt numFmtId="174" formatCode="0.00000"/>
    <numFmt numFmtId="175" formatCode="0.000000"/>
    <numFmt numFmtId="176" formatCode="_(* #,##0.0000_);_(* \(#,##0.0000\);_(* \-??_);_(@_)"/>
    <numFmt numFmtId="177" formatCode="_(* #,##0.00000_);_(* \(#,##0.00000\);_(* \-??_);_(@_)"/>
    <numFmt numFmtId="178" formatCode="_-* #,##0.000000\ _€_-;\-* #,##0.000000\ _€_-;_-* &quot;-&quot;??????\ _€_-;_-@_-"/>
  </numFmts>
  <fonts count="2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AC090"/>
      </patternFill>
    </fill>
    <fill>
      <patternFill patternType="solid">
        <fgColor theme="7" tint="0.39997558519241921"/>
        <bgColor rgb="FFFCD5B5"/>
      </patternFill>
    </fill>
  </fills>
  <borders count="38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10">
    <xf numFmtId="0" fontId="0" fillId="0" borderId="0"/>
    <xf numFmtId="0" fontId="7" fillId="0" borderId="0"/>
    <xf numFmtId="169" fontId="7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6" fillId="2" borderId="6">
      <alignment vertical="center" wrapText="1"/>
    </xf>
    <xf numFmtId="170" fontId="7" fillId="0" borderId="0" applyFont="0" applyFill="0" applyBorder="0" applyAlignment="0" applyProtection="0"/>
    <xf numFmtId="0" fontId="2" fillId="0" borderId="0"/>
    <xf numFmtId="166" fontId="5" fillId="0" borderId="1">
      <alignment vertical="center" wrapText="1"/>
    </xf>
    <xf numFmtId="0" fontId="18" fillId="0" borderId="0" applyNumberFormat="0" applyFill="0" applyBorder="0" applyAlignment="0" applyProtection="0"/>
    <xf numFmtId="0" fontId="26" fillId="0" borderId="0"/>
  </cellStyleXfs>
  <cellXfs count="200">
    <xf numFmtId="0" fontId="0" fillId="0" borderId="0" xfId="0"/>
    <xf numFmtId="170" fontId="8" fillId="0" borderId="0" xfId="5" applyFont="1"/>
    <xf numFmtId="0" fontId="8" fillId="0" borderId="0" xfId="1" applyFont="1" applyProtection="1">
      <protection locked="0"/>
    </xf>
    <xf numFmtId="170" fontId="7" fillId="0" borderId="0" xfId="5" applyFont="1"/>
    <xf numFmtId="0" fontId="8" fillId="0" borderId="0" xfId="1" applyFont="1"/>
    <xf numFmtId="0" fontId="10" fillId="0" borderId="0" xfId="1" applyFont="1"/>
    <xf numFmtId="0" fontId="7" fillId="0" borderId="0" xfId="1" applyFont="1" applyProtection="1">
      <protection locked="0"/>
    </xf>
    <xf numFmtId="0" fontId="7" fillId="0" borderId="0" xfId="1" applyFont="1" applyFill="1"/>
    <xf numFmtId="0" fontId="7" fillId="0" borderId="0" xfId="1" applyFont="1"/>
    <xf numFmtId="0" fontId="2" fillId="0" borderId="0" xfId="6" applyBorder="1"/>
    <xf numFmtId="0" fontId="2" fillId="0" borderId="0" xfId="6"/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3" xfId="0" applyFont="1" applyBorder="1"/>
    <xf numFmtId="164" fontId="4" fillId="0" borderId="3" xfId="7" applyNumberFormat="1" applyFont="1" applyBorder="1" applyAlignment="1" applyProtection="1"/>
    <xf numFmtId="0" fontId="4" fillId="0" borderId="3" xfId="0" applyFont="1" applyBorder="1" applyAlignment="1"/>
    <xf numFmtId="11" fontId="4" fillId="0" borderId="3" xfId="0" applyNumberFormat="1" applyFont="1" applyBorder="1" applyAlignment="1"/>
    <xf numFmtId="167" fontId="4" fillId="0" borderId="3" xfId="7" applyNumberFormat="1" applyFont="1" applyBorder="1" applyAlignment="1" applyProtection="1"/>
    <xf numFmtId="0" fontId="0" fillId="0" borderId="0" xfId="0" applyAlignment="1"/>
    <xf numFmtId="2" fontId="4" fillId="0" borderId="3" xfId="7" applyNumberFormat="1" applyFont="1" applyBorder="1" applyAlignment="1" applyProtection="1"/>
    <xf numFmtId="0" fontId="3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7" applyNumberFormat="1" applyFont="1" applyBorder="1" applyAlignment="1">
      <alignment wrapText="1"/>
    </xf>
    <xf numFmtId="49" fontId="4" fillId="0" borderId="0" xfId="0" applyNumberFormat="1" applyFont="1" applyBorder="1" applyAlignment="1">
      <alignment horizontal="left"/>
    </xf>
    <xf numFmtId="0" fontId="3" fillId="0" borderId="4" xfId="0" applyFont="1" applyBorder="1"/>
    <xf numFmtId="0" fontId="4" fillId="0" borderId="3" xfId="0" applyFont="1" applyBorder="1" applyAlignment="1" applyProtection="1"/>
    <xf numFmtId="3" fontId="0" fillId="0" borderId="3" xfId="0" applyNumberFormat="1" applyBorder="1" applyAlignment="1"/>
    <xf numFmtId="165" fontId="4" fillId="0" borderId="3" xfId="7" applyNumberFormat="1" applyFont="1" applyBorder="1" applyAlignment="1" applyProtection="1"/>
    <xf numFmtId="0" fontId="0" fillId="0" borderId="3" xfId="0" applyBorder="1" applyAlignment="1">
      <alignment wrapText="1"/>
    </xf>
    <xf numFmtId="165" fontId="4" fillId="0" borderId="3" xfId="7" applyNumberFormat="1" applyFont="1" applyBorder="1" applyAlignment="1" applyProtection="1">
      <alignment wrapText="1"/>
    </xf>
    <xf numFmtId="0" fontId="12" fillId="0" borderId="0" xfId="1" applyFont="1" applyAlignment="1">
      <alignment horizontal="center"/>
    </xf>
    <xf numFmtId="0" fontId="13" fillId="0" borderId="0" xfId="1" applyFont="1"/>
    <xf numFmtId="0" fontId="16" fillId="0" borderId="0" xfId="6" applyFont="1" applyFill="1" applyBorder="1"/>
    <xf numFmtId="0" fontId="2" fillId="0" borderId="0" xfId="6" applyFill="1"/>
    <xf numFmtId="0" fontId="2" fillId="0" borderId="0" xfId="6" applyFill="1" applyBorder="1"/>
    <xf numFmtId="0" fontId="2" fillId="0" borderId="0" xfId="6" applyFont="1"/>
    <xf numFmtId="0" fontId="2" fillId="0" borderId="0" xfId="6" applyFont="1" applyFill="1" applyBorder="1"/>
    <xf numFmtId="0" fontId="2" fillId="0" borderId="0" xfId="6" applyFont="1" applyFill="1"/>
    <xf numFmtId="0" fontId="9" fillId="0" borderId="0" xfId="1" applyFont="1"/>
    <xf numFmtId="0" fontId="14" fillId="0" borderId="0" xfId="1" applyFont="1"/>
    <xf numFmtId="0" fontId="16" fillId="3" borderId="0" xfId="6" applyFont="1" applyFill="1" applyBorder="1" applyAlignment="1"/>
    <xf numFmtId="170" fontId="7" fillId="0" borderId="0" xfId="1" applyNumberFormat="1" applyFont="1"/>
    <xf numFmtId="0" fontId="12" fillId="0" borderId="7" xfId="1" applyFont="1" applyBorder="1" applyAlignment="1">
      <alignment horizontal="center" wrapText="1"/>
    </xf>
    <xf numFmtId="2" fontId="12" fillId="0" borderId="7" xfId="1" applyNumberFormat="1" applyFont="1" applyBorder="1" applyAlignment="1">
      <alignment horizontal="center" wrapText="1"/>
    </xf>
    <xf numFmtId="170" fontId="12" fillId="0" borderId="7" xfId="5" applyFont="1" applyBorder="1" applyAlignment="1">
      <alignment horizontal="center" wrapText="1"/>
    </xf>
    <xf numFmtId="0" fontId="17" fillId="4" borderId="8" xfId="6" applyFont="1" applyFill="1" applyBorder="1"/>
    <xf numFmtId="0" fontId="17" fillId="4" borderId="10" xfId="6" applyFont="1" applyFill="1" applyBorder="1"/>
    <xf numFmtId="0" fontId="17" fillId="4" borderId="9" xfId="6" applyFont="1" applyFill="1" applyBorder="1"/>
    <xf numFmtId="0" fontId="17" fillId="4" borderId="11" xfId="6" applyFont="1" applyFill="1" applyBorder="1"/>
    <xf numFmtId="0" fontId="2" fillId="5" borderId="13" xfId="6" quotePrefix="1" applyFill="1" applyBorder="1" applyAlignment="1">
      <alignment horizontal="left"/>
    </xf>
    <xf numFmtId="2" fontId="2" fillId="6" borderId="14" xfId="6" quotePrefix="1" applyNumberFormat="1" applyFill="1" applyBorder="1" applyAlignment="1">
      <alignment horizontal="right"/>
    </xf>
    <xf numFmtId="0" fontId="17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4" fillId="0" borderId="19" xfId="7" applyNumberFormat="1" applyFont="1" applyBorder="1" applyAlignment="1"/>
    <xf numFmtId="0" fontId="0" fillId="0" borderId="19" xfId="0" applyBorder="1" applyAlignment="1"/>
    <xf numFmtId="0" fontId="3" fillId="0" borderId="20" xfId="0" applyFont="1" applyBorder="1"/>
    <xf numFmtId="0" fontId="0" fillId="0" borderId="19" xfId="0" applyBorder="1" applyAlignment="1">
      <alignment wrapText="1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4" fillId="0" borderId="15" xfId="0" applyFont="1" applyBorder="1"/>
    <xf numFmtId="165" fontId="4" fillId="0" borderId="15" xfId="7" applyNumberFormat="1" applyFont="1" applyBorder="1" applyAlignment="1" applyProtection="1"/>
    <xf numFmtId="0" fontId="0" fillId="0" borderId="15" xfId="0" applyBorder="1"/>
    <xf numFmtId="0" fontId="0" fillId="0" borderId="15" xfId="7" applyNumberFormat="1" applyFont="1" applyBorder="1" applyAlignment="1">
      <alignment wrapText="1"/>
    </xf>
    <xf numFmtId="37" fontId="4" fillId="0" borderId="15" xfId="7" applyNumberFormat="1" applyFont="1" applyBorder="1" applyAlignment="1" applyProtection="1"/>
    <xf numFmtId="0" fontId="4" fillId="0" borderId="15" xfId="0" applyFont="1" applyBorder="1" applyAlignment="1">
      <alignment horizontal="right"/>
    </xf>
    <xf numFmtId="0" fontId="3" fillId="0" borderId="26" xfId="0" applyFont="1" applyBorder="1"/>
    <xf numFmtId="0" fontId="4" fillId="0" borderId="21" xfId="0" applyFont="1" applyBorder="1" applyAlignment="1"/>
    <xf numFmtId="0" fontId="0" fillId="0" borderId="21" xfId="0" applyBorder="1" applyAlignment="1">
      <alignment wrapText="1"/>
    </xf>
    <xf numFmtId="0" fontId="19" fillId="0" borderId="0" xfId="0" applyFont="1"/>
    <xf numFmtId="0" fontId="18" fillId="0" borderId="0" xfId="8" applyBorder="1"/>
    <xf numFmtId="0" fontId="18" fillId="0" borderId="0" xfId="8"/>
    <xf numFmtId="0" fontId="21" fillId="0" borderId="0" xfId="0" applyFont="1"/>
    <xf numFmtId="0" fontId="22" fillId="0" borderId="0" xfId="0" applyFont="1"/>
    <xf numFmtId="0" fontId="2" fillId="5" borderId="13" xfId="6" quotePrefix="1" applyFont="1" applyFill="1" applyBorder="1" applyAlignment="1">
      <alignment horizontal="left"/>
    </xf>
    <xf numFmtId="0" fontId="1" fillId="5" borderId="13" xfId="6" applyFont="1" applyFill="1" applyBorder="1"/>
    <xf numFmtId="0" fontId="1" fillId="5" borderId="12" xfId="6" applyFont="1" applyFill="1" applyBorder="1"/>
    <xf numFmtId="171" fontId="4" fillId="0" borderId="15" xfId="7" applyNumberFormat="1" applyFont="1" applyBorder="1" applyAlignment="1" applyProtection="1"/>
    <xf numFmtId="173" fontId="4" fillId="0" borderId="3" xfId="7" applyNumberFormat="1" applyFont="1" applyBorder="1" applyAlignment="1" applyProtection="1"/>
    <xf numFmtId="165" fontId="4" fillId="0" borderId="28" xfId="7" applyNumberFormat="1" applyFont="1" applyBorder="1" applyAlignment="1" applyProtection="1"/>
    <xf numFmtId="0" fontId="24" fillId="0" borderId="30" xfId="0" applyFont="1" applyBorder="1" applyAlignment="1">
      <alignment wrapText="1"/>
    </xf>
    <xf numFmtId="0" fontId="24" fillId="0" borderId="31" xfId="0" applyFont="1" applyBorder="1" applyAlignment="1">
      <alignment wrapText="1"/>
    </xf>
    <xf numFmtId="0" fontId="4" fillId="0" borderId="29" xfId="0" applyFont="1" applyBorder="1"/>
    <xf numFmtId="0" fontId="0" fillId="0" borderId="29" xfId="7" applyNumberFormat="1" applyFont="1" applyBorder="1" applyAlignment="1">
      <alignment wrapText="1"/>
    </xf>
    <xf numFmtId="165" fontId="4" fillId="0" borderId="29" xfId="7" applyNumberFormat="1" applyFont="1" applyBorder="1" applyAlignment="1" applyProtection="1"/>
    <xf numFmtId="0" fontId="0" fillId="0" borderId="29" xfId="0" applyBorder="1"/>
    <xf numFmtId="0" fontId="25" fillId="0" borderId="6" xfId="9" applyFont="1" applyFill="1" applyBorder="1" applyAlignment="1">
      <alignment wrapText="1"/>
    </xf>
    <xf numFmtId="0" fontId="25" fillId="0" borderId="15" xfId="7" applyNumberFormat="1" applyFont="1" applyBorder="1" applyAlignment="1">
      <alignment wrapText="1"/>
    </xf>
    <xf numFmtId="0" fontId="0" fillId="0" borderId="0" xfId="0" applyFill="1" applyBorder="1"/>
    <xf numFmtId="0" fontId="0" fillId="0" borderId="19" xfId="0" applyFill="1" applyBorder="1"/>
    <xf numFmtId="0" fontId="0" fillId="0" borderId="0" xfId="0" applyFill="1"/>
    <xf numFmtId="165" fontId="4" fillId="0" borderId="15" xfId="7" applyNumberFormat="1" applyFont="1" applyFill="1" applyBorder="1" applyAlignment="1" applyProtection="1"/>
    <xf numFmtId="0" fontId="25" fillId="0" borderId="15" xfId="0" applyFont="1" applyFill="1" applyBorder="1"/>
    <xf numFmtId="2" fontId="0" fillId="0" borderId="3" xfId="0" applyNumberFormat="1" applyBorder="1" applyAlignment="1">
      <alignment wrapText="1"/>
    </xf>
    <xf numFmtId="2" fontId="4" fillId="0" borderId="3" xfId="0" applyNumberFormat="1" applyFont="1" applyBorder="1"/>
    <xf numFmtId="0" fontId="18" fillId="0" borderId="0" xfId="8" applyFill="1"/>
    <xf numFmtId="172" fontId="4" fillId="0" borderId="3" xfId="7" applyNumberFormat="1" applyFont="1" applyBorder="1" applyAlignment="1" applyProtection="1"/>
    <xf numFmtId="175" fontId="4" fillId="0" borderId="3" xfId="7" applyNumberFormat="1" applyFont="1" applyBorder="1" applyAlignment="1" applyProtection="1"/>
    <xf numFmtId="0" fontId="18" fillId="0" borderId="3" xfId="8" applyBorder="1" applyAlignment="1">
      <alignment wrapText="1"/>
    </xf>
    <xf numFmtId="176" fontId="4" fillId="0" borderId="3" xfId="7" applyNumberFormat="1" applyFont="1" applyBorder="1" applyAlignment="1" applyProtection="1"/>
    <xf numFmtId="37" fontId="4" fillId="0" borderId="15" xfId="0" applyNumberFormat="1" applyFont="1" applyBorder="1" applyAlignment="1"/>
    <xf numFmtId="0" fontId="11" fillId="0" borderId="33" xfId="1" applyFont="1" applyFill="1" applyBorder="1" applyProtection="1">
      <protection locked="0"/>
    </xf>
    <xf numFmtId="0" fontId="11" fillId="0" borderId="33" xfId="1" applyFont="1" applyFill="1" applyBorder="1" applyAlignment="1">
      <alignment horizontal="left"/>
    </xf>
    <xf numFmtId="18" fontId="11" fillId="0" borderId="33" xfId="1" applyNumberFormat="1" applyFont="1" applyFill="1" applyBorder="1" applyAlignment="1" applyProtection="1">
      <protection locked="0"/>
    </xf>
    <xf numFmtId="170" fontId="11" fillId="0" borderId="33" xfId="5" applyFont="1" applyFill="1" applyBorder="1" applyProtection="1">
      <protection locked="0"/>
    </xf>
    <xf numFmtId="0" fontId="11" fillId="0" borderId="33" xfId="1" applyFont="1" applyFill="1" applyBorder="1" applyAlignment="1" applyProtection="1">
      <alignment horizontal="center"/>
      <protection locked="0"/>
    </xf>
    <xf numFmtId="171" fontId="11" fillId="0" borderId="33" xfId="1" applyNumberFormat="1" applyFont="1" applyFill="1" applyBorder="1" applyAlignment="1">
      <alignment horizontal="right"/>
    </xf>
    <xf numFmtId="0" fontId="11" fillId="0" borderId="33" xfId="1" applyFont="1" applyFill="1" applyBorder="1" applyAlignment="1">
      <alignment horizontal="center"/>
    </xf>
    <xf numFmtId="0" fontId="25" fillId="0" borderId="35" xfId="9" applyFont="1" applyFill="1" applyBorder="1" applyAlignment="1">
      <alignment wrapText="1"/>
    </xf>
    <xf numFmtId="0" fontId="0" fillId="0" borderId="36" xfId="0" applyBorder="1"/>
    <xf numFmtId="0" fontId="25" fillId="0" borderId="36" xfId="0" applyFont="1" applyBorder="1"/>
    <xf numFmtId="0" fontId="25" fillId="0" borderId="36" xfId="9" applyFont="1" applyFill="1" applyBorder="1" applyAlignment="1">
      <alignment wrapText="1"/>
    </xf>
    <xf numFmtId="0" fontId="24" fillId="0" borderId="36" xfId="0" applyFont="1" applyBorder="1" applyAlignment="1">
      <alignment wrapText="1"/>
    </xf>
    <xf numFmtId="0" fontId="24" fillId="0" borderId="32" xfId="0" applyFont="1" applyBorder="1" applyAlignment="1">
      <alignment wrapText="1"/>
    </xf>
    <xf numFmtId="0" fontId="4" fillId="0" borderId="36" xfId="0" applyFont="1" applyBorder="1"/>
    <xf numFmtId="165" fontId="4" fillId="0" borderId="36" xfId="7" applyNumberFormat="1" applyFont="1" applyBorder="1" applyAlignment="1" applyProtection="1"/>
    <xf numFmtId="164" fontId="4" fillId="0" borderId="36" xfId="7" applyNumberFormat="1" applyFont="1" applyBorder="1" applyAlignment="1" applyProtection="1"/>
    <xf numFmtId="2" fontId="4" fillId="0" borderId="36" xfId="7" applyNumberFormat="1" applyFont="1" applyBorder="1" applyAlignment="1" applyProtection="1"/>
    <xf numFmtId="168" fontId="4" fillId="0" borderId="36" xfId="7" applyNumberFormat="1" applyFont="1" applyBorder="1" applyAlignment="1" applyProtection="1"/>
    <xf numFmtId="11" fontId="4" fillId="0" borderId="36" xfId="7" applyNumberFormat="1" applyFont="1" applyBorder="1" applyAlignment="1" applyProtection="1"/>
    <xf numFmtId="0" fontId="18" fillId="0" borderId="3" xfId="8" applyNumberFormat="1" applyBorder="1" applyAlignment="1" applyProtection="1">
      <alignment wrapText="1"/>
    </xf>
    <xf numFmtId="0" fontId="18" fillId="0" borderId="37" xfId="8" applyFill="1" applyBorder="1" applyAlignment="1">
      <alignment wrapText="1"/>
    </xf>
    <xf numFmtId="0" fontId="4" fillId="0" borderId="32" xfId="0" applyFont="1" applyBorder="1"/>
    <xf numFmtId="165" fontId="4" fillId="0" borderId="32" xfId="7" applyNumberFormat="1" applyFont="1" applyBorder="1" applyAlignment="1" applyProtection="1"/>
    <xf numFmtId="164" fontId="4" fillId="0" borderId="32" xfId="7" applyNumberFormat="1" applyFont="1" applyBorder="1" applyAlignment="1" applyProtection="1"/>
    <xf numFmtId="2" fontId="4" fillId="0" borderId="32" xfId="7" applyNumberFormat="1" applyFont="1" applyBorder="1" applyAlignment="1" applyProtection="1"/>
    <xf numFmtId="168" fontId="4" fillId="0" borderId="32" xfId="7" applyNumberFormat="1" applyFont="1" applyBorder="1" applyAlignment="1" applyProtection="1"/>
    <xf numFmtId="11" fontId="4" fillId="0" borderId="32" xfId="7" applyNumberFormat="1" applyFont="1" applyBorder="1" applyAlignment="1" applyProtection="1"/>
    <xf numFmtId="11" fontId="0" fillId="0" borderId="15" xfId="0" applyNumberFormat="1" applyBorder="1"/>
    <xf numFmtId="174" fontId="4" fillId="0" borderId="32" xfId="0" applyNumberFormat="1" applyFont="1" applyBorder="1"/>
    <xf numFmtId="172" fontId="4" fillId="0" borderId="36" xfId="0" applyNumberFormat="1" applyFont="1" applyBorder="1"/>
    <xf numFmtId="172" fontId="0" fillId="0" borderId="15" xfId="0" applyNumberFormat="1" applyBorder="1"/>
    <xf numFmtId="0" fontId="0" fillId="0" borderId="36" xfId="7" applyNumberFormat="1" applyFont="1" applyBorder="1" applyAlignment="1">
      <alignment wrapText="1"/>
    </xf>
    <xf numFmtId="0" fontId="0" fillId="0" borderId="32" xfId="7" applyNumberFormat="1" applyFont="1" applyBorder="1" applyAlignment="1">
      <alignment wrapText="1"/>
    </xf>
    <xf numFmtId="0" fontId="0" fillId="0" borderId="32" xfId="0" applyBorder="1"/>
    <xf numFmtId="176" fontId="4" fillId="0" borderId="32" xfId="7" applyNumberFormat="1" applyFont="1" applyBorder="1" applyAlignment="1" applyProtection="1"/>
    <xf numFmtId="177" fontId="4" fillId="0" borderId="32" xfId="7" applyNumberFormat="1" applyFont="1" applyBorder="1" applyAlignment="1" applyProtection="1"/>
    <xf numFmtId="176" fontId="4" fillId="0" borderId="36" xfId="7" applyNumberFormat="1" applyFont="1" applyBorder="1" applyAlignment="1" applyProtection="1"/>
    <xf numFmtId="0" fontId="4" fillId="0" borderId="34" xfId="0" applyFont="1" applyBorder="1"/>
    <xf numFmtId="2" fontId="4" fillId="0" borderId="32" xfId="0" applyNumberFormat="1" applyFont="1" applyBorder="1"/>
    <xf numFmtId="2" fontId="4" fillId="0" borderId="36" xfId="0" applyNumberFormat="1" applyFont="1" applyBorder="1"/>
    <xf numFmtId="0" fontId="0" fillId="0" borderId="34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6" xfId="0" applyBorder="1" applyAlignment="1">
      <alignment wrapText="1"/>
    </xf>
    <xf numFmtId="165" fontId="4" fillId="0" borderId="36" xfId="7" applyNumberFormat="1" applyFont="1" applyBorder="1" applyAlignment="1" applyProtection="1">
      <alignment wrapText="1"/>
    </xf>
    <xf numFmtId="2" fontId="0" fillId="0" borderId="36" xfId="0" applyNumberFormat="1" applyBorder="1" applyAlignment="1">
      <alignment wrapText="1"/>
    </xf>
    <xf numFmtId="172" fontId="4" fillId="0" borderId="32" xfId="0" applyNumberFormat="1" applyFont="1" applyBorder="1"/>
    <xf numFmtId="178" fontId="4" fillId="0" borderId="3" xfId="0" applyNumberFormat="1" applyFont="1" applyBorder="1" applyAlignment="1"/>
    <xf numFmtId="0" fontId="11" fillId="7" borderId="3" xfId="1" applyFont="1" applyFill="1" applyBorder="1" applyProtection="1">
      <protection locked="0"/>
    </xf>
    <xf numFmtId="0" fontId="11" fillId="7" borderId="3" xfId="1" applyFont="1" applyFill="1" applyBorder="1" applyAlignment="1">
      <alignment horizontal="left"/>
    </xf>
    <xf numFmtId="18" fontId="11" fillId="7" borderId="3" xfId="1" applyNumberFormat="1" applyFont="1" applyFill="1" applyBorder="1" applyAlignment="1" applyProtection="1">
      <protection locked="0"/>
    </xf>
    <xf numFmtId="0" fontId="18" fillId="7" borderId="3" xfId="8" applyFill="1" applyBorder="1" applyAlignment="1">
      <alignment horizontal="left"/>
    </xf>
    <xf numFmtId="171" fontId="11" fillId="7" borderId="3" xfId="5" applyNumberFormat="1" applyFont="1" applyFill="1" applyBorder="1" applyProtection="1">
      <protection locked="0"/>
    </xf>
    <xf numFmtId="37" fontId="11" fillId="7" borderId="3" xfId="1" applyNumberFormat="1" applyFont="1" applyFill="1" applyBorder="1" applyAlignment="1" applyProtection="1">
      <alignment horizontal="center"/>
      <protection locked="0"/>
    </xf>
    <xf numFmtId="171" fontId="11" fillId="7" borderId="3" xfId="1" applyNumberFormat="1" applyFont="1" applyFill="1" applyBorder="1" applyAlignment="1" applyProtection="1">
      <alignment horizontal="center"/>
      <protection locked="0"/>
    </xf>
    <xf numFmtId="171" fontId="11" fillId="7" borderId="3" xfId="1" applyNumberFormat="1" applyFont="1" applyFill="1" applyBorder="1" applyAlignment="1">
      <alignment horizontal="right"/>
    </xf>
    <xf numFmtId="0" fontId="11" fillId="7" borderId="3" xfId="1" applyFont="1" applyFill="1" applyBorder="1" applyAlignment="1">
      <alignment horizontal="center"/>
    </xf>
    <xf numFmtId="0" fontId="11" fillId="8" borderId="3" xfId="1" applyFont="1" applyFill="1" applyBorder="1" applyProtection="1">
      <protection locked="0"/>
    </xf>
    <xf numFmtId="0" fontId="11" fillId="8" borderId="3" xfId="1" applyFont="1" applyFill="1" applyBorder="1" applyAlignment="1">
      <alignment horizontal="left"/>
    </xf>
    <xf numFmtId="18" fontId="11" fillId="8" borderId="3" xfId="1" applyNumberFormat="1" applyFont="1" applyFill="1" applyBorder="1" applyAlignment="1" applyProtection="1">
      <protection locked="0"/>
    </xf>
    <xf numFmtId="0" fontId="18" fillId="8" borderId="3" xfId="8" applyFill="1" applyBorder="1" applyAlignment="1">
      <alignment horizontal="left"/>
    </xf>
    <xf numFmtId="171" fontId="11" fillId="8" borderId="3" xfId="5" applyNumberFormat="1" applyFont="1" applyFill="1" applyBorder="1" applyProtection="1">
      <protection locked="0"/>
    </xf>
    <xf numFmtId="37" fontId="11" fillId="8" borderId="3" xfId="1" applyNumberFormat="1" applyFont="1" applyFill="1" applyBorder="1" applyAlignment="1" applyProtection="1">
      <alignment horizontal="center"/>
      <protection locked="0"/>
    </xf>
    <xf numFmtId="171" fontId="11" fillId="8" borderId="3" xfId="1" applyNumberFormat="1" applyFont="1" applyFill="1" applyBorder="1" applyAlignment="1" applyProtection="1">
      <alignment horizontal="center"/>
      <protection locked="0"/>
    </xf>
    <xf numFmtId="171" fontId="11" fillId="8" borderId="3" xfId="1" applyNumberFormat="1" applyFont="1" applyFill="1" applyBorder="1" applyAlignment="1">
      <alignment horizontal="right"/>
    </xf>
    <xf numFmtId="0" fontId="11" fillId="8" borderId="3" xfId="1" applyFont="1" applyFill="1" applyBorder="1" applyAlignment="1">
      <alignment horizontal="center"/>
    </xf>
    <xf numFmtId="18" fontId="11" fillId="8" borderId="3" xfId="1" applyNumberFormat="1" applyFont="1" applyFill="1" applyBorder="1" applyAlignment="1" applyProtection="1">
      <alignment horizontal="right"/>
      <protection locked="0"/>
    </xf>
    <xf numFmtId="0" fontId="11" fillId="8" borderId="3" xfId="1" applyFont="1" applyFill="1" applyBorder="1" applyAlignment="1" applyProtection="1">
      <alignment horizontal="center"/>
      <protection locked="0"/>
    </xf>
    <xf numFmtId="0" fontId="18" fillId="8" borderId="0" xfId="8" applyFill="1"/>
    <xf numFmtId="11" fontId="11" fillId="8" borderId="3" xfId="1" applyNumberFormat="1" applyFont="1" applyFill="1" applyBorder="1" applyAlignment="1" applyProtection="1">
      <protection locked="0"/>
    </xf>
    <xf numFmtId="0" fontId="3" fillId="9" borderId="15" xfId="0" applyFont="1" applyFill="1" applyBorder="1"/>
    <xf numFmtId="0" fontId="3" fillId="9" borderId="15" xfId="0" applyFont="1" applyFill="1" applyBorder="1" applyAlignment="1">
      <alignment horizontal="left"/>
    </xf>
    <xf numFmtId="0" fontId="3" fillId="9" borderId="2" xfId="0" applyFont="1" applyFill="1" applyBorder="1"/>
    <xf numFmtId="0" fontId="3" fillId="9" borderId="27" xfId="0" applyFont="1" applyFill="1" applyBorder="1"/>
    <xf numFmtId="0" fontId="3" fillId="9" borderId="5" xfId="0" applyFont="1" applyFill="1" applyBorder="1"/>
    <xf numFmtId="0" fontId="3" fillId="9" borderId="3" xfId="0" applyFont="1" applyFill="1" applyBorder="1"/>
    <xf numFmtId="0" fontId="3" fillId="9" borderId="3" xfId="0" applyFont="1" applyFill="1" applyBorder="1" applyAlignment="1">
      <alignment horizontal="right"/>
    </xf>
    <xf numFmtId="165" fontId="3" fillId="9" borderId="5" xfId="0" applyNumberFormat="1" applyFont="1" applyFill="1" applyBorder="1"/>
    <xf numFmtId="0" fontId="3" fillId="9" borderId="21" xfId="0" applyFont="1" applyFill="1" applyBorder="1"/>
    <xf numFmtId="0" fontId="3" fillId="9" borderId="5" xfId="0" applyFont="1" applyFill="1" applyBorder="1" applyAlignment="1">
      <alignment horizontal="right"/>
    </xf>
    <xf numFmtId="0" fontId="3" fillId="10" borderId="15" xfId="0" applyFont="1" applyFill="1" applyBorder="1"/>
    <xf numFmtId="0" fontId="3" fillId="10" borderId="0" xfId="0" applyFont="1" applyFill="1" applyBorder="1"/>
    <xf numFmtId="0" fontId="3" fillId="10" borderId="29" xfId="0" applyFont="1" applyFill="1" applyBorder="1"/>
    <xf numFmtId="0" fontId="3" fillId="10" borderId="15" xfId="0" applyFont="1" applyFill="1" applyBorder="1" applyAlignment="1">
      <alignment horizontal="right"/>
    </xf>
    <xf numFmtId="165" fontId="3" fillId="10" borderId="15" xfId="0" applyNumberFormat="1" applyFont="1" applyFill="1" applyBorder="1"/>
    <xf numFmtId="0" fontId="3" fillId="10" borderId="3" xfId="0" applyFont="1" applyFill="1" applyBorder="1"/>
    <xf numFmtId="0" fontId="3" fillId="10" borderId="28" xfId="0" applyFont="1" applyFill="1" applyBorder="1"/>
    <xf numFmtId="0" fontId="3" fillId="10" borderId="25" xfId="0" applyFont="1" applyFill="1" applyBorder="1"/>
    <xf numFmtId="165" fontId="3" fillId="10" borderId="25" xfId="0" applyNumberFormat="1" applyFont="1" applyFill="1" applyBorder="1"/>
    <xf numFmtId="165" fontId="3" fillId="10" borderId="5" xfId="0" applyNumberFormat="1" applyFont="1" applyFill="1" applyBorder="1"/>
    <xf numFmtId="0" fontId="3" fillId="10" borderId="5" xfId="0" applyFont="1" applyFill="1" applyBorder="1" applyAlignment="1">
      <alignment horizontal="right"/>
    </xf>
    <xf numFmtId="0" fontId="3" fillId="10" borderId="25" xfId="0" applyFont="1" applyFill="1" applyBorder="1" applyAlignment="1">
      <alignment horizontal="right"/>
    </xf>
  </cellXfs>
  <cellStyles count="10">
    <cellStyle name="Comma 2" xfId="5" xr:uid="{00000000-0005-0000-0000-000000000000}"/>
    <cellStyle name="Cost_Green" xfId="4" xr:uid="{00000000-0005-0000-0000-000001000000}"/>
    <cellStyle name="Currency 2" xfId="2" xr:uid="{00000000-0005-0000-0000-000002000000}"/>
    <cellStyle name="Lien hypertexte" xfId="8" builtinId="8"/>
    <cellStyle name="Monétaire 2" xfId="3" xr:uid="{00000000-0005-0000-0000-000004000000}"/>
    <cellStyle name="Normal" xfId="0" builtinId="0"/>
    <cellStyle name="Normal 2" xfId="1" xr:uid="{00000000-0005-0000-0000-000006000000}"/>
    <cellStyle name="Normal 3" xfId="6" xr:uid="{00000000-0005-0000-0000-000007000000}"/>
    <cellStyle name="Normal_Sheet1" xfId="9" xr:uid="{00000000-0005-0000-0000-000008000000}"/>
    <cellStyle name="TableStyleLight1" xfId="7" xr:uid="{00000000-0005-0000-0000-000009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FF"/>
      <color rgb="FFFFCCFF"/>
      <color rgb="FFFF66CC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MS_0100_001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MS_0100_002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MS_0100_003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#MS_0100_004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hyperlink" Target="#MS_0100_005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hyperlink" Target="#MS_0100_006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hyperlink" Target="#MS_0100_007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hyperlink" Target="#MS_0100_008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259081</xdr:colOff>
      <xdr:row>1</xdr:row>
      <xdr:rowOff>106680</xdr:rowOff>
    </xdr:from>
    <xdr:to>
      <xdr:col>9</xdr:col>
      <xdr:colOff>751553</xdr:colOff>
      <xdr:row>31</xdr:row>
      <xdr:rowOff>52307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6BB3A-428C-4723-A06D-12E9A1C6A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9081" y="289560"/>
          <a:ext cx="7716232" cy="5432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289561</xdr:colOff>
      <xdr:row>1</xdr:row>
      <xdr:rowOff>139228</xdr:rowOff>
    </xdr:from>
    <xdr:to>
      <xdr:col>9</xdr:col>
      <xdr:colOff>114301</xdr:colOff>
      <xdr:row>29</xdr:row>
      <xdr:rowOff>71353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216D7C-C9B8-4A4F-9CFC-64075CA42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9561" y="322108"/>
          <a:ext cx="7155180" cy="50527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281940</xdr:colOff>
      <xdr:row>1</xdr:row>
      <xdr:rowOff>114300</xdr:rowOff>
    </xdr:from>
    <xdr:to>
      <xdr:col>10</xdr:col>
      <xdr:colOff>152667</xdr:colOff>
      <xdr:row>31</xdr:row>
      <xdr:rowOff>158982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45D72-4631-443D-A66F-13969CAE0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1940" y="297180"/>
          <a:ext cx="7795527" cy="553108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205740</xdr:colOff>
      <xdr:row>1</xdr:row>
      <xdr:rowOff>114300</xdr:rowOff>
    </xdr:from>
    <xdr:to>
      <xdr:col>9</xdr:col>
      <xdr:colOff>165896</xdr:colOff>
      <xdr:row>29</xdr:row>
      <xdr:rowOff>21822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AB4A4F-3660-412E-919C-60BE9A862A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" y="297180"/>
          <a:ext cx="7092476" cy="50281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281941</xdr:colOff>
      <xdr:row>1</xdr:row>
      <xdr:rowOff>114300</xdr:rowOff>
    </xdr:from>
    <xdr:to>
      <xdr:col>9</xdr:col>
      <xdr:colOff>323163</xdr:colOff>
      <xdr:row>29</xdr:row>
      <xdr:rowOff>75162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246BC9-B7E4-48A3-BB01-D9510784A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1941" y="297180"/>
          <a:ext cx="7173542" cy="508150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259080</xdr:colOff>
      <xdr:row>1</xdr:row>
      <xdr:rowOff>121920</xdr:rowOff>
    </xdr:from>
    <xdr:to>
      <xdr:col>9</xdr:col>
      <xdr:colOff>214743</xdr:colOff>
      <xdr:row>28</xdr:row>
      <xdr:rowOff>158991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D8EDD0-E7D8-42CD-A5E9-839683C18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9080" y="304800"/>
          <a:ext cx="7087983" cy="497483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1</xdr:row>
      <xdr:rowOff>7620</xdr:rowOff>
    </xdr:from>
    <xdr:to>
      <xdr:col>9</xdr:col>
      <xdr:colOff>520563</xdr:colOff>
      <xdr:row>29</xdr:row>
      <xdr:rowOff>172318</xdr:rowOff>
    </xdr:to>
    <xdr:pic>
      <xdr:nvPicPr>
        <xdr:cNvPr id="3" name="Imag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E7F2C-A54B-446A-AF2C-7EED8F265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3360" y="190500"/>
          <a:ext cx="7439523" cy="52853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320040</xdr:colOff>
      <xdr:row>1</xdr:row>
      <xdr:rowOff>76200</xdr:rowOff>
    </xdr:from>
    <xdr:to>
      <xdr:col>9</xdr:col>
      <xdr:colOff>468932</xdr:colOff>
      <xdr:row>29</xdr:row>
      <xdr:rowOff>98027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B74E46-1966-447B-B97A-E9254AF42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0040" y="259080"/>
          <a:ext cx="7281212" cy="51424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82"/>
  <sheetViews>
    <sheetView workbookViewId="0">
      <selection activeCell="H69" sqref="H69"/>
    </sheetView>
  </sheetViews>
  <sheetFormatPr baseColWidth="10" defaultRowHeight="14.4" x14ac:dyDescent="0.3"/>
  <sheetData>
    <row r="1" spans="1:2" x14ac:dyDescent="0.3">
      <c r="A1" s="81" t="s">
        <v>135</v>
      </c>
    </row>
    <row r="3" spans="1:2" x14ac:dyDescent="0.3">
      <c r="A3" s="80" t="s">
        <v>67</v>
      </c>
      <c r="B3" s="77" t="s">
        <v>68</v>
      </c>
    </row>
    <row r="5" spans="1:2" x14ac:dyDescent="0.3">
      <c r="A5" t="s">
        <v>103</v>
      </c>
    </row>
    <row r="6" spans="1:2" x14ac:dyDescent="0.3">
      <c r="A6" t="s">
        <v>104</v>
      </c>
    </row>
    <row r="7" spans="1:2" x14ac:dyDescent="0.3">
      <c r="A7" t="s">
        <v>111</v>
      </c>
    </row>
    <row r="8" spans="1:2" x14ac:dyDescent="0.3">
      <c r="A8" t="s">
        <v>108</v>
      </c>
    </row>
    <row r="9" spans="1:2" x14ac:dyDescent="0.3">
      <c r="A9" t="s">
        <v>69</v>
      </c>
    </row>
    <row r="10" spans="1:2" x14ac:dyDescent="0.3">
      <c r="A10" s="77" t="s">
        <v>99</v>
      </c>
    </row>
    <row r="11" spans="1:2" x14ac:dyDescent="0.3">
      <c r="A11" t="s">
        <v>70</v>
      </c>
    </row>
    <row r="12" spans="1:2" x14ac:dyDescent="0.3">
      <c r="A12" t="s">
        <v>71</v>
      </c>
    </row>
    <row r="14" spans="1:2" x14ac:dyDescent="0.3">
      <c r="A14" t="s">
        <v>102</v>
      </c>
    </row>
    <row r="15" spans="1:2" x14ac:dyDescent="0.3">
      <c r="A15" t="s">
        <v>116</v>
      </c>
    </row>
    <row r="16" spans="1:2" x14ac:dyDescent="0.3">
      <c r="A16" t="s">
        <v>120</v>
      </c>
    </row>
    <row r="18" spans="1:3" x14ac:dyDescent="0.3">
      <c r="A18" s="80" t="s">
        <v>72</v>
      </c>
      <c r="B18" s="77" t="s">
        <v>106</v>
      </c>
      <c r="C18" s="77"/>
    </row>
    <row r="20" spans="1:3" x14ac:dyDescent="0.3">
      <c r="A20" t="s">
        <v>117</v>
      </c>
    </row>
    <row r="21" spans="1:3" x14ac:dyDescent="0.3">
      <c r="A21" t="s">
        <v>136</v>
      </c>
    </row>
    <row r="23" spans="1:3" x14ac:dyDescent="0.3">
      <c r="A23" s="80" t="s">
        <v>74</v>
      </c>
      <c r="B23" s="77" t="s">
        <v>75</v>
      </c>
    </row>
    <row r="25" spans="1:3" x14ac:dyDescent="0.3">
      <c r="A25" t="s">
        <v>128</v>
      </c>
    </row>
    <row r="26" spans="1:3" x14ac:dyDescent="0.3">
      <c r="A26" t="s">
        <v>81</v>
      </c>
    </row>
    <row r="27" spans="1:3" x14ac:dyDescent="0.3">
      <c r="A27" t="s">
        <v>76</v>
      </c>
    </row>
    <row r="28" spans="1:3" x14ac:dyDescent="0.3">
      <c r="A28" t="s">
        <v>112</v>
      </c>
    </row>
    <row r="29" spans="1:3" x14ac:dyDescent="0.3">
      <c r="A29" t="s">
        <v>109</v>
      </c>
    </row>
    <row r="30" spans="1:3" x14ac:dyDescent="0.3">
      <c r="A30" t="s">
        <v>77</v>
      </c>
    </row>
    <row r="31" spans="1:3" x14ac:dyDescent="0.3">
      <c r="A31" s="77" t="s">
        <v>99</v>
      </c>
    </row>
    <row r="32" spans="1:3" x14ac:dyDescent="0.3">
      <c r="A32" t="s">
        <v>110</v>
      </c>
    </row>
    <row r="33" spans="1:2" x14ac:dyDescent="0.3">
      <c r="A33" t="s">
        <v>113</v>
      </c>
    </row>
    <row r="35" spans="1:2" x14ac:dyDescent="0.3">
      <c r="A35" t="s">
        <v>114</v>
      </c>
    </row>
    <row r="36" spans="1:2" x14ac:dyDescent="0.3">
      <c r="A36" t="s">
        <v>115</v>
      </c>
    </row>
    <row r="37" spans="1:2" x14ac:dyDescent="0.3">
      <c r="A37" t="s">
        <v>121</v>
      </c>
    </row>
    <row r="39" spans="1:2" x14ac:dyDescent="0.3">
      <c r="A39" s="80" t="s">
        <v>78</v>
      </c>
      <c r="B39" s="77" t="s">
        <v>73</v>
      </c>
    </row>
    <row r="41" spans="1:2" x14ac:dyDescent="0.3">
      <c r="A41" t="s">
        <v>126</v>
      </c>
    </row>
    <row r="42" spans="1:2" x14ac:dyDescent="0.3">
      <c r="A42" t="s">
        <v>127</v>
      </c>
    </row>
    <row r="43" spans="1:2" x14ac:dyDescent="0.3">
      <c r="A43" t="s">
        <v>105</v>
      </c>
    </row>
    <row r="45" spans="1:2" x14ac:dyDescent="0.3">
      <c r="A45" s="80" t="s">
        <v>79</v>
      </c>
      <c r="B45" s="77" t="s">
        <v>96</v>
      </c>
    </row>
    <row r="47" spans="1:2" x14ac:dyDescent="0.3">
      <c r="A47" t="s">
        <v>129</v>
      </c>
    </row>
    <row r="48" spans="1:2" x14ac:dyDescent="0.3">
      <c r="A48" t="s">
        <v>97</v>
      </c>
    </row>
    <row r="49" spans="1:2" x14ac:dyDescent="0.3">
      <c r="A49" t="s">
        <v>98</v>
      </c>
    </row>
    <row r="50" spans="1:2" x14ac:dyDescent="0.3">
      <c r="A50" t="s">
        <v>118</v>
      </c>
    </row>
    <row r="51" spans="1:2" x14ac:dyDescent="0.3">
      <c r="A51" t="s">
        <v>130</v>
      </c>
    </row>
    <row r="52" spans="1:2" x14ac:dyDescent="0.3">
      <c r="A52" t="s">
        <v>131</v>
      </c>
    </row>
    <row r="53" spans="1:2" x14ac:dyDescent="0.3">
      <c r="A53" t="s">
        <v>100</v>
      </c>
    </row>
    <row r="55" spans="1:2" x14ac:dyDescent="0.3">
      <c r="A55" t="s">
        <v>122</v>
      </c>
    </row>
    <row r="57" spans="1:2" x14ac:dyDescent="0.3">
      <c r="A57" s="80" t="s">
        <v>83</v>
      </c>
      <c r="B57" s="77" t="s">
        <v>80</v>
      </c>
    </row>
    <row r="59" spans="1:2" x14ac:dyDescent="0.3">
      <c r="A59" t="s">
        <v>82</v>
      </c>
    </row>
    <row r="60" spans="1:2" x14ac:dyDescent="0.3">
      <c r="A60" t="s">
        <v>123</v>
      </c>
    </row>
    <row r="61" spans="1:2" x14ac:dyDescent="0.3">
      <c r="A61" t="s">
        <v>119</v>
      </c>
    </row>
    <row r="63" spans="1:2" x14ac:dyDescent="0.3">
      <c r="A63" s="80" t="s">
        <v>95</v>
      </c>
      <c r="B63" s="77" t="s">
        <v>84</v>
      </c>
    </row>
    <row r="65" spans="1:1" x14ac:dyDescent="0.3">
      <c r="A65" t="s">
        <v>85</v>
      </c>
    </row>
    <row r="66" spans="1:1" x14ac:dyDescent="0.3">
      <c r="A66" t="s">
        <v>87</v>
      </c>
    </row>
    <row r="67" spans="1:1" x14ac:dyDescent="0.3">
      <c r="A67" t="s">
        <v>86</v>
      </c>
    </row>
    <row r="68" spans="1:1" x14ac:dyDescent="0.3">
      <c r="A68" t="s">
        <v>88</v>
      </c>
    </row>
    <row r="69" spans="1:1" x14ac:dyDescent="0.3">
      <c r="A69" t="s">
        <v>89</v>
      </c>
    </row>
    <row r="70" spans="1:1" x14ac:dyDescent="0.3">
      <c r="A70" t="s">
        <v>90</v>
      </c>
    </row>
    <row r="71" spans="1:1" x14ac:dyDescent="0.3">
      <c r="A71" t="s">
        <v>124</v>
      </c>
    </row>
    <row r="72" spans="1:1" x14ac:dyDescent="0.3">
      <c r="A72" t="s">
        <v>125</v>
      </c>
    </row>
    <row r="74" spans="1:1" x14ac:dyDescent="0.3">
      <c r="A74" t="s">
        <v>132</v>
      </c>
    </row>
    <row r="75" spans="1:1" x14ac:dyDescent="0.3">
      <c r="A75" t="s">
        <v>91</v>
      </c>
    </row>
    <row r="76" spans="1:1" x14ac:dyDescent="0.3">
      <c r="A76" t="s">
        <v>92</v>
      </c>
    </row>
    <row r="77" spans="1:1" x14ac:dyDescent="0.3">
      <c r="A77" t="s">
        <v>124</v>
      </c>
    </row>
    <row r="78" spans="1:1" x14ac:dyDescent="0.3">
      <c r="A78" t="s">
        <v>125</v>
      </c>
    </row>
    <row r="80" spans="1:1" x14ac:dyDescent="0.3">
      <c r="A80" s="77" t="s">
        <v>101</v>
      </c>
    </row>
    <row r="82" spans="1:1" x14ac:dyDescent="0.3">
      <c r="A82" s="81" t="s">
        <v>107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O18"/>
  <sheetViews>
    <sheetView workbookViewId="0">
      <selection activeCell="H17" activeCellId="9" sqref="A2:A8 D3:D5 J2 J4:J6 M2:M3 M5 A10:N10 M12:N12 A14:I14 H17:I17"/>
    </sheetView>
  </sheetViews>
  <sheetFormatPr baseColWidth="10" defaultColWidth="9.109375" defaultRowHeight="14.4" x14ac:dyDescent="0.3"/>
  <cols>
    <col min="2" max="2" width="33.44140625" bestFit="1" customWidth="1"/>
    <col min="5" max="5" width="11.21875" bestFit="1" customWidth="1"/>
    <col min="7" max="7" width="35.77734375" customWidth="1"/>
    <col min="9" max="9" width="10.6640625" bestFit="1" customWidth="1"/>
    <col min="15" max="15" width="3.109375" customWidth="1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78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79" t="s">
        <v>1</v>
      </c>
      <c r="K2" s="73">
        <v>81</v>
      </c>
      <c r="L2" s="53"/>
      <c r="M2" s="178" t="s">
        <v>16</v>
      </c>
      <c r="N2" s="69">
        <f>MS_0100_004_m+MS_0100_004_p</f>
        <v>3.1699841066880001</v>
      </c>
      <c r="O2" s="59"/>
    </row>
    <row r="3" spans="1:15" x14ac:dyDescent="0.3">
      <c r="A3" s="178" t="s">
        <v>3</v>
      </c>
      <c r="B3" s="11" t="str">
        <f>MS_A0100!B3</f>
        <v>Frame and Body</v>
      </c>
      <c r="C3" s="53"/>
      <c r="D3" s="178" t="s">
        <v>6</v>
      </c>
      <c r="E3" s="79" t="s">
        <v>94</v>
      </c>
      <c r="F3" s="53"/>
      <c r="G3" s="53"/>
      <c r="H3" s="53"/>
      <c r="I3" s="53"/>
      <c r="J3" s="53"/>
      <c r="K3" s="53"/>
      <c r="L3" s="53"/>
      <c r="M3" s="178" t="s">
        <v>4</v>
      </c>
      <c r="N3" s="72">
        <v>2</v>
      </c>
      <c r="O3" s="59"/>
    </row>
    <row r="4" spans="1:15" x14ac:dyDescent="0.3">
      <c r="A4" s="178" t="s">
        <v>5</v>
      </c>
      <c r="B4" s="78" t="str">
        <f>MS_A0100!B4</f>
        <v>Firewall</v>
      </c>
      <c r="C4" s="53"/>
      <c r="D4" s="178" t="s">
        <v>8</v>
      </c>
      <c r="E4" s="53"/>
      <c r="F4" s="53"/>
      <c r="G4" s="53"/>
      <c r="H4" s="53"/>
      <c r="I4" s="53"/>
      <c r="J4" s="180" t="s">
        <v>6</v>
      </c>
      <c r="K4" s="53"/>
      <c r="L4" s="53"/>
      <c r="M4" s="53"/>
      <c r="N4" s="53"/>
      <c r="O4" s="59"/>
    </row>
    <row r="5" spans="1:15" x14ac:dyDescent="0.3">
      <c r="A5" s="178" t="s">
        <v>15</v>
      </c>
      <c r="B5" s="12" t="s">
        <v>160</v>
      </c>
      <c r="C5" s="53"/>
      <c r="D5" s="178" t="s">
        <v>12</v>
      </c>
      <c r="E5" s="53"/>
      <c r="F5" s="53"/>
      <c r="G5" s="53"/>
      <c r="H5" s="53"/>
      <c r="I5" s="53"/>
      <c r="J5" s="180" t="s">
        <v>8</v>
      </c>
      <c r="K5" s="53"/>
      <c r="L5" s="53"/>
      <c r="M5" s="178" t="s">
        <v>9</v>
      </c>
      <c r="N5" s="69">
        <f>N3*N2</f>
        <v>6.3399682133760003</v>
      </c>
      <c r="O5" s="59"/>
    </row>
    <row r="6" spans="1:15" x14ac:dyDescent="0.3">
      <c r="A6" s="178" t="s">
        <v>7</v>
      </c>
      <c r="B6" s="24" t="s">
        <v>168</v>
      </c>
      <c r="C6" s="53"/>
      <c r="D6" s="53"/>
      <c r="E6" s="53"/>
      <c r="F6" s="53"/>
      <c r="G6" s="53"/>
      <c r="H6" s="53"/>
      <c r="I6" s="53"/>
      <c r="J6" s="180" t="s">
        <v>12</v>
      </c>
      <c r="K6" s="53"/>
      <c r="L6" s="53"/>
      <c r="M6" s="53"/>
      <c r="N6" s="53"/>
      <c r="O6" s="59"/>
    </row>
    <row r="7" spans="1:15" x14ac:dyDescent="0.3">
      <c r="A7" s="178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78" t="s">
        <v>13</v>
      </c>
      <c r="B8" s="11" t="s">
        <v>176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4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81" t="s">
        <v>14</v>
      </c>
      <c r="B10" s="182" t="s">
        <v>19</v>
      </c>
      <c r="C10" s="182" t="s">
        <v>20</v>
      </c>
      <c r="D10" s="182" t="s">
        <v>21</v>
      </c>
      <c r="E10" s="182" t="s">
        <v>22</v>
      </c>
      <c r="F10" s="183" t="s">
        <v>23</v>
      </c>
      <c r="G10" s="183" t="s">
        <v>24</v>
      </c>
      <c r="H10" s="183" t="s">
        <v>25</v>
      </c>
      <c r="I10" s="183" t="s">
        <v>26</v>
      </c>
      <c r="J10" s="183" t="s">
        <v>27</v>
      </c>
      <c r="K10" s="183" t="s">
        <v>28</v>
      </c>
      <c r="L10" s="183" t="s">
        <v>29</v>
      </c>
      <c r="M10" s="183" t="s">
        <v>17</v>
      </c>
      <c r="N10" s="183" t="s">
        <v>18</v>
      </c>
      <c r="O10" s="59"/>
    </row>
    <row r="11" spans="1:15" s="18" customFormat="1" x14ac:dyDescent="0.3">
      <c r="A11" s="75">
        <v>10</v>
      </c>
      <c r="B11" s="26" t="s">
        <v>146</v>
      </c>
      <c r="C11" s="15"/>
      <c r="D11" s="28">
        <v>4.2</v>
      </c>
      <c r="E11" s="155">
        <f>J11*K11*L11</f>
        <v>0.29625812064000001</v>
      </c>
      <c r="F11" s="15" t="s">
        <v>208</v>
      </c>
      <c r="G11" s="15"/>
      <c r="H11" s="14"/>
      <c r="I11" s="16" t="s">
        <v>207</v>
      </c>
      <c r="J11" s="105">
        <v>5.4619859999999999E-2</v>
      </c>
      <c r="K11" s="17">
        <v>2E-3</v>
      </c>
      <c r="L11" s="27">
        <v>2712</v>
      </c>
      <c r="M11" s="19">
        <v>1</v>
      </c>
      <c r="N11" s="28">
        <f>IF(J11="",D11*M11,D11*J11*K11*L11*M11)</f>
        <v>1.2442841066879999</v>
      </c>
      <c r="O11" s="62"/>
    </row>
    <row r="12" spans="1:15" x14ac:dyDescent="0.3">
      <c r="A12" s="63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84" t="s">
        <v>18</v>
      </c>
      <c r="N12" s="185">
        <f>SUM(N11:N11)</f>
        <v>1.2442841066879999</v>
      </c>
      <c r="O12" s="59"/>
    </row>
    <row r="13" spans="1:15" x14ac:dyDescent="0.3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3">
      <c r="A14" s="186" t="s">
        <v>14</v>
      </c>
      <c r="B14" s="183" t="s">
        <v>31</v>
      </c>
      <c r="C14" s="183" t="s">
        <v>20</v>
      </c>
      <c r="D14" s="183" t="s">
        <v>21</v>
      </c>
      <c r="E14" s="183" t="s">
        <v>32</v>
      </c>
      <c r="F14" s="183" t="s">
        <v>17</v>
      </c>
      <c r="G14" s="183" t="s">
        <v>33</v>
      </c>
      <c r="H14" s="183" t="s">
        <v>34</v>
      </c>
      <c r="I14" s="183" t="s">
        <v>18</v>
      </c>
      <c r="J14" s="20"/>
      <c r="K14" s="20"/>
      <c r="L14" s="20"/>
      <c r="M14" s="20"/>
      <c r="N14" s="20"/>
      <c r="O14" s="59"/>
    </row>
    <row r="15" spans="1:15" s="21" customFormat="1" x14ac:dyDescent="0.3">
      <c r="A15" s="149">
        <v>10</v>
      </c>
      <c r="B15" s="116" t="s">
        <v>45</v>
      </c>
      <c r="C15" s="150"/>
      <c r="D15" s="30">
        <v>1.3</v>
      </c>
      <c r="E15" s="23" t="s">
        <v>35</v>
      </c>
      <c r="F15" s="101">
        <v>1</v>
      </c>
      <c r="G15" s="29" t="s">
        <v>205</v>
      </c>
      <c r="H15" s="29">
        <v>0.5</v>
      </c>
      <c r="I15" s="30">
        <f t="shared" ref="I15:I16" si="0">IF(H15="",D15*F15,D15*F15*H15)</f>
        <v>0.65</v>
      </c>
      <c r="J15" s="55"/>
      <c r="K15" s="55"/>
      <c r="L15" s="55"/>
      <c r="M15" s="55"/>
      <c r="N15" s="55"/>
      <c r="O15" s="64"/>
    </row>
    <row r="16" spans="1:15" x14ac:dyDescent="0.3">
      <c r="A16" s="122">
        <v>20</v>
      </c>
      <c r="B16" s="119" t="s">
        <v>46</v>
      </c>
      <c r="C16" s="122"/>
      <c r="D16" s="28">
        <v>0.01</v>
      </c>
      <c r="E16" s="13" t="s">
        <v>47</v>
      </c>
      <c r="F16" s="102">
        <v>127.57</v>
      </c>
      <c r="G16" s="23" t="s">
        <v>214</v>
      </c>
      <c r="H16" s="22">
        <v>1</v>
      </c>
      <c r="I16" s="28">
        <f t="shared" si="0"/>
        <v>1.2757000000000001</v>
      </c>
      <c r="J16" s="53"/>
      <c r="K16" s="53"/>
      <c r="L16" s="53"/>
      <c r="M16" s="53"/>
      <c r="N16" s="53"/>
      <c r="O16" s="59"/>
    </row>
    <row r="17" spans="1:15" x14ac:dyDescent="0.3">
      <c r="A17" s="63"/>
      <c r="B17" s="20"/>
      <c r="C17" s="20"/>
      <c r="D17" s="20"/>
      <c r="E17" s="20"/>
      <c r="F17" s="20"/>
      <c r="G17" s="20"/>
      <c r="H17" s="187" t="s">
        <v>18</v>
      </c>
      <c r="I17" s="185">
        <f>SUM(I15:I16)</f>
        <v>1.9257</v>
      </c>
      <c r="J17" s="20"/>
      <c r="K17" s="20"/>
      <c r="L17" s="20"/>
      <c r="M17" s="20"/>
      <c r="N17" s="20"/>
      <c r="O17" s="59"/>
    </row>
    <row r="18" spans="1:15" ht="15" thickBot="1" x14ac:dyDescent="0.35">
      <c r="A18" s="65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7"/>
    </row>
  </sheetData>
  <hyperlinks>
    <hyperlink ref="B4" location="MS_A0100!A1" display="MS_A0100!A1" xr:uid="{00000000-0004-0000-0900-000000000000}"/>
    <hyperlink ref="E3" location="dMS_0100_004!A1" display="Drawing" xr:uid="{00000000-0004-0000-0900-000001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B1"/>
  <sheetViews>
    <sheetView workbookViewId="0"/>
  </sheetViews>
  <sheetFormatPr baseColWidth="10" defaultRowHeight="14.4" x14ac:dyDescent="0.3"/>
  <sheetData>
    <row r="1" spans="1:2" x14ac:dyDescent="0.3">
      <c r="A1" t="s">
        <v>152</v>
      </c>
      <c r="B1" s="79" t="s">
        <v>168</v>
      </c>
    </row>
  </sheetData>
  <hyperlinks>
    <hyperlink ref="B1" location="MS_0100_004!A1" display="FR_0300_003" xr:uid="{00000000-0004-0000-0A00-000000000000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-0.249977111117893"/>
  </sheetPr>
  <dimension ref="A1:O18"/>
  <sheetViews>
    <sheetView workbookViewId="0">
      <selection activeCell="H17" activeCellId="9" sqref="A2:A8 D3:D5 J2 J4:J6 M2:M3 M5 A10:N10 M12:N12 A14:I14 H17:I17"/>
    </sheetView>
  </sheetViews>
  <sheetFormatPr baseColWidth="10" defaultColWidth="9.109375" defaultRowHeight="14.4" x14ac:dyDescent="0.3"/>
  <cols>
    <col min="2" max="2" width="33.44140625" bestFit="1" customWidth="1"/>
    <col min="5" max="5" width="11.21875" bestFit="1" customWidth="1"/>
    <col min="7" max="7" width="36.21875" customWidth="1"/>
    <col min="9" max="9" width="10.6640625" bestFit="1" customWidth="1"/>
    <col min="15" max="15" width="3.109375" customWidth="1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78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79" t="s">
        <v>1</v>
      </c>
      <c r="K2" s="73">
        <v>81</v>
      </c>
      <c r="L2" s="53"/>
      <c r="M2" s="178" t="s">
        <v>16</v>
      </c>
      <c r="N2" s="69">
        <f>MS_0100_005_m+MS_0100_005_p</f>
        <v>2.1490635408992</v>
      </c>
      <c r="O2" s="59"/>
    </row>
    <row r="3" spans="1:15" x14ac:dyDescent="0.3">
      <c r="A3" s="178" t="s">
        <v>3</v>
      </c>
      <c r="B3" s="11" t="str">
        <f>MS_A0100!B3</f>
        <v>Frame and Body</v>
      </c>
      <c r="C3" s="53"/>
      <c r="D3" s="178" t="s">
        <v>6</v>
      </c>
      <c r="E3" s="79" t="s">
        <v>94</v>
      </c>
      <c r="F3" s="53"/>
      <c r="G3" s="53"/>
      <c r="H3" s="53"/>
      <c r="I3" s="53"/>
      <c r="J3" s="53"/>
      <c r="K3" s="53"/>
      <c r="L3" s="53"/>
      <c r="M3" s="178" t="s">
        <v>4</v>
      </c>
      <c r="N3" s="72">
        <v>2</v>
      </c>
      <c r="O3" s="59"/>
    </row>
    <row r="4" spans="1:15" x14ac:dyDescent="0.3">
      <c r="A4" s="178" t="s">
        <v>5</v>
      </c>
      <c r="B4" s="78" t="str">
        <f>MS_A0100!B4</f>
        <v>Firewall</v>
      </c>
      <c r="C4" s="53"/>
      <c r="D4" s="178" t="s">
        <v>8</v>
      </c>
      <c r="E4" s="53"/>
      <c r="F4" s="53"/>
      <c r="G4" s="53"/>
      <c r="H4" s="53"/>
      <c r="I4" s="53"/>
      <c r="J4" s="180" t="s">
        <v>6</v>
      </c>
      <c r="K4" s="53"/>
      <c r="L4" s="53"/>
      <c r="M4" s="53"/>
      <c r="N4" s="53"/>
      <c r="O4" s="59"/>
    </row>
    <row r="5" spans="1:15" x14ac:dyDescent="0.3">
      <c r="A5" s="178" t="s">
        <v>15</v>
      </c>
      <c r="B5" s="12" t="s">
        <v>159</v>
      </c>
      <c r="C5" s="53"/>
      <c r="D5" s="178" t="s">
        <v>12</v>
      </c>
      <c r="E5" s="53"/>
      <c r="F5" s="53"/>
      <c r="G5" s="53"/>
      <c r="H5" s="53"/>
      <c r="I5" s="53"/>
      <c r="J5" s="180" t="s">
        <v>8</v>
      </c>
      <c r="K5" s="53"/>
      <c r="L5" s="53"/>
      <c r="M5" s="178" t="s">
        <v>9</v>
      </c>
      <c r="N5" s="69">
        <f>N3*N2</f>
        <v>4.2981270817984001</v>
      </c>
      <c r="O5" s="59"/>
    </row>
    <row r="6" spans="1:15" x14ac:dyDescent="0.3">
      <c r="A6" s="178" t="s">
        <v>7</v>
      </c>
      <c r="B6" s="24" t="s">
        <v>181</v>
      </c>
      <c r="C6" s="53"/>
      <c r="D6" s="53"/>
      <c r="E6" s="53"/>
      <c r="F6" s="53"/>
      <c r="G6" s="53"/>
      <c r="H6" s="53"/>
      <c r="I6" s="53"/>
      <c r="J6" s="180" t="s">
        <v>12</v>
      </c>
      <c r="K6" s="53"/>
      <c r="L6" s="53"/>
      <c r="M6" s="53"/>
      <c r="N6" s="53"/>
      <c r="O6" s="59"/>
    </row>
    <row r="7" spans="1:15" x14ac:dyDescent="0.3">
      <c r="A7" s="178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78" t="s">
        <v>13</v>
      </c>
      <c r="B8" s="11" t="s">
        <v>177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4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81" t="s">
        <v>14</v>
      </c>
      <c r="B10" s="182" t="s">
        <v>19</v>
      </c>
      <c r="C10" s="182" t="s">
        <v>20</v>
      </c>
      <c r="D10" s="182" t="s">
        <v>21</v>
      </c>
      <c r="E10" s="182" t="s">
        <v>22</v>
      </c>
      <c r="F10" s="183" t="s">
        <v>23</v>
      </c>
      <c r="G10" s="183" t="s">
        <v>24</v>
      </c>
      <c r="H10" s="183" t="s">
        <v>25</v>
      </c>
      <c r="I10" s="183" t="s">
        <v>26</v>
      </c>
      <c r="J10" s="183" t="s">
        <v>27</v>
      </c>
      <c r="K10" s="183" t="s">
        <v>28</v>
      </c>
      <c r="L10" s="183" t="s">
        <v>29</v>
      </c>
      <c r="M10" s="183" t="s">
        <v>17</v>
      </c>
      <c r="N10" s="183" t="s">
        <v>18</v>
      </c>
      <c r="O10" s="59"/>
    </row>
    <row r="11" spans="1:15" s="18" customFormat="1" x14ac:dyDescent="0.3">
      <c r="A11" s="75">
        <v>10</v>
      </c>
      <c r="B11" s="26" t="s">
        <v>146</v>
      </c>
      <c r="C11" s="15"/>
      <c r="D11" s="28">
        <v>4.2</v>
      </c>
      <c r="E11" s="155">
        <f>J11*K11*L11</f>
        <v>0.121705604976</v>
      </c>
      <c r="F11" s="15" t="s">
        <v>208</v>
      </c>
      <c r="G11" s="15"/>
      <c r="H11" s="14"/>
      <c r="I11" s="16" t="s">
        <v>207</v>
      </c>
      <c r="J11" s="105">
        <v>2.2438349E-2</v>
      </c>
      <c r="K11" s="17">
        <v>2E-3</v>
      </c>
      <c r="L11" s="27">
        <v>2712</v>
      </c>
      <c r="M11" s="19">
        <v>1</v>
      </c>
      <c r="N11" s="28">
        <f>IF(J11="",D11*M11,D11*J11*K11*L11*M11)</f>
        <v>0.51116354089920002</v>
      </c>
      <c r="O11" s="62"/>
    </row>
    <row r="12" spans="1:15" x14ac:dyDescent="0.3">
      <c r="A12" s="63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84" t="s">
        <v>18</v>
      </c>
      <c r="N12" s="185">
        <f>SUM(N11:N11)</f>
        <v>0.51116354089920002</v>
      </c>
      <c r="O12" s="59"/>
    </row>
    <row r="13" spans="1:15" x14ac:dyDescent="0.3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3">
      <c r="A14" s="186" t="s">
        <v>14</v>
      </c>
      <c r="B14" s="183" t="s">
        <v>31</v>
      </c>
      <c r="C14" s="183" t="s">
        <v>20</v>
      </c>
      <c r="D14" s="183" t="s">
        <v>21</v>
      </c>
      <c r="E14" s="183" t="s">
        <v>32</v>
      </c>
      <c r="F14" s="183" t="s">
        <v>17</v>
      </c>
      <c r="G14" s="183" t="s">
        <v>33</v>
      </c>
      <c r="H14" s="183" t="s">
        <v>34</v>
      </c>
      <c r="I14" s="183" t="s">
        <v>18</v>
      </c>
      <c r="J14" s="20"/>
      <c r="K14" s="20"/>
      <c r="L14" s="20"/>
      <c r="M14" s="20"/>
      <c r="N14" s="20"/>
      <c r="O14" s="59"/>
    </row>
    <row r="15" spans="1:15" s="21" customFormat="1" x14ac:dyDescent="0.3">
      <c r="A15" s="149">
        <v>10</v>
      </c>
      <c r="B15" s="116" t="s">
        <v>45</v>
      </c>
      <c r="C15" s="150"/>
      <c r="D15" s="30">
        <v>1.3</v>
      </c>
      <c r="E15" s="23" t="s">
        <v>35</v>
      </c>
      <c r="F15" s="101">
        <v>1</v>
      </c>
      <c r="G15" s="29" t="s">
        <v>205</v>
      </c>
      <c r="H15" s="29">
        <v>0.5</v>
      </c>
      <c r="I15" s="30">
        <f t="shared" ref="I15:I16" si="0">IF(H15="",D15*F15,D15*F15*H15)</f>
        <v>0.65</v>
      </c>
      <c r="J15" s="55"/>
      <c r="K15" s="55"/>
      <c r="L15" s="55"/>
      <c r="M15" s="55"/>
      <c r="N15" s="55"/>
      <c r="O15" s="64"/>
    </row>
    <row r="16" spans="1:15" x14ac:dyDescent="0.3">
      <c r="A16" s="122">
        <v>20</v>
      </c>
      <c r="B16" s="119" t="s">
        <v>46</v>
      </c>
      <c r="C16" s="122"/>
      <c r="D16" s="28">
        <v>0.01</v>
      </c>
      <c r="E16" s="13" t="s">
        <v>47</v>
      </c>
      <c r="F16" s="102">
        <v>98.79</v>
      </c>
      <c r="G16" s="23" t="s">
        <v>214</v>
      </c>
      <c r="H16" s="22">
        <v>1</v>
      </c>
      <c r="I16" s="28">
        <f t="shared" si="0"/>
        <v>0.98790000000000011</v>
      </c>
      <c r="J16" s="53"/>
      <c r="K16" s="53"/>
      <c r="L16" s="53"/>
      <c r="M16" s="53"/>
      <c r="N16" s="53"/>
      <c r="O16" s="59"/>
    </row>
    <row r="17" spans="1:15" x14ac:dyDescent="0.3">
      <c r="A17" s="63"/>
      <c r="B17" s="20"/>
      <c r="C17" s="20"/>
      <c r="D17" s="20"/>
      <c r="E17" s="20"/>
      <c r="F17" s="20"/>
      <c r="G17" s="20"/>
      <c r="H17" s="187" t="s">
        <v>18</v>
      </c>
      <c r="I17" s="185">
        <f>SUM(I15:I16)</f>
        <v>1.6379000000000001</v>
      </c>
      <c r="J17" s="20"/>
      <c r="K17" s="20"/>
      <c r="L17" s="20"/>
      <c r="M17" s="20"/>
      <c r="N17" s="20"/>
      <c r="O17" s="59"/>
    </row>
    <row r="18" spans="1:15" ht="15" thickBot="1" x14ac:dyDescent="0.35">
      <c r="A18" s="65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7"/>
    </row>
  </sheetData>
  <hyperlinks>
    <hyperlink ref="B4" location="MS_A0100!A1" display="MS_A0100!A1" xr:uid="{00000000-0004-0000-0B00-000000000000}"/>
    <hyperlink ref="E3" location="dMS_0100_005!A1" display="Drawing" xr:uid="{00000000-0004-0000-0B00-000001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 tint="-0.249977111117893"/>
  </sheetPr>
  <dimension ref="A1:B1"/>
  <sheetViews>
    <sheetView workbookViewId="0">
      <selection activeCell="B2" sqref="B2"/>
    </sheetView>
  </sheetViews>
  <sheetFormatPr baseColWidth="10" defaultRowHeight="14.4" x14ac:dyDescent="0.3"/>
  <sheetData>
    <row r="1" spans="1:2" x14ac:dyDescent="0.3">
      <c r="A1" t="s">
        <v>152</v>
      </c>
      <c r="B1" s="79" t="s">
        <v>181</v>
      </c>
    </row>
  </sheetData>
  <hyperlinks>
    <hyperlink ref="B1" location="MS_0100_005!A1" display="FR_0300_004" xr:uid="{00000000-0004-0000-0C00-000000000000}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7" tint="-0.249977111117893"/>
  </sheetPr>
  <dimension ref="A1:O18"/>
  <sheetViews>
    <sheetView workbookViewId="0">
      <selection activeCell="H17" activeCellId="9" sqref="A2:A8 D3:D5 J2 J4:J6 M2:M3 M5 A10:N10 M12:N12 A14:I14 H17:I17"/>
    </sheetView>
  </sheetViews>
  <sheetFormatPr baseColWidth="10" defaultColWidth="9.109375" defaultRowHeight="14.4" x14ac:dyDescent="0.3"/>
  <cols>
    <col min="2" max="2" width="33.44140625" bestFit="1" customWidth="1"/>
    <col min="5" max="5" width="11.21875" bestFit="1" customWidth="1"/>
    <col min="7" max="7" width="33.109375" bestFit="1" customWidth="1"/>
    <col min="9" max="9" width="10.6640625" bestFit="1" customWidth="1"/>
    <col min="15" max="15" width="3.109375" customWidth="1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78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79" t="s">
        <v>1</v>
      </c>
      <c r="K2" s="73">
        <v>81</v>
      </c>
      <c r="L2" s="53"/>
      <c r="M2" s="178" t="s">
        <v>16</v>
      </c>
      <c r="N2" s="69">
        <f>MS_0100_006_m+MS_0100_006_p</f>
        <v>5.1693714775000004</v>
      </c>
      <c r="O2" s="59"/>
    </row>
    <row r="3" spans="1:15" x14ac:dyDescent="0.3">
      <c r="A3" s="178" t="s">
        <v>3</v>
      </c>
      <c r="B3" s="11" t="str">
        <f>MS_A0100!B3</f>
        <v>Frame and Body</v>
      </c>
      <c r="C3" s="53"/>
      <c r="D3" s="178" t="s">
        <v>6</v>
      </c>
      <c r="E3" s="79" t="s">
        <v>94</v>
      </c>
      <c r="F3" s="53"/>
      <c r="G3" s="53"/>
      <c r="H3" s="53"/>
      <c r="I3" s="53"/>
      <c r="J3" s="53"/>
      <c r="K3" s="53"/>
      <c r="L3" s="53"/>
      <c r="M3" s="178" t="s">
        <v>4</v>
      </c>
      <c r="N3" s="72">
        <v>2</v>
      </c>
      <c r="O3" s="59"/>
    </row>
    <row r="4" spans="1:15" x14ac:dyDescent="0.3">
      <c r="A4" s="178" t="s">
        <v>5</v>
      </c>
      <c r="B4" s="78" t="str">
        <f>MS_A0100!B4</f>
        <v>Firewall</v>
      </c>
      <c r="C4" s="53"/>
      <c r="D4" s="178" t="s">
        <v>8</v>
      </c>
      <c r="E4" s="53"/>
      <c r="F4" s="53"/>
      <c r="G4" s="53"/>
      <c r="H4" s="53"/>
      <c r="I4" s="53"/>
      <c r="J4" s="180" t="s">
        <v>6</v>
      </c>
      <c r="K4" s="53"/>
      <c r="L4" s="53"/>
      <c r="M4" s="53"/>
      <c r="N4" s="53"/>
      <c r="O4" s="59"/>
    </row>
    <row r="5" spans="1:15" x14ac:dyDescent="0.3">
      <c r="A5" s="178" t="s">
        <v>15</v>
      </c>
      <c r="B5" s="12" t="s">
        <v>164</v>
      </c>
      <c r="C5" s="53"/>
      <c r="D5" s="178" t="s">
        <v>12</v>
      </c>
      <c r="E5" s="53"/>
      <c r="F5" s="53"/>
      <c r="G5" s="53"/>
      <c r="H5" s="53"/>
      <c r="I5" s="53"/>
      <c r="J5" s="180" t="s">
        <v>8</v>
      </c>
      <c r="K5" s="53"/>
      <c r="L5" s="53"/>
      <c r="M5" s="178" t="s">
        <v>9</v>
      </c>
      <c r="N5" s="69">
        <f>N3*N2</f>
        <v>10.338742955000001</v>
      </c>
      <c r="O5" s="59"/>
    </row>
    <row r="6" spans="1:15" x14ac:dyDescent="0.3">
      <c r="A6" s="178" t="s">
        <v>7</v>
      </c>
      <c r="B6" s="24" t="s">
        <v>169</v>
      </c>
      <c r="C6" s="53"/>
      <c r="D6" s="53"/>
      <c r="E6" s="53"/>
      <c r="F6" s="53"/>
      <c r="G6" s="53"/>
      <c r="H6" s="53"/>
      <c r="I6" s="53"/>
      <c r="J6" s="180" t="s">
        <v>12</v>
      </c>
      <c r="K6" s="53"/>
      <c r="L6" s="53"/>
      <c r="M6" s="53"/>
      <c r="N6" s="53"/>
      <c r="O6" s="59"/>
    </row>
    <row r="7" spans="1:15" x14ac:dyDescent="0.3">
      <c r="A7" s="178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78" t="s">
        <v>13</v>
      </c>
      <c r="B8" s="11" t="s">
        <v>178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4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81" t="s">
        <v>14</v>
      </c>
      <c r="B10" s="182" t="s">
        <v>19</v>
      </c>
      <c r="C10" s="182" t="s">
        <v>20</v>
      </c>
      <c r="D10" s="182" t="s">
        <v>21</v>
      </c>
      <c r="E10" s="182" t="s">
        <v>22</v>
      </c>
      <c r="F10" s="183" t="s">
        <v>23</v>
      </c>
      <c r="G10" s="183" t="s">
        <v>24</v>
      </c>
      <c r="H10" s="183" t="s">
        <v>25</v>
      </c>
      <c r="I10" s="183" t="s">
        <v>26</v>
      </c>
      <c r="J10" s="183" t="s">
        <v>27</v>
      </c>
      <c r="K10" s="183" t="s">
        <v>28</v>
      </c>
      <c r="L10" s="183" t="s">
        <v>29</v>
      </c>
      <c r="M10" s="183" t="s">
        <v>17</v>
      </c>
      <c r="N10" s="183" t="s">
        <v>18</v>
      </c>
      <c r="O10" s="59"/>
    </row>
    <row r="11" spans="1:15" s="18" customFormat="1" x14ac:dyDescent="0.3">
      <c r="A11" s="75">
        <v>10</v>
      </c>
      <c r="B11" s="26" t="s">
        <v>151</v>
      </c>
      <c r="C11" s="15"/>
      <c r="D11" s="28">
        <v>2.25</v>
      </c>
      <c r="E11" s="155">
        <f>J11*K11*L11</f>
        <v>1.3688939899999999</v>
      </c>
      <c r="F11" s="15" t="s">
        <v>208</v>
      </c>
      <c r="G11" s="15"/>
      <c r="H11" s="14"/>
      <c r="I11" s="16" t="s">
        <v>150</v>
      </c>
      <c r="J11" s="86">
        <v>8.7190699999999996E-2</v>
      </c>
      <c r="K11" s="17">
        <v>2E-3</v>
      </c>
      <c r="L11" s="27">
        <v>7850</v>
      </c>
      <c r="M11" s="19">
        <v>1</v>
      </c>
      <c r="N11" s="28">
        <f>IF(J11="",D11*M11,D11*J11*K11*L11*M11)</f>
        <v>3.0800114774999998</v>
      </c>
      <c r="O11" s="62"/>
    </row>
    <row r="12" spans="1:15" x14ac:dyDescent="0.3">
      <c r="A12" s="63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84" t="s">
        <v>18</v>
      </c>
      <c r="N12" s="185">
        <f>SUM(N11:N11)</f>
        <v>3.0800114774999998</v>
      </c>
      <c r="O12" s="59"/>
    </row>
    <row r="13" spans="1:15" x14ac:dyDescent="0.3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3">
      <c r="A14" s="186" t="s">
        <v>14</v>
      </c>
      <c r="B14" s="183" t="s">
        <v>31</v>
      </c>
      <c r="C14" s="183" t="s">
        <v>20</v>
      </c>
      <c r="D14" s="183" t="s">
        <v>21</v>
      </c>
      <c r="E14" s="183" t="s">
        <v>32</v>
      </c>
      <c r="F14" s="183" t="s">
        <v>17</v>
      </c>
      <c r="G14" s="183" t="s">
        <v>33</v>
      </c>
      <c r="H14" s="183" t="s">
        <v>34</v>
      </c>
      <c r="I14" s="183" t="s">
        <v>18</v>
      </c>
      <c r="J14" s="20"/>
      <c r="K14" s="20"/>
      <c r="L14" s="20"/>
      <c r="M14" s="20"/>
      <c r="N14" s="20"/>
      <c r="O14" s="59"/>
    </row>
    <row r="15" spans="1:15" s="21" customFormat="1" x14ac:dyDescent="0.3">
      <c r="A15" s="151">
        <v>10</v>
      </c>
      <c r="B15" s="119" t="s">
        <v>45</v>
      </c>
      <c r="C15" s="151"/>
      <c r="D15" s="30">
        <v>1.3</v>
      </c>
      <c r="E15" s="23" t="s">
        <v>35</v>
      </c>
      <c r="F15" s="101">
        <v>1</v>
      </c>
      <c r="G15" s="29" t="s">
        <v>205</v>
      </c>
      <c r="H15" s="29">
        <v>0.5</v>
      </c>
      <c r="I15" s="30">
        <f t="shared" ref="I15:I16" si="0">IF(H15="",D15*F15,D15*F15*H15)</f>
        <v>0.65</v>
      </c>
      <c r="J15" s="55"/>
      <c r="K15" s="55"/>
      <c r="L15" s="55"/>
      <c r="M15" s="55"/>
      <c r="N15" s="55"/>
      <c r="O15" s="64"/>
    </row>
    <row r="16" spans="1:15" x14ac:dyDescent="0.3">
      <c r="A16" s="122">
        <v>20</v>
      </c>
      <c r="B16" s="119" t="s">
        <v>46</v>
      </c>
      <c r="C16" s="122"/>
      <c r="D16" s="28">
        <v>0.01</v>
      </c>
      <c r="E16" s="13" t="s">
        <v>47</v>
      </c>
      <c r="F16" s="102">
        <v>143.93600000000001</v>
      </c>
      <c r="G16" s="23" t="s">
        <v>214</v>
      </c>
      <c r="H16" s="22">
        <v>1</v>
      </c>
      <c r="I16" s="28">
        <f t="shared" si="0"/>
        <v>1.4393600000000002</v>
      </c>
      <c r="J16" s="53"/>
      <c r="K16" s="53"/>
      <c r="L16" s="53"/>
      <c r="M16" s="53"/>
      <c r="N16" s="53"/>
      <c r="O16" s="59"/>
    </row>
    <row r="17" spans="1:15" x14ac:dyDescent="0.3">
      <c r="A17" s="63"/>
      <c r="B17" s="20"/>
      <c r="C17" s="20"/>
      <c r="D17" s="20"/>
      <c r="E17" s="20"/>
      <c r="F17" s="20"/>
      <c r="G17" s="20"/>
      <c r="H17" s="187" t="s">
        <v>18</v>
      </c>
      <c r="I17" s="185">
        <f>SUM(I15:I16)</f>
        <v>2.0893600000000001</v>
      </c>
      <c r="J17" s="20"/>
      <c r="K17" s="20"/>
      <c r="L17" s="20"/>
      <c r="M17" s="20"/>
      <c r="N17" s="20"/>
      <c r="O17" s="59"/>
    </row>
    <row r="18" spans="1:15" ht="15" thickBot="1" x14ac:dyDescent="0.35">
      <c r="A18" s="65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7"/>
    </row>
  </sheetData>
  <hyperlinks>
    <hyperlink ref="B4" location="MS_A0100!A1" display="MS_A0100!A1" xr:uid="{00000000-0004-0000-0D00-000000000000}"/>
    <hyperlink ref="E3" location="dMS_0100_006!A1" display="Drawing" xr:uid="{00000000-0004-0000-0D00-000001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7" tint="-0.249977111117893"/>
  </sheetPr>
  <dimension ref="A1:B1"/>
  <sheetViews>
    <sheetView workbookViewId="0"/>
  </sheetViews>
  <sheetFormatPr baseColWidth="10" defaultRowHeight="14.4" x14ac:dyDescent="0.3"/>
  <sheetData>
    <row r="1" spans="1:2" x14ac:dyDescent="0.3">
      <c r="A1" t="s">
        <v>152</v>
      </c>
      <c r="B1" s="79" t="s">
        <v>169</v>
      </c>
    </row>
  </sheetData>
  <hyperlinks>
    <hyperlink ref="B1" location="MS_0100_006!A1" display="FR_0300_005" xr:uid="{00000000-0004-0000-0E00-000000000000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7" tint="-0.249977111117893"/>
  </sheetPr>
  <dimension ref="A1:O18"/>
  <sheetViews>
    <sheetView workbookViewId="0">
      <selection activeCell="B4" sqref="B4"/>
    </sheetView>
  </sheetViews>
  <sheetFormatPr baseColWidth="10" defaultColWidth="9.109375" defaultRowHeight="14.4" x14ac:dyDescent="0.3"/>
  <cols>
    <col min="2" max="2" width="34.6640625" bestFit="1" customWidth="1"/>
    <col min="5" max="5" width="11.21875" bestFit="1" customWidth="1"/>
    <col min="7" max="7" width="34.109375" customWidth="1"/>
    <col min="9" max="9" width="10.77734375" bestFit="1" customWidth="1"/>
    <col min="10" max="10" width="10.44140625" bestFit="1" customWidth="1"/>
    <col min="14" max="14" width="10.33203125" bestFit="1" customWidth="1"/>
    <col min="15" max="15" width="3.109375" customWidth="1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78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79" t="s">
        <v>1</v>
      </c>
      <c r="K2" s="73">
        <v>81</v>
      </c>
      <c r="L2" s="53"/>
      <c r="M2" s="178" t="s">
        <v>16</v>
      </c>
      <c r="N2" s="69">
        <f>MS_0100_007_m+MS_0100_007_p</f>
        <v>0.61744426503954442</v>
      </c>
      <c r="O2" s="59"/>
    </row>
    <row r="3" spans="1:15" x14ac:dyDescent="0.3">
      <c r="A3" s="178" t="s">
        <v>3</v>
      </c>
      <c r="B3" s="11" t="str">
        <f>MS_A0100!B3</f>
        <v>Frame and Body</v>
      </c>
      <c r="C3" s="53"/>
      <c r="D3" s="178" t="s">
        <v>6</v>
      </c>
      <c r="E3" s="79" t="s">
        <v>94</v>
      </c>
      <c r="F3" s="53"/>
      <c r="G3" s="53"/>
      <c r="H3" s="53"/>
      <c r="I3" s="53"/>
      <c r="J3" s="53"/>
      <c r="K3" s="53"/>
      <c r="L3" s="53"/>
      <c r="M3" s="178" t="s">
        <v>4</v>
      </c>
      <c r="N3" s="72">
        <v>4</v>
      </c>
      <c r="O3" s="59"/>
    </row>
    <row r="4" spans="1:15" x14ac:dyDescent="0.3">
      <c r="A4" s="178" t="s">
        <v>5</v>
      </c>
      <c r="B4" s="78" t="str">
        <f>MS_A0100!B4</f>
        <v>Firewall</v>
      </c>
      <c r="C4" s="53"/>
      <c r="D4" s="178" t="s">
        <v>8</v>
      </c>
      <c r="E4" s="53"/>
      <c r="F4" s="53"/>
      <c r="G4" s="53"/>
      <c r="H4" s="53"/>
      <c r="I4" s="53"/>
      <c r="J4" s="180" t="s">
        <v>6</v>
      </c>
      <c r="K4" s="53"/>
      <c r="L4" s="53"/>
      <c r="M4" s="53"/>
      <c r="N4" s="53"/>
      <c r="O4" s="59"/>
    </row>
    <row r="5" spans="1:15" x14ac:dyDescent="0.3">
      <c r="A5" s="178" t="s">
        <v>15</v>
      </c>
      <c r="B5" s="12" t="s">
        <v>158</v>
      </c>
      <c r="C5" s="53"/>
      <c r="D5" s="178" t="s">
        <v>12</v>
      </c>
      <c r="E5" s="53"/>
      <c r="F5" s="53"/>
      <c r="G5" s="53"/>
      <c r="H5" s="53"/>
      <c r="I5" s="53"/>
      <c r="J5" s="180" t="s">
        <v>8</v>
      </c>
      <c r="K5" s="53"/>
      <c r="L5" s="53"/>
      <c r="M5" s="178" t="s">
        <v>9</v>
      </c>
      <c r="N5" s="69">
        <f>N3*N2</f>
        <v>2.4697770601581777</v>
      </c>
      <c r="O5" s="59"/>
    </row>
    <row r="6" spans="1:15" x14ac:dyDescent="0.3">
      <c r="A6" s="178" t="s">
        <v>7</v>
      </c>
      <c r="B6" s="24" t="s">
        <v>171</v>
      </c>
      <c r="C6" s="53"/>
      <c r="D6" s="53"/>
      <c r="E6" s="53"/>
      <c r="F6" s="53"/>
      <c r="G6" s="53"/>
      <c r="H6" s="53"/>
      <c r="I6" s="53"/>
      <c r="J6" s="180" t="s">
        <v>12</v>
      </c>
      <c r="K6" s="53"/>
      <c r="L6" s="53"/>
      <c r="M6" s="53"/>
      <c r="N6" s="53"/>
      <c r="O6" s="59"/>
    </row>
    <row r="7" spans="1:15" x14ac:dyDescent="0.3">
      <c r="A7" s="178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78" t="s">
        <v>13</v>
      </c>
      <c r="B8" s="11" t="s">
        <v>179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4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81" t="s">
        <v>14</v>
      </c>
      <c r="B10" s="182" t="s">
        <v>19</v>
      </c>
      <c r="C10" s="182" t="s">
        <v>20</v>
      </c>
      <c r="D10" s="182" t="s">
        <v>21</v>
      </c>
      <c r="E10" s="182" t="s">
        <v>22</v>
      </c>
      <c r="F10" s="183" t="s">
        <v>23</v>
      </c>
      <c r="G10" s="183" t="s">
        <v>24</v>
      </c>
      <c r="H10" s="183" t="s">
        <v>25</v>
      </c>
      <c r="I10" s="183" t="s">
        <v>26</v>
      </c>
      <c r="J10" s="183" t="s">
        <v>27</v>
      </c>
      <c r="K10" s="183" t="s">
        <v>28</v>
      </c>
      <c r="L10" s="183" t="s">
        <v>29</v>
      </c>
      <c r="M10" s="183" t="s">
        <v>17</v>
      </c>
      <c r="N10" s="183" t="s">
        <v>18</v>
      </c>
      <c r="O10" s="59"/>
    </row>
    <row r="11" spans="1:15" s="18" customFormat="1" x14ac:dyDescent="0.3">
      <c r="A11" s="75">
        <v>10</v>
      </c>
      <c r="B11" s="26" t="s">
        <v>215</v>
      </c>
      <c r="C11" s="15"/>
      <c r="D11" s="28">
        <v>2.25</v>
      </c>
      <c r="E11" s="155">
        <f>J11*K11*L11</f>
        <v>4.375228906464179E-3</v>
      </c>
      <c r="F11" s="15" t="s">
        <v>208</v>
      </c>
      <c r="G11" s="15"/>
      <c r="H11" s="14"/>
      <c r="I11" s="16" t="s">
        <v>207</v>
      </c>
      <c r="J11" s="105">
        <f>0.000343295+PI()*0.003*0.003</f>
        <v>3.7156933388230817E-4</v>
      </c>
      <c r="K11" s="107">
        <v>1.5E-3</v>
      </c>
      <c r="L11" s="27">
        <v>7850</v>
      </c>
      <c r="M11" s="19">
        <v>1</v>
      </c>
      <c r="N11" s="28">
        <f>IF(J11="",D11*M11,D11*J11*K11*L11*M11)</f>
        <v>9.8442650395444021E-3</v>
      </c>
      <c r="O11" s="62"/>
    </row>
    <row r="12" spans="1:15" x14ac:dyDescent="0.3">
      <c r="A12" s="63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84" t="s">
        <v>18</v>
      </c>
      <c r="N12" s="185">
        <f>SUM(N11:N11)</f>
        <v>9.8442650395444021E-3</v>
      </c>
      <c r="O12" s="59"/>
    </row>
    <row r="13" spans="1:15" x14ac:dyDescent="0.3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3">
      <c r="A14" s="186" t="s">
        <v>14</v>
      </c>
      <c r="B14" s="183" t="s">
        <v>31</v>
      </c>
      <c r="C14" s="183" t="s">
        <v>20</v>
      </c>
      <c r="D14" s="183" t="s">
        <v>21</v>
      </c>
      <c r="E14" s="183" t="s">
        <v>32</v>
      </c>
      <c r="F14" s="183" t="s">
        <v>17</v>
      </c>
      <c r="G14" s="183" t="s">
        <v>33</v>
      </c>
      <c r="H14" s="183" t="s">
        <v>34</v>
      </c>
      <c r="I14" s="183" t="s">
        <v>18</v>
      </c>
      <c r="J14" s="20"/>
      <c r="K14" s="20"/>
      <c r="L14" s="20"/>
      <c r="M14" s="20"/>
      <c r="N14" s="20"/>
      <c r="O14" s="59"/>
    </row>
    <row r="15" spans="1:15" s="21" customFormat="1" x14ac:dyDescent="0.3">
      <c r="A15" s="149">
        <v>10</v>
      </c>
      <c r="B15" s="116" t="s">
        <v>45</v>
      </c>
      <c r="C15" s="150"/>
      <c r="D15" s="30">
        <v>1.3</v>
      </c>
      <c r="E15" s="23" t="s">
        <v>35</v>
      </c>
      <c r="F15" s="101">
        <v>1</v>
      </c>
      <c r="G15" s="29" t="s">
        <v>206</v>
      </c>
      <c r="H15" s="29">
        <v>0.25</v>
      </c>
      <c r="I15" s="30">
        <f t="shared" ref="I15:I16" si="0">IF(H15="",D15*F15,D15*F15*H15)</f>
        <v>0.32500000000000001</v>
      </c>
      <c r="J15" s="55"/>
      <c r="K15" s="55"/>
      <c r="L15" s="55"/>
      <c r="M15" s="55"/>
      <c r="N15" s="55"/>
      <c r="O15" s="64"/>
    </row>
    <row r="16" spans="1:15" x14ac:dyDescent="0.3">
      <c r="A16" s="118">
        <v>20</v>
      </c>
      <c r="B16" s="119" t="s">
        <v>46</v>
      </c>
      <c r="C16" s="118"/>
      <c r="D16" s="28">
        <v>0.01</v>
      </c>
      <c r="E16" s="13" t="s">
        <v>47</v>
      </c>
      <c r="F16" s="102">
        <v>9.42</v>
      </c>
      <c r="G16" s="23" t="s">
        <v>153</v>
      </c>
      <c r="H16" s="22">
        <v>3</v>
      </c>
      <c r="I16" s="28">
        <f t="shared" si="0"/>
        <v>0.28260000000000002</v>
      </c>
      <c r="J16" s="53"/>
      <c r="K16" s="53"/>
      <c r="L16" s="53"/>
      <c r="M16" s="53"/>
      <c r="N16" s="53"/>
      <c r="O16" s="59"/>
    </row>
    <row r="17" spans="1:15" x14ac:dyDescent="0.3">
      <c r="A17" s="63"/>
      <c r="B17" s="20"/>
      <c r="C17" s="20"/>
      <c r="D17" s="20"/>
      <c r="E17" s="20"/>
      <c r="F17" s="20"/>
      <c r="G17" s="20"/>
      <c r="H17" s="187" t="s">
        <v>18</v>
      </c>
      <c r="I17" s="185">
        <f>SUM(I15:I16)</f>
        <v>0.60760000000000003</v>
      </c>
      <c r="J17" s="20"/>
      <c r="K17" s="20"/>
      <c r="L17" s="20"/>
      <c r="M17" s="20"/>
      <c r="N17" s="20"/>
      <c r="O17" s="59"/>
    </row>
    <row r="18" spans="1:15" ht="15" thickBot="1" x14ac:dyDescent="0.35">
      <c r="A18" s="65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7"/>
    </row>
  </sheetData>
  <hyperlinks>
    <hyperlink ref="B4" location="MS_A0100!A1" display="MS_A0100!A1" xr:uid="{00000000-0004-0000-0F00-000000000000}"/>
    <hyperlink ref="E3" location="dMS_0100_007!A1" display="Drawing" xr:uid="{00000000-0004-0000-0F00-000001000000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7" tint="-0.249977111117893"/>
  </sheetPr>
  <dimension ref="A1:B1"/>
  <sheetViews>
    <sheetView workbookViewId="0"/>
  </sheetViews>
  <sheetFormatPr baseColWidth="10" defaultRowHeight="14.4" x14ac:dyDescent="0.3"/>
  <sheetData>
    <row r="1" spans="1:2" x14ac:dyDescent="0.3">
      <c r="A1" t="s">
        <v>152</v>
      </c>
      <c r="B1" s="79" t="s">
        <v>171</v>
      </c>
    </row>
  </sheetData>
  <hyperlinks>
    <hyperlink ref="B1" location="MS_0100_007!A1" display="FR_0300_006" xr:uid="{00000000-0004-0000-1000-000000000000}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7" tint="-0.249977111117893"/>
  </sheetPr>
  <dimension ref="A1:O18"/>
  <sheetViews>
    <sheetView workbookViewId="0">
      <selection activeCell="H17" activeCellId="11" sqref="A2:A8 D3:D5 J2 J4:J6 M2:M3 M5 A10:N10 M12 N12 A14:I14 I17 H17"/>
    </sheetView>
  </sheetViews>
  <sheetFormatPr baseColWidth="10" defaultColWidth="9.109375" defaultRowHeight="14.4" x14ac:dyDescent="0.3"/>
  <cols>
    <col min="2" max="2" width="35" customWidth="1"/>
    <col min="5" max="5" width="11.21875" bestFit="1" customWidth="1"/>
    <col min="7" max="7" width="33.109375" bestFit="1" customWidth="1"/>
    <col min="8" max="8" width="11.44140625" bestFit="1" customWidth="1"/>
    <col min="9" max="9" width="10.6640625" bestFit="1" customWidth="1"/>
    <col min="15" max="15" width="3.109375" customWidth="1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78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79" t="s">
        <v>1</v>
      </c>
      <c r="K2" s="73">
        <v>81</v>
      </c>
      <c r="L2" s="53"/>
      <c r="M2" s="178" t="s">
        <v>16</v>
      </c>
      <c r="N2" s="69">
        <f>MS_0100_008_m+MS_0100_008_p</f>
        <v>0.64982088688329431</v>
      </c>
      <c r="O2" s="59"/>
    </row>
    <row r="3" spans="1:15" x14ac:dyDescent="0.3">
      <c r="A3" s="178" t="s">
        <v>3</v>
      </c>
      <c r="B3" s="11" t="str">
        <f>MS_A0100!B3</f>
        <v>Frame and Body</v>
      </c>
      <c r="C3" s="53"/>
      <c r="D3" s="178" t="s">
        <v>6</v>
      </c>
      <c r="E3" s="79" t="s">
        <v>94</v>
      </c>
      <c r="F3" s="53"/>
      <c r="G3" s="53"/>
      <c r="H3" s="53"/>
      <c r="I3" s="53"/>
      <c r="J3" s="53"/>
      <c r="K3" s="53"/>
      <c r="L3" s="53"/>
      <c r="M3" s="178" t="s">
        <v>4</v>
      </c>
      <c r="N3" s="72">
        <v>24</v>
      </c>
      <c r="O3" s="59"/>
    </row>
    <row r="4" spans="1:15" x14ac:dyDescent="0.3">
      <c r="A4" s="178" t="s">
        <v>5</v>
      </c>
      <c r="B4" s="78" t="str">
        <f>MS_A0100!B4</f>
        <v>Firewall</v>
      </c>
      <c r="C4" s="53"/>
      <c r="D4" s="178" t="s">
        <v>8</v>
      </c>
      <c r="E4" s="53"/>
      <c r="F4" s="53"/>
      <c r="G4" s="53"/>
      <c r="H4" s="53"/>
      <c r="I4" s="53"/>
      <c r="J4" s="180" t="s">
        <v>6</v>
      </c>
      <c r="K4" s="53"/>
      <c r="L4" s="53"/>
      <c r="M4" s="53"/>
      <c r="N4" s="53"/>
      <c r="O4" s="59"/>
    </row>
    <row r="5" spans="1:15" x14ac:dyDescent="0.3">
      <c r="A5" s="178" t="s">
        <v>15</v>
      </c>
      <c r="B5" s="12" t="s">
        <v>163</v>
      </c>
      <c r="C5" s="53"/>
      <c r="D5" s="178" t="s">
        <v>12</v>
      </c>
      <c r="E5" s="53"/>
      <c r="F5" s="53"/>
      <c r="G5" s="53"/>
      <c r="H5" s="53"/>
      <c r="I5" s="53"/>
      <c r="J5" s="180" t="s">
        <v>8</v>
      </c>
      <c r="K5" s="53"/>
      <c r="L5" s="53"/>
      <c r="M5" s="178" t="s">
        <v>9</v>
      </c>
      <c r="N5" s="69">
        <f>N3*N2</f>
        <v>15.595701285199063</v>
      </c>
      <c r="O5" s="59"/>
    </row>
    <row r="6" spans="1:15" x14ac:dyDescent="0.3">
      <c r="A6" s="178" t="s">
        <v>7</v>
      </c>
      <c r="B6" s="24" t="s">
        <v>170</v>
      </c>
      <c r="C6" s="53"/>
      <c r="D6" s="53"/>
      <c r="E6" s="53"/>
      <c r="F6" s="53"/>
      <c r="G6" s="53"/>
      <c r="H6" s="53"/>
      <c r="I6" s="53"/>
      <c r="J6" s="180" t="s">
        <v>12</v>
      </c>
      <c r="K6" s="53"/>
      <c r="L6" s="53"/>
      <c r="M6" s="53"/>
      <c r="N6" s="53"/>
      <c r="O6" s="59"/>
    </row>
    <row r="7" spans="1:15" x14ac:dyDescent="0.3">
      <c r="A7" s="178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78" t="s">
        <v>13</v>
      </c>
      <c r="B8" s="11" t="s">
        <v>180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4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81" t="s">
        <v>14</v>
      </c>
      <c r="B10" s="182" t="s">
        <v>19</v>
      </c>
      <c r="C10" s="182" t="s">
        <v>20</v>
      </c>
      <c r="D10" s="182" t="s">
        <v>21</v>
      </c>
      <c r="E10" s="182" t="s">
        <v>22</v>
      </c>
      <c r="F10" s="183" t="s">
        <v>23</v>
      </c>
      <c r="G10" s="183" t="s">
        <v>24</v>
      </c>
      <c r="H10" s="183" t="s">
        <v>25</v>
      </c>
      <c r="I10" s="183" t="s">
        <v>26</v>
      </c>
      <c r="J10" s="183" t="s">
        <v>27</v>
      </c>
      <c r="K10" s="183" t="s">
        <v>28</v>
      </c>
      <c r="L10" s="183" t="s">
        <v>29</v>
      </c>
      <c r="M10" s="183" t="s">
        <v>17</v>
      </c>
      <c r="N10" s="183" t="s">
        <v>18</v>
      </c>
      <c r="O10" s="59"/>
    </row>
    <row r="11" spans="1:15" s="18" customFormat="1" x14ac:dyDescent="0.3">
      <c r="A11" s="75">
        <v>10</v>
      </c>
      <c r="B11" s="26" t="s">
        <v>215</v>
      </c>
      <c r="C11" s="15"/>
      <c r="D11" s="28">
        <v>2.25</v>
      </c>
      <c r="E11" s="155">
        <f>J11*K11*L11</f>
        <v>5.4315052814641789E-3</v>
      </c>
      <c r="F11" s="15" t="s">
        <v>208</v>
      </c>
      <c r="G11" s="15"/>
      <c r="H11" s="14"/>
      <c r="I11" s="16" t="s">
        <v>207</v>
      </c>
      <c r="J11" s="105">
        <f>0.000433+PI()*0.003*0.003</f>
        <v>4.6127433388230816E-4</v>
      </c>
      <c r="K11" s="107">
        <v>1.5E-3</v>
      </c>
      <c r="L11" s="27">
        <v>7850</v>
      </c>
      <c r="M11" s="19">
        <v>1</v>
      </c>
      <c r="N11" s="28">
        <f>IF(J11="",D11*M11,D11*J11*K11*L11*M11)</f>
        <v>1.22208868832944E-2</v>
      </c>
      <c r="O11" s="62"/>
    </row>
    <row r="12" spans="1:15" x14ac:dyDescent="0.3">
      <c r="A12" s="63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84" t="s">
        <v>18</v>
      </c>
      <c r="N12" s="185">
        <f>SUM(N11:N11)</f>
        <v>1.22208868832944E-2</v>
      </c>
      <c r="O12" s="59"/>
    </row>
    <row r="13" spans="1:15" x14ac:dyDescent="0.3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3">
      <c r="A14" s="186" t="s">
        <v>14</v>
      </c>
      <c r="B14" s="183" t="s">
        <v>31</v>
      </c>
      <c r="C14" s="183" t="s">
        <v>20</v>
      </c>
      <c r="D14" s="183" t="s">
        <v>21</v>
      </c>
      <c r="E14" s="183" t="s">
        <v>32</v>
      </c>
      <c r="F14" s="183" t="s">
        <v>17</v>
      </c>
      <c r="G14" s="183" t="s">
        <v>33</v>
      </c>
      <c r="H14" s="183" t="s">
        <v>34</v>
      </c>
      <c r="I14" s="183" t="s">
        <v>18</v>
      </c>
      <c r="J14" s="20"/>
      <c r="K14" s="20"/>
      <c r="L14" s="20"/>
      <c r="M14" s="20"/>
      <c r="N14" s="20"/>
      <c r="O14" s="59"/>
    </row>
    <row r="15" spans="1:15" s="21" customFormat="1" x14ac:dyDescent="0.3">
      <c r="A15" s="149">
        <v>10</v>
      </c>
      <c r="B15" s="116" t="s">
        <v>45</v>
      </c>
      <c r="C15" s="150"/>
      <c r="D15" s="30">
        <v>1.3</v>
      </c>
      <c r="E15" s="23" t="s">
        <v>35</v>
      </c>
      <c r="F15" s="101">
        <v>1</v>
      </c>
      <c r="G15" s="29" t="s">
        <v>206</v>
      </c>
      <c r="H15" s="29">
        <v>0.25</v>
      </c>
      <c r="I15" s="30">
        <f t="shared" ref="I15:I16" si="0">IF(H15="",D15*F15,D15*F15*H15)</f>
        <v>0.32500000000000001</v>
      </c>
      <c r="J15" s="55"/>
      <c r="K15" s="55"/>
      <c r="L15" s="55"/>
      <c r="M15" s="55"/>
      <c r="N15" s="55"/>
      <c r="O15" s="64"/>
    </row>
    <row r="16" spans="1:15" x14ac:dyDescent="0.3">
      <c r="A16" s="122">
        <v>20</v>
      </c>
      <c r="B16" s="119" t="s">
        <v>46</v>
      </c>
      <c r="C16" s="122"/>
      <c r="D16" s="28">
        <v>0.01</v>
      </c>
      <c r="E16" s="13" t="s">
        <v>47</v>
      </c>
      <c r="F16" s="102">
        <v>10.42</v>
      </c>
      <c r="G16" s="23" t="s">
        <v>153</v>
      </c>
      <c r="H16" s="22">
        <v>3</v>
      </c>
      <c r="I16" s="28">
        <f t="shared" si="0"/>
        <v>0.31259999999999999</v>
      </c>
      <c r="J16" s="53"/>
      <c r="K16" s="53"/>
      <c r="L16" s="53"/>
      <c r="M16" s="53"/>
      <c r="N16" s="53"/>
      <c r="O16" s="59"/>
    </row>
    <row r="17" spans="1:15" x14ac:dyDescent="0.3">
      <c r="A17" s="63"/>
      <c r="B17" s="20"/>
      <c r="C17" s="20"/>
      <c r="D17" s="20"/>
      <c r="E17" s="20"/>
      <c r="F17" s="20"/>
      <c r="G17" s="20"/>
      <c r="H17" s="187" t="s">
        <v>18</v>
      </c>
      <c r="I17" s="185">
        <f>SUM(I15:I16)</f>
        <v>0.63759999999999994</v>
      </c>
      <c r="J17" s="20"/>
      <c r="K17" s="20"/>
      <c r="L17" s="20"/>
      <c r="M17" s="20"/>
      <c r="N17" s="20"/>
      <c r="O17" s="59"/>
    </row>
    <row r="18" spans="1:15" ht="15" thickBot="1" x14ac:dyDescent="0.35">
      <c r="A18" s="65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7"/>
    </row>
  </sheetData>
  <hyperlinks>
    <hyperlink ref="B4" location="MS_A0100!A1" display="MS_A0100!A1" xr:uid="{00000000-0004-0000-1100-000000000000}"/>
    <hyperlink ref="E3" location="dMS_0100_008!A1" display="Drawing" xr:uid="{00000000-0004-0000-1100-000001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7" tint="-0.249977111117893"/>
  </sheetPr>
  <dimension ref="A1:B1"/>
  <sheetViews>
    <sheetView workbookViewId="0">
      <selection activeCell="K26" sqref="K26"/>
    </sheetView>
  </sheetViews>
  <sheetFormatPr baseColWidth="10" defaultRowHeight="14.4" x14ac:dyDescent="0.3"/>
  <sheetData>
    <row r="1" spans="1:2" x14ac:dyDescent="0.3">
      <c r="A1" t="s">
        <v>152</v>
      </c>
      <c r="B1" s="79" t="s">
        <v>170</v>
      </c>
    </row>
  </sheetData>
  <hyperlinks>
    <hyperlink ref="B1" location="MS_0100_008!A1" display="FR_0300_007" xr:uid="{00000000-0004-0000-1200-000000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62"/>
  <sheetViews>
    <sheetView zoomScale="85" zoomScaleNormal="85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 activeCell="E22" sqref="E22"/>
    </sheetView>
  </sheetViews>
  <sheetFormatPr baseColWidth="10" defaultColWidth="9.109375" defaultRowHeight="13.2" x14ac:dyDescent="0.25"/>
  <cols>
    <col min="1" max="1" width="17.44140625" style="4" bestFit="1" customWidth="1"/>
    <col min="2" max="2" width="28.6640625" style="8" bestFit="1" customWidth="1"/>
    <col min="3" max="3" width="14.44140625" style="4" bestFit="1" customWidth="1"/>
    <col min="4" max="4" width="10" style="4" bestFit="1" customWidth="1"/>
    <col min="5" max="5" width="23" style="4" customWidth="1"/>
    <col min="6" max="6" width="39.109375" style="39" customWidth="1"/>
    <col min="7" max="7" width="14" style="4" customWidth="1"/>
    <col min="8" max="8" width="11" style="4" bestFit="1" customWidth="1"/>
    <col min="9" max="13" width="10.44140625" style="1" customWidth="1"/>
    <col min="14" max="14" width="9.6640625" style="4" bestFit="1" customWidth="1"/>
    <col min="15" max="15" width="11.109375" style="8" customWidth="1"/>
    <col min="16" max="16384" width="9.109375" style="8"/>
  </cols>
  <sheetData>
    <row r="1" spans="1:15" ht="15" thickBot="1" x14ac:dyDescent="0.35">
      <c r="A1" s="49" t="s">
        <v>0</v>
      </c>
      <c r="B1" s="84" t="s">
        <v>44</v>
      </c>
      <c r="D1" s="40"/>
      <c r="M1" s="52" t="s">
        <v>48</v>
      </c>
      <c r="N1" s="41"/>
      <c r="O1" s="51" t="e">
        <f>#REF!</f>
        <v>#REF!</v>
      </c>
    </row>
    <row r="2" spans="1:15" s="10" customFormat="1" ht="15" thickBot="1" x14ac:dyDescent="0.35">
      <c r="A2" s="47" t="s">
        <v>49</v>
      </c>
      <c r="B2" s="83" t="s">
        <v>133</v>
      </c>
      <c r="C2" s="9"/>
      <c r="F2" s="36"/>
    </row>
    <row r="3" spans="1:15" s="10" customFormat="1" ht="15.6" thickTop="1" thickBot="1" x14ac:dyDescent="0.35">
      <c r="A3" s="48" t="s">
        <v>50</v>
      </c>
      <c r="B3" s="50">
        <v>2018</v>
      </c>
      <c r="C3" s="9"/>
      <c r="F3" s="36"/>
    </row>
    <row r="4" spans="1:15" s="10" customFormat="1" ht="15.6" thickTop="1" thickBot="1" x14ac:dyDescent="0.35">
      <c r="A4" s="46" t="s">
        <v>1</v>
      </c>
      <c r="B4" s="82">
        <v>81</v>
      </c>
      <c r="C4" s="9"/>
      <c r="D4" s="40" t="s">
        <v>51</v>
      </c>
      <c r="F4" s="36"/>
    </row>
    <row r="5" spans="1:15" s="34" customFormat="1" ht="15" thickTop="1" x14ac:dyDescent="0.3">
      <c r="A5" s="33"/>
      <c r="B5" s="37"/>
      <c r="C5" s="35"/>
      <c r="F5" s="38"/>
    </row>
    <row r="6" spans="1:15" s="32" customFormat="1" ht="49.5" customHeight="1" x14ac:dyDescent="0.25">
      <c r="A6" s="31" t="s">
        <v>52</v>
      </c>
      <c r="B6" s="43" t="s">
        <v>53</v>
      </c>
      <c r="C6" s="43" t="s">
        <v>54</v>
      </c>
      <c r="D6" s="43" t="s">
        <v>55</v>
      </c>
      <c r="E6" s="43" t="s">
        <v>56</v>
      </c>
      <c r="F6" s="43" t="s">
        <v>57</v>
      </c>
      <c r="G6" s="43" t="s">
        <v>58</v>
      </c>
      <c r="H6" s="45" t="s">
        <v>59</v>
      </c>
      <c r="I6" s="43" t="s">
        <v>17</v>
      </c>
      <c r="J6" s="43" t="s">
        <v>60</v>
      </c>
      <c r="K6" s="43" t="s">
        <v>61</v>
      </c>
      <c r="L6" s="43" t="s">
        <v>62</v>
      </c>
      <c r="M6" s="43" t="s">
        <v>63</v>
      </c>
      <c r="N6" s="44" t="s">
        <v>64</v>
      </c>
      <c r="O6" s="43" t="s">
        <v>65</v>
      </c>
    </row>
    <row r="7" spans="1:15" ht="14.4" x14ac:dyDescent="0.3">
      <c r="A7" s="156"/>
      <c r="B7" s="157" t="str">
        <f>MS_A0100!B3</f>
        <v>Frame and Body</v>
      </c>
      <c r="C7" s="158" t="str">
        <f>MS_A0100</f>
        <v>MS_A0100</v>
      </c>
      <c r="D7" s="158" t="s">
        <v>11</v>
      </c>
      <c r="E7" s="158"/>
      <c r="F7" s="159" t="str">
        <f>MS_A0100!B4</f>
        <v>Firewall</v>
      </c>
      <c r="G7" s="158"/>
      <c r="H7" s="160">
        <f t="shared" ref="H7:H15" si="0">SUM(J7:M7)</f>
        <v>67.316034457958992</v>
      </c>
      <c r="I7" s="161">
        <f>MS_A0100_q</f>
        <v>1</v>
      </c>
      <c r="J7" s="162">
        <f>MS_A0100_m</f>
        <v>0.28615999999999997</v>
      </c>
      <c r="K7" s="162">
        <f>MS_A0100_p</f>
        <v>54.470233999999991</v>
      </c>
      <c r="L7" s="162">
        <f>MS_A0100_f</f>
        <v>3.2263071246256692</v>
      </c>
      <c r="M7" s="162">
        <f>MS_A0100_t</f>
        <v>9.3333333333333339</v>
      </c>
      <c r="N7" s="163">
        <f t="shared" ref="N7:N15" si="1">H7*I7</f>
        <v>67.316034457958992</v>
      </c>
      <c r="O7" s="164"/>
    </row>
    <row r="8" spans="1:15" ht="14.4" x14ac:dyDescent="0.3">
      <c r="A8" s="165"/>
      <c r="B8" s="166" t="str">
        <f>MS_A0100!B3</f>
        <v>Frame and Body</v>
      </c>
      <c r="C8" s="174" t="str">
        <f>MS_0100_001</f>
        <v>MS_0100_001</v>
      </c>
      <c r="D8" s="167" t="s">
        <v>11</v>
      </c>
      <c r="E8" s="167" t="str">
        <f>$F$7</f>
        <v>Firewall</v>
      </c>
      <c r="F8" s="168" t="str">
        <f>MS_0100_001!B5</f>
        <v>Firewall Up</v>
      </c>
      <c r="G8" s="167"/>
      <c r="H8" s="169">
        <f t="shared" si="0"/>
        <v>9.2651947324861545</v>
      </c>
      <c r="I8" s="170">
        <f>MS_A0100_q*MS_0100_001_q</f>
        <v>1</v>
      </c>
      <c r="J8" s="171">
        <f>MS_0100_001_m</f>
        <v>4.9527965088000006</v>
      </c>
      <c r="K8" s="171">
        <f>MS_0100_001_p</f>
        <v>4.3123982236861549</v>
      </c>
      <c r="L8" s="171">
        <v>0</v>
      </c>
      <c r="M8" s="171">
        <v>0</v>
      </c>
      <c r="N8" s="172">
        <f t="shared" si="1"/>
        <v>9.2651947324861545</v>
      </c>
      <c r="O8" s="173"/>
    </row>
    <row r="9" spans="1:15" ht="14.4" x14ac:dyDescent="0.3">
      <c r="A9" s="165"/>
      <c r="B9" s="166" t="str">
        <f>MS_A0100!$B$3</f>
        <v>Frame and Body</v>
      </c>
      <c r="C9" s="167" t="str">
        <f>MS_0100_002</f>
        <v>MS_0100_002</v>
      </c>
      <c r="D9" s="167" t="s">
        <v>11</v>
      </c>
      <c r="E9" s="167" t="str">
        <f t="shared" ref="E9:E15" si="2">$F$7</f>
        <v>Firewall</v>
      </c>
      <c r="F9" s="168" t="str">
        <f>MS_0100_002!B5</f>
        <v>Firewall Middle</v>
      </c>
      <c r="G9" s="167"/>
      <c r="H9" s="169">
        <f t="shared" si="0"/>
        <v>7.5426952828861555</v>
      </c>
      <c r="I9" s="175">
        <f>MS_A0100_q*MS_0100_002_q</f>
        <v>1</v>
      </c>
      <c r="J9" s="171">
        <f>MS_0100_002_m</f>
        <v>4.2952970592000002</v>
      </c>
      <c r="K9" s="171">
        <f>MS_0100_002_p</f>
        <v>3.2473982236861549</v>
      </c>
      <c r="L9" s="171">
        <v>0</v>
      </c>
      <c r="M9" s="171">
        <v>0</v>
      </c>
      <c r="N9" s="172">
        <f t="shared" si="1"/>
        <v>7.5426952828861555</v>
      </c>
      <c r="O9" s="173"/>
    </row>
    <row r="10" spans="1:15" ht="14.4" x14ac:dyDescent="0.3">
      <c r="A10" s="165"/>
      <c r="B10" s="166" t="str">
        <f>MS_A0100!$B$3</f>
        <v>Frame and Body</v>
      </c>
      <c r="C10" s="167" t="str">
        <f>MS_0100_003</f>
        <v>MS_0100_003</v>
      </c>
      <c r="D10" s="167" t="s">
        <v>11</v>
      </c>
      <c r="E10" s="167" t="str">
        <f t="shared" si="2"/>
        <v>Firewall</v>
      </c>
      <c r="F10" s="176" t="str">
        <f>MS_0100_003!B5</f>
        <v>Firewall Bottom</v>
      </c>
      <c r="G10" s="167"/>
      <c r="H10" s="169">
        <f t="shared" si="0"/>
        <v>11.141555750086155</v>
      </c>
      <c r="I10" s="170">
        <f>MS_A0100_q*MS_0100_003_q</f>
        <v>1</v>
      </c>
      <c r="J10" s="171">
        <f>MS_0100_003_m</f>
        <v>6.828157526400001</v>
      </c>
      <c r="K10" s="171">
        <f>MS_0100_003_p</f>
        <v>4.3133982236861552</v>
      </c>
      <c r="L10" s="171">
        <v>0</v>
      </c>
      <c r="M10" s="171">
        <v>0</v>
      </c>
      <c r="N10" s="172">
        <f t="shared" si="1"/>
        <v>11.141555750086155</v>
      </c>
      <c r="O10" s="173"/>
    </row>
    <row r="11" spans="1:15" ht="14.4" x14ac:dyDescent="0.3">
      <c r="A11" s="165"/>
      <c r="B11" s="166" t="str">
        <f>MS_A0100!$B$3</f>
        <v>Frame and Body</v>
      </c>
      <c r="C11" s="167" t="str">
        <f>MS_0100_004</f>
        <v>MS_0100_004</v>
      </c>
      <c r="D11" s="167" t="s">
        <v>11</v>
      </c>
      <c r="E11" s="167" t="str">
        <f t="shared" si="2"/>
        <v>Firewall</v>
      </c>
      <c r="F11" s="168" t="str">
        <f>MS_0100_004!B5</f>
        <v>Firewall Upper Side</v>
      </c>
      <c r="G11" s="167"/>
      <c r="H11" s="169">
        <f t="shared" si="0"/>
        <v>3.1699841066880001</v>
      </c>
      <c r="I11" s="170">
        <f>MS_A0100_q*MS_0100_004_q</f>
        <v>2</v>
      </c>
      <c r="J11" s="171">
        <f>MS_0100_004_m</f>
        <v>1.2442841066879999</v>
      </c>
      <c r="K11" s="171">
        <f>MS_0100_004_p</f>
        <v>1.9257</v>
      </c>
      <c r="L11" s="171">
        <v>0</v>
      </c>
      <c r="M11" s="171">
        <v>0</v>
      </c>
      <c r="N11" s="172">
        <f t="shared" si="1"/>
        <v>6.3399682133760003</v>
      </c>
      <c r="O11" s="173"/>
    </row>
    <row r="12" spans="1:15" ht="14.4" x14ac:dyDescent="0.3">
      <c r="A12" s="165"/>
      <c r="B12" s="166" t="str">
        <f>MS_A0100!$B$3</f>
        <v>Frame and Body</v>
      </c>
      <c r="C12" s="167" t="str">
        <f>MS_0100_005</f>
        <v>MS_0100_005</v>
      </c>
      <c r="D12" s="167" t="s">
        <v>11</v>
      </c>
      <c r="E12" s="167" t="str">
        <f t="shared" si="2"/>
        <v>Firewall</v>
      </c>
      <c r="F12" s="168" t="str">
        <f>MS_0100_005!B5</f>
        <v>Firewall Middle Side</v>
      </c>
      <c r="G12" s="167"/>
      <c r="H12" s="169">
        <f t="shared" si="0"/>
        <v>2.1490635408992</v>
      </c>
      <c r="I12" s="170">
        <f>MS_A0100_q*MS_0100_005_q</f>
        <v>2</v>
      </c>
      <c r="J12" s="171">
        <f>MS_0100_005_m</f>
        <v>0.51116354089920002</v>
      </c>
      <c r="K12" s="171">
        <f>MS_0100_005_p</f>
        <v>1.6379000000000001</v>
      </c>
      <c r="L12" s="171">
        <v>0</v>
      </c>
      <c r="M12" s="171">
        <v>0</v>
      </c>
      <c r="N12" s="172">
        <f t="shared" si="1"/>
        <v>4.2981270817984001</v>
      </c>
      <c r="O12" s="173"/>
    </row>
    <row r="13" spans="1:15" ht="14.4" x14ac:dyDescent="0.3">
      <c r="A13" s="165"/>
      <c r="B13" s="166" t="str">
        <f>MS_A0100!$B$3</f>
        <v>Frame and Body</v>
      </c>
      <c r="C13" s="167" t="str">
        <f>MS_0100_006</f>
        <v>MS_0100_006</v>
      </c>
      <c r="D13" s="167" t="s">
        <v>11</v>
      </c>
      <c r="E13" s="167" t="str">
        <f t="shared" si="2"/>
        <v>Firewall</v>
      </c>
      <c r="F13" s="168" t="str">
        <f>MS_0100_006!B5</f>
        <v>Firewall Lower Side</v>
      </c>
      <c r="G13" s="167"/>
      <c r="H13" s="169">
        <f t="shared" si="0"/>
        <v>5.1693714775000004</v>
      </c>
      <c r="I13" s="170">
        <f>MS_A0100_q*MS_0100_006_q</f>
        <v>2</v>
      </c>
      <c r="J13" s="171">
        <f>MS_0100_006_m</f>
        <v>3.0800114774999998</v>
      </c>
      <c r="K13" s="171">
        <f>MS_0100_006_p</f>
        <v>2.0893600000000001</v>
      </c>
      <c r="L13" s="171">
        <v>0</v>
      </c>
      <c r="M13" s="171">
        <v>0</v>
      </c>
      <c r="N13" s="172">
        <f t="shared" si="1"/>
        <v>10.338742955000001</v>
      </c>
      <c r="O13" s="173"/>
    </row>
    <row r="14" spans="1:15" ht="14.4" x14ac:dyDescent="0.3">
      <c r="A14" s="165"/>
      <c r="B14" s="166" t="str">
        <f>MS_A0100!$B$3</f>
        <v>Frame and Body</v>
      </c>
      <c r="C14" s="167" t="str">
        <f>MS_0100_007</f>
        <v>MS_0100_007</v>
      </c>
      <c r="D14" s="167" t="s">
        <v>11</v>
      </c>
      <c r="E14" s="167" t="str">
        <f t="shared" si="2"/>
        <v>Firewall</v>
      </c>
      <c r="F14" s="168" t="str">
        <f>MS_0100_007!B5</f>
        <v>Firewall Up Bracket</v>
      </c>
      <c r="G14" s="167"/>
      <c r="H14" s="169">
        <f t="shared" si="0"/>
        <v>0.61744426503954442</v>
      </c>
      <c r="I14" s="170">
        <f>MS_A0100_q*MS_0100_007_q</f>
        <v>4</v>
      </c>
      <c r="J14" s="171">
        <f>MS_0100_007_m</f>
        <v>9.8442650395444021E-3</v>
      </c>
      <c r="K14" s="171">
        <f>MS_0100_007_p</f>
        <v>0.60760000000000003</v>
      </c>
      <c r="L14" s="171">
        <v>0</v>
      </c>
      <c r="M14" s="171">
        <v>0</v>
      </c>
      <c r="N14" s="172">
        <f t="shared" si="1"/>
        <v>2.4697770601581777</v>
      </c>
      <c r="O14" s="173"/>
    </row>
    <row r="15" spans="1:15" ht="14.4" x14ac:dyDescent="0.3">
      <c r="A15" s="165"/>
      <c r="B15" s="166" t="str">
        <f>MS_A0100!$B$3</f>
        <v>Frame and Body</v>
      </c>
      <c r="C15" s="167" t="str">
        <f>MS_0100_008</f>
        <v>MS_0100_008</v>
      </c>
      <c r="D15" s="167" t="s">
        <v>11</v>
      </c>
      <c r="E15" s="167" t="str">
        <f t="shared" si="2"/>
        <v>Firewall</v>
      </c>
      <c r="F15" s="168" t="str">
        <f>MS_0100_008!B5</f>
        <v>Firewall Middle, Bottom and Sides Bracket</v>
      </c>
      <c r="G15" s="177"/>
      <c r="H15" s="169">
        <f t="shared" si="0"/>
        <v>0.64982088688329431</v>
      </c>
      <c r="I15" s="170">
        <f>MS_A0100_q*MS_0100_008_q</f>
        <v>24</v>
      </c>
      <c r="J15" s="171">
        <f>MS_0100_008_m</f>
        <v>1.22208868832944E-2</v>
      </c>
      <c r="K15" s="171">
        <f>MS_0100_008_p</f>
        <v>0.63759999999999994</v>
      </c>
      <c r="L15" s="171">
        <v>0</v>
      </c>
      <c r="M15" s="171">
        <v>0</v>
      </c>
      <c r="N15" s="172">
        <f t="shared" si="1"/>
        <v>15.595701285199063</v>
      </c>
      <c r="O15" s="173"/>
    </row>
    <row r="16" spans="1:15" s="7" customFormat="1" ht="14.4" thickBot="1" x14ac:dyDescent="0.3">
      <c r="A16" s="109"/>
      <c r="B16" s="110" t="str">
        <f>MS_A0100!B3</f>
        <v>Frame and Body</v>
      </c>
      <c r="C16" s="111"/>
      <c r="D16" s="111"/>
      <c r="E16" s="111"/>
      <c r="F16" s="110" t="s">
        <v>66</v>
      </c>
      <c r="G16" s="111"/>
      <c r="H16" s="112"/>
      <c r="I16" s="113"/>
      <c r="J16" s="114">
        <f>SUMPRODUCT($I7:$I15,J7:J15)</f>
        <v>26.366007689931642</v>
      </c>
      <c r="K16" s="114">
        <f>SUMPRODUCT($I7:$I15,K7:K15)</f>
        <v>95.382148671058445</v>
      </c>
      <c r="L16" s="114">
        <f>SUMPRODUCT($I7:$I15,L7:L15)</f>
        <v>3.2263071246256692</v>
      </c>
      <c r="M16" s="114">
        <f>SUMPRODUCT($I7:$I15,M7:M15)</f>
        <v>9.3333333333333339</v>
      </c>
      <c r="N16" s="114">
        <f>SUM(N7:N15)</f>
        <v>134.3077968189491</v>
      </c>
      <c r="O16" s="115"/>
    </row>
    <row r="17" spans="1:14" ht="13.8" thickTop="1" x14ac:dyDescent="0.25">
      <c r="A17" s="6"/>
      <c r="B17" s="39"/>
      <c r="C17" s="8"/>
      <c r="D17" s="8"/>
      <c r="E17" s="8"/>
      <c r="F17" s="8"/>
      <c r="G17" s="8"/>
      <c r="H17" s="3"/>
      <c r="I17" s="8"/>
      <c r="J17" s="8"/>
      <c r="K17" s="8"/>
      <c r="L17" s="8"/>
      <c r="M17" s="8"/>
      <c r="N17" s="8"/>
    </row>
    <row r="18" spans="1:14" x14ac:dyDescent="0.25">
      <c r="A18" s="6"/>
      <c r="B18" s="39"/>
      <c r="C18" s="8"/>
      <c r="D18" s="8"/>
      <c r="E18" s="8"/>
      <c r="F18" s="8"/>
      <c r="G18" s="8"/>
      <c r="H18" s="3"/>
      <c r="I18" s="8"/>
      <c r="J18" s="8"/>
      <c r="K18" s="8"/>
      <c r="L18" s="8"/>
      <c r="M18" s="8"/>
      <c r="N18" s="8"/>
    </row>
    <row r="19" spans="1:14" x14ac:dyDescent="0.25">
      <c r="A19" s="6"/>
      <c r="B19" s="6"/>
      <c r="D19" s="8"/>
      <c r="E19" s="8"/>
      <c r="G19" s="8"/>
      <c r="H19" s="8"/>
      <c r="I19" s="3"/>
      <c r="J19" s="3"/>
      <c r="K19" s="3"/>
      <c r="L19" s="3"/>
      <c r="M19" s="3"/>
      <c r="N19" s="8"/>
    </row>
    <row r="20" spans="1:14" x14ac:dyDescent="0.25">
      <c r="A20" s="6"/>
      <c r="B20" s="6"/>
      <c r="D20" s="8"/>
      <c r="E20" s="8"/>
      <c r="G20" s="8"/>
      <c r="H20" s="8"/>
      <c r="I20" s="3"/>
      <c r="J20" s="3"/>
      <c r="K20" s="3"/>
      <c r="L20" s="3"/>
      <c r="M20" s="3"/>
      <c r="N20" s="42"/>
    </row>
    <row r="21" spans="1:14" x14ac:dyDescent="0.25">
      <c r="A21" s="6"/>
      <c r="B21" s="6"/>
      <c r="D21" s="8"/>
      <c r="E21" s="8"/>
      <c r="G21" s="8"/>
      <c r="H21" s="8"/>
      <c r="I21" s="3"/>
      <c r="J21" s="3"/>
      <c r="K21" s="3"/>
      <c r="L21" s="3"/>
      <c r="M21" s="3"/>
      <c r="N21" s="8"/>
    </row>
    <row r="22" spans="1:14" x14ac:dyDescent="0.25">
      <c r="A22" s="6"/>
      <c r="B22" s="6"/>
      <c r="D22" s="8"/>
      <c r="E22" s="8"/>
      <c r="G22" s="8"/>
      <c r="H22" s="8"/>
      <c r="I22" s="3"/>
      <c r="J22" s="3"/>
      <c r="K22" s="3"/>
      <c r="L22" s="3"/>
      <c r="M22" s="3"/>
      <c r="N22" s="42"/>
    </row>
    <row r="23" spans="1:14" x14ac:dyDescent="0.25">
      <c r="A23" s="6"/>
      <c r="B23" s="6"/>
      <c r="D23" s="8"/>
      <c r="E23" s="8"/>
      <c r="G23" s="8"/>
      <c r="H23" s="8"/>
      <c r="I23" s="3"/>
      <c r="J23" s="3"/>
      <c r="K23" s="3"/>
      <c r="L23" s="3"/>
      <c r="M23" s="3"/>
      <c r="N23" s="8"/>
    </row>
    <row r="24" spans="1:14" x14ac:dyDescent="0.25">
      <c r="A24" s="6"/>
      <c r="B24" s="6"/>
      <c r="D24" s="8"/>
      <c r="E24" s="8"/>
      <c r="G24" s="8"/>
      <c r="H24" s="8"/>
      <c r="I24" s="3"/>
      <c r="J24" s="3"/>
      <c r="K24" s="3"/>
      <c r="L24" s="3"/>
      <c r="M24" s="3"/>
      <c r="N24" s="8"/>
    </row>
    <row r="25" spans="1:14" x14ac:dyDescent="0.25">
      <c r="A25" s="6"/>
      <c r="B25" s="6"/>
      <c r="D25" s="8"/>
      <c r="E25" s="8"/>
      <c r="G25" s="8"/>
      <c r="H25" s="8"/>
      <c r="I25" s="3"/>
      <c r="J25" s="3"/>
      <c r="K25" s="3"/>
      <c r="L25" s="3"/>
      <c r="M25" s="3"/>
      <c r="N25" s="8"/>
    </row>
    <row r="26" spans="1:14" x14ac:dyDescent="0.25">
      <c r="A26" s="6"/>
      <c r="B26" s="6"/>
      <c r="D26" s="8"/>
      <c r="E26" s="8"/>
      <c r="G26" s="8"/>
      <c r="H26" s="8"/>
      <c r="I26" s="3"/>
      <c r="J26" s="3"/>
      <c r="K26" s="3"/>
      <c r="L26" s="3"/>
      <c r="M26" s="3"/>
      <c r="N26" s="8"/>
    </row>
    <row r="27" spans="1:14" x14ac:dyDescent="0.25">
      <c r="A27" s="6"/>
      <c r="B27" s="6"/>
      <c r="D27" s="8"/>
      <c r="E27" s="8"/>
      <c r="G27" s="8"/>
      <c r="H27" s="8"/>
      <c r="I27" s="3"/>
      <c r="J27" s="3"/>
      <c r="K27" s="3"/>
      <c r="L27" s="3"/>
      <c r="M27" s="3"/>
      <c r="N27" s="8"/>
    </row>
    <row r="28" spans="1:14" x14ac:dyDescent="0.25">
      <c r="A28" s="6"/>
      <c r="B28" s="6"/>
      <c r="D28" s="8"/>
      <c r="E28" s="8"/>
      <c r="G28" s="8"/>
      <c r="H28" s="8"/>
      <c r="I28" s="3"/>
      <c r="J28" s="3"/>
      <c r="K28" s="3"/>
      <c r="L28" s="3"/>
      <c r="M28" s="3"/>
      <c r="N28" s="8"/>
    </row>
    <row r="29" spans="1:14" x14ac:dyDescent="0.25">
      <c r="A29" s="6"/>
      <c r="B29" s="6"/>
      <c r="D29" s="8"/>
      <c r="E29" s="8"/>
      <c r="G29" s="8"/>
      <c r="H29" s="8"/>
      <c r="I29" s="3"/>
      <c r="J29" s="3"/>
      <c r="K29" s="3"/>
      <c r="L29" s="3"/>
      <c r="M29" s="3"/>
      <c r="N29" s="8"/>
    </row>
    <row r="30" spans="1:14" x14ac:dyDescent="0.25">
      <c r="A30" s="6"/>
      <c r="B30" s="6"/>
      <c r="D30" s="8"/>
      <c r="E30" s="8"/>
      <c r="G30" s="8"/>
      <c r="H30" s="8"/>
      <c r="I30" s="3"/>
      <c r="J30" s="3"/>
      <c r="K30" s="3"/>
      <c r="L30" s="3"/>
      <c r="M30" s="3"/>
      <c r="N30" s="8"/>
    </row>
    <row r="31" spans="1:14" x14ac:dyDescent="0.25">
      <c r="A31" s="6"/>
      <c r="B31" s="6"/>
      <c r="D31" s="8"/>
      <c r="E31" s="8"/>
      <c r="G31" s="8"/>
      <c r="H31" s="8"/>
      <c r="I31" s="3"/>
      <c r="J31" s="3"/>
      <c r="K31" s="3"/>
      <c r="L31" s="3"/>
      <c r="M31" s="3"/>
      <c r="N31" s="8"/>
    </row>
    <row r="32" spans="1:14" x14ac:dyDescent="0.25">
      <c r="A32" s="6"/>
      <c r="B32" s="6"/>
      <c r="D32" s="8"/>
      <c r="E32" s="8"/>
      <c r="G32" s="8"/>
      <c r="H32" s="8"/>
      <c r="I32" s="3"/>
      <c r="J32" s="3"/>
      <c r="K32" s="3"/>
      <c r="L32" s="3"/>
      <c r="M32" s="3"/>
      <c r="N32" s="8"/>
    </row>
    <row r="33" spans="1:14" x14ac:dyDescent="0.25">
      <c r="A33" s="6"/>
      <c r="B33" s="6"/>
      <c r="D33" s="8"/>
      <c r="E33" s="8"/>
      <c r="G33" s="8"/>
      <c r="H33" s="8"/>
      <c r="I33" s="3"/>
      <c r="J33" s="3"/>
      <c r="K33" s="3"/>
      <c r="L33" s="3"/>
      <c r="M33" s="3"/>
      <c r="N33" s="8"/>
    </row>
    <row r="34" spans="1:14" x14ac:dyDescent="0.25">
      <c r="A34" s="6"/>
      <c r="B34" s="6"/>
      <c r="D34" s="8"/>
      <c r="E34" s="8"/>
      <c r="G34" s="8"/>
      <c r="H34" s="8"/>
      <c r="I34" s="3"/>
      <c r="J34" s="3"/>
      <c r="K34" s="3"/>
      <c r="L34" s="3"/>
      <c r="M34" s="3"/>
      <c r="N34" s="8"/>
    </row>
    <row r="35" spans="1:14" x14ac:dyDescent="0.25">
      <c r="A35" s="6"/>
      <c r="B35" s="6"/>
      <c r="D35" s="8"/>
      <c r="E35" s="8"/>
      <c r="G35" s="8"/>
      <c r="H35" s="8"/>
      <c r="I35" s="3"/>
      <c r="J35" s="3"/>
      <c r="K35" s="3"/>
      <c r="L35" s="3"/>
      <c r="M35" s="3"/>
      <c r="N35" s="8"/>
    </row>
    <row r="36" spans="1:14" x14ac:dyDescent="0.25">
      <c r="A36" s="6"/>
      <c r="B36" s="6"/>
      <c r="D36" s="8"/>
      <c r="E36" s="8"/>
      <c r="G36" s="8"/>
      <c r="H36" s="8"/>
      <c r="I36" s="3"/>
      <c r="J36" s="3"/>
      <c r="K36" s="3"/>
      <c r="L36" s="3"/>
      <c r="M36" s="3"/>
      <c r="N36" s="8"/>
    </row>
    <row r="37" spans="1:14" x14ac:dyDescent="0.25">
      <c r="A37" s="6"/>
      <c r="B37" s="6"/>
      <c r="D37" s="8"/>
      <c r="E37" s="8"/>
      <c r="G37" s="8"/>
      <c r="H37" s="8"/>
      <c r="I37" s="3"/>
      <c r="J37" s="3"/>
      <c r="K37" s="3"/>
      <c r="L37" s="3"/>
      <c r="M37" s="3"/>
      <c r="N37" s="8"/>
    </row>
    <row r="38" spans="1:14" x14ac:dyDescent="0.25">
      <c r="A38" s="6"/>
      <c r="B38" s="6"/>
      <c r="D38" s="8"/>
      <c r="E38" s="8"/>
      <c r="G38" s="8"/>
      <c r="H38" s="8"/>
      <c r="I38" s="3"/>
      <c r="J38" s="3"/>
      <c r="K38" s="3"/>
      <c r="L38" s="3"/>
      <c r="M38" s="3"/>
      <c r="N38" s="8"/>
    </row>
    <row r="39" spans="1:14" x14ac:dyDescent="0.25">
      <c r="A39" s="6"/>
      <c r="B39" s="6"/>
      <c r="D39" s="8"/>
      <c r="E39" s="8"/>
      <c r="G39" s="8"/>
      <c r="H39" s="8"/>
      <c r="I39" s="3"/>
      <c r="J39" s="3"/>
      <c r="K39" s="3"/>
      <c r="L39" s="3"/>
      <c r="M39" s="3"/>
      <c r="N39" s="8"/>
    </row>
    <row r="40" spans="1:14" x14ac:dyDescent="0.25">
      <c r="A40" s="6"/>
      <c r="B40" s="6"/>
      <c r="D40" s="8"/>
      <c r="E40" s="8"/>
      <c r="G40" s="8"/>
      <c r="H40" s="8"/>
      <c r="I40" s="3"/>
      <c r="J40" s="3"/>
      <c r="K40" s="3"/>
      <c r="L40" s="3"/>
      <c r="M40" s="3"/>
      <c r="N40" s="8"/>
    </row>
    <row r="41" spans="1:14" x14ac:dyDescent="0.25">
      <c r="A41" s="6"/>
      <c r="B41" s="6"/>
      <c r="D41" s="8"/>
      <c r="E41" s="8"/>
      <c r="G41" s="8"/>
      <c r="H41" s="8"/>
      <c r="I41" s="3"/>
      <c r="J41" s="3"/>
      <c r="K41" s="3"/>
      <c r="L41" s="3"/>
      <c r="M41" s="3"/>
      <c r="N41" s="8"/>
    </row>
    <row r="42" spans="1:14" x14ac:dyDescent="0.25">
      <c r="A42" s="6"/>
      <c r="B42" s="6"/>
      <c r="D42" s="8"/>
      <c r="E42" s="8"/>
      <c r="G42" s="8"/>
      <c r="H42" s="8"/>
      <c r="I42" s="3"/>
      <c r="J42" s="3"/>
      <c r="K42" s="3"/>
      <c r="L42" s="3"/>
      <c r="M42" s="3"/>
      <c r="N42" s="8"/>
    </row>
    <row r="43" spans="1:14" x14ac:dyDescent="0.25">
      <c r="A43" s="6"/>
      <c r="B43" s="6"/>
      <c r="D43" s="8"/>
      <c r="E43" s="8"/>
      <c r="G43" s="8"/>
      <c r="H43" s="8"/>
      <c r="I43" s="3"/>
      <c r="J43" s="3"/>
      <c r="K43" s="3"/>
      <c r="L43" s="3"/>
      <c r="M43" s="3"/>
      <c r="N43" s="8"/>
    </row>
    <row r="44" spans="1:14" x14ac:dyDescent="0.25">
      <c r="A44" s="6"/>
      <c r="B44" s="6"/>
      <c r="D44" s="8"/>
      <c r="E44" s="8"/>
      <c r="G44" s="8"/>
      <c r="H44" s="8"/>
      <c r="I44" s="3"/>
      <c r="J44" s="3"/>
      <c r="K44" s="3"/>
      <c r="L44" s="3"/>
      <c r="M44" s="3"/>
      <c r="N44" s="8"/>
    </row>
    <row r="45" spans="1:14" x14ac:dyDescent="0.25">
      <c r="A45" s="6"/>
      <c r="B45" s="6"/>
      <c r="D45" s="8"/>
      <c r="E45" s="8"/>
      <c r="G45" s="8"/>
      <c r="H45" s="8"/>
      <c r="I45" s="3"/>
      <c r="J45" s="3"/>
      <c r="K45" s="3"/>
      <c r="L45" s="3"/>
      <c r="M45" s="3"/>
      <c r="N45" s="8"/>
    </row>
    <row r="46" spans="1:14" x14ac:dyDescent="0.25">
      <c r="A46" s="6"/>
      <c r="B46" s="6"/>
      <c r="D46" s="8"/>
      <c r="E46" s="8"/>
      <c r="G46" s="8"/>
      <c r="H46" s="8"/>
      <c r="I46" s="3"/>
      <c r="J46" s="3"/>
      <c r="K46" s="3"/>
      <c r="L46" s="3"/>
      <c r="M46" s="3"/>
      <c r="N46" s="8"/>
    </row>
    <row r="47" spans="1:14" s="4" customFormat="1" x14ac:dyDescent="0.25">
      <c r="A47" s="2"/>
      <c r="B47" s="6"/>
      <c r="F47" s="39"/>
      <c r="I47" s="1"/>
      <c r="J47" s="1"/>
      <c r="K47" s="1"/>
      <c r="L47" s="1"/>
      <c r="M47" s="1"/>
    </row>
    <row r="48" spans="1:14" s="4" customFormat="1" x14ac:dyDescent="0.25">
      <c r="A48" s="2"/>
      <c r="B48" s="6"/>
      <c r="F48" s="39"/>
      <c r="I48" s="1"/>
      <c r="J48" s="1"/>
      <c r="K48" s="1"/>
      <c r="L48" s="1"/>
      <c r="M48" s="1"/>
    </row>
    <row r="49" spans="1:14" s="4" customFormat="1" x14ac:dyDescent="0.25">
      <c r="A49" s="2"/>
      <c r="B49" s="6"/>
      <c r="F49" s="39"/>
      <c r="I49" s="1"/>
      <c r="J49" s="1"/>
      <c r="K49" s="1"/>
      <c r="L49" s="1"/>
      <c r="M49" s="1"/>
    </row>
    <row r="50" spans="1:14" s="4" customFormat="1" x14ac:dyDescent="0.25">
      <c r="A50" s="2"/>
      <c r="B50" s="6"/>
      <c r="F50" s="39"/>
      <c r="I50" s="1"/>
      <c r="J50" s="1"/>
      <c r="K50" s="1"/>
      <c r="L50" s="1"/>
      <c r="M50" s="1"/>
    </row>
    <row r="51" spans="1:14" s="4" customFormat="1" x14ac:dyDescent="0.25">
      <c r="A51" s="2"/>
      <c r="B51" s="6"/>
      <c r="F51" s="39"/>
      <c r="I51" s="1"/>
      <c r="J51" s="1"/>
      <c r="K51" s="1"/>
      <c r="L51" s="1"/>
      <c r="M51" s="1"/>
    </row>
    <row r="52" spans="1:14" s="4" customFormat="1" x14ac:dyDescent="0.25">
      <c r="A52" s="2"/>
      <c r="B52" s="6"/>
      <c r="F52" s="39"/>
      <c r="I52" s="1"/>
      <c r="J52" s="1"/>
      <c r="K52" s="1"/>
      <c r="L52" s="1"/>
      <c r="M52" s="1"/>
    </row>
    <row r="53" spans="1:14" s="4" customFormat="1" x14ac:dyDescent="0.25">
      <c r="A53" s="2"/>
      <c r="B53" s="6"/>
      <c r="F53" s="39"/>
      <c r="I53" s="1"/>
      <c r="J53" s="1"/>
      <c r="K53" s="1"/>
      <c r="L53" s="1"/>
      <c r="M53" s="1"/>
    </row>
    <row r="54" spans="1:14" s="4" customFormat="1" x14ac:dyDescent="0.25">
      <c r="A54" s="2"/>
      <c r="B54" s="6"/>
      <c r="F54" s="39"/>
      <c r="I54" s="1"/>
      <c r="J54" s="1"/>
      <c r="K54" s="1"/>
      <c r="L54" s="1"/>
      <c r="M54" s="1"/>
    </row>
    <row r="55" spans="1:14" s="4" customFormat="1" x14ac:dyDescent="0.25">
      <c r="A55" s="2"/>
      <c r="B55" s="6"/>
      <c r="F55" s="39"/>
      <c r="I55" s="1"/>
      <c r="J55" s="1"/>
      <c r="K55" s="1"/>
      <c r="L55" s="1"/>
      <c r="M55" s="1"/>
    </row>
    <row r="56" spans="1:14" s="4" customFormat="1" x14ac:dyDescent="0.25">
      <c r="A56" s="2"/>
      <c r="B56" s="6"/>
      <c r="F56" s="39"/>
      <c r="I56" s="1"/>
      <c r="J56" s="1"/>
      <c r="K56" s="1"/>
      <c r="L56" s="1"/>
      <c r="M56" s="1"/>
    </row>
    <row r="57" spans="1:14" s="5" customFormat="1" x14ac:dyDescent="0.25">
      <c r="A57" s="2"/>
      <c r="B57" s="6"/>
      <c r="C57" s="4"/>
      <c r="D57" s="4"/>
      <c r="E57" s="4"/>
      <c r="F57" s="39"/>
      <c r="G57" s="4"/>
      <c r="H57" s="4"/>
      <c r="I57" s="1"/>
      <c r="J57" s="1"/>
      <c r="K57" s="1"/>
      <c r="L57" s="1"/>
      <c r="M57" s="1"/>
      <c r="N57" s="4"/>
    </row>
    <row r="58" spans="1:14" s="5" customFormat="1" x14ac:dyDescent="0.25">
      <c r="A58" s="2"/>
      <c r="B58" s="6"/>
      <c r="C58" s="4"/>
      <c r="D58" s="4"/>
      <c r="E58" s="4"/>
      <c r="F58" s="39"/>
      <c r="G58" s="4"/>
      <c r="H58" s="4"/>
      <c r="I58" s="1"/>
      <c r="J58" s="1"/>
      <c r="K58" s="1"/>
      <c r="L58" s="1"/>
      <c r="M58" s="1"/>
      <c r="N58" s="4"/>
    </row>
    <row r="59" spans="1:14" s="5" customFormat="1" x14ac:dyDescent="0.25">
      <c r="A59" s="2"/>
      <c r="B59" s="6"/>
      <c r="C59" s="4"/>
      <c r="D59" s="4"/>
      <c r="E59" s="4"/>
      <c r="F59" s="39"/>
      <c r="G59" s="4"/>
      <c r="H59" s="4"/>
      <c r="I59" s="1"/>
      <c r="J59" s="1"/>
      <c r="K59" s="1"/>
      <c r="L59" s="1"/>
      <c r="M59" s="1"/>
      <c r="N59" s="4"/>
    </row>
    <row r="60" spans="1:14" s="5" customFormat="1" x14ac:dyDescent="0.25">
      <c r="A60" s="2"/>
      <c r="B60" s="6"/>
      <c r="C60" s="4"/>
      <c r="D60" s="4"/>
      <c r="E60" s="4"/>
      <c r="F60" s="39"/>
      <c r="G60" s="4"/>
      <c r="H60" s="4"/>
      <c r="I60" s="1"/>
      <c r="J60" s="1"/>
      <c r="K60" s="1"/>
      <c r="L60" s="1"/>
      <c r="M60" s="1"/>
      <c r="N60" s="4"/>
    </row>
    <row r="61" spans="1:14" s="5" customFormat="1" x14ac:dyDescent="0.25">
      <c r="A61" s="2"/>
      <c r="B61" s="6"/>
      <c r="C61" s="4"/>
      <c r="D61" s="4"/>
      <c r="E61" s="4"/>
      <c r="F61" s="39"/>
      <c r="G61" s="4"/>
      <c r="H61" s="4"/>
      <c r="I61" s="1"/>
      <c r="J61" s="1"/>
      <c r="K61" s="1"/>
      <c r="L61" s="1"/>
      <c r="M61" s="1"/>
      <c r="N61" s="4"/>
    </row>
    <row r="62" spans="1:14" s="5" customFormat="1" x14ac:dyDescent="0.25">
      <c r="A62" s="2"/>
      <c r="B62" s="6"/>
      <c r="C62" s="4"/>
      <c r="D62" s="4"/>
      <c r="E62" s="4"/>
      <c r="F62" s="39"/>
      <c r="G62" s="4"/>
      <c r="H62" s="4"/>
      <c r="I62" s="1"/>
      <c r="J62" s="1"/>
      <c r="K62" s="1"/>
      <c r="L62" s="1"/>
      <c r="M62" s="1"/>
      <c r="N62" s="4"/>
    </row>
    <row r="63" spans="1:14" s="5" customFormat="1" x14ac:dyDescent="0.25">
      <c r="A63" s="2"/>
      <c r="B63" s="6"/>
      <c r="C63" s="4"/>
      <c r="D63" s="4"/>
      <c r="E63" s="4"/>
      <c r="F63" s="39"/>
      <c r="G63" s="4"/>
      <c r="H63" s="4"/>
      <c r="I63" s="1"/>
      <c r="J63" s="1"/>
      <c r="K63" s="1"/>
      <c r="L63" s="1"/>
      <c r="M63" s="1"/>
      <c r="N63" s="4"/>
    </row>
    <row r="64" spans="1:14" s="5" customFormat="1" x14ac:dyDescent="0.25">
      <c r="A64" s="2"/>
      <c r="B64" s="6"/>
      <c r="C64" s="4"/>
      <c r="D64" s="4"/>
      <c r="E64" s="4"/>
      <c r="F64" s="39"/>
      <c r="G64" s="4"/>
      <c r="H64" s="4"/>
      <c r="I64" s="1"/>
      <c r="J64" s="1"/>
      <c r="K64" s="1"/>
      <c r="L64" s="1"/>
      <c r="M64" s="1"/>
      <c r="N64" s="4"/>
    </row>
    <row r="65" spans="1:14" s="5" customFormat="1" x14ac:dyDescent="0.25">
      <c r="A65" s="2"/>
      <c r="B65" s="6"/>
      <c r="C65" s="4"/>
      <c r="D65" s="4"/>
      <c r="E65" s="4"/>
      <c r="F65" s="39"/>
      <c r="G65" s="4"/>
      <c r="H65" s="4"/>
      <c r="I65" s="1"/>
      <c r="J65" s="1"/>
      <c r="K65" s="1"/>
      <c r="L65" s="1"/>
      <c r="M65" s="1"/>
      <c r="N65" s="4"/>
    </row>
    <row r="66" spans="1:14" s="5" customFormat="1" x14ac:dyDescent="0.25">
      <c r="A66" s="2"/>
      <c r="B66" s="6"/>
      <c r="C66" s="4"/>
      <c r="D66" s="4"/>
      <c r="E66" s="4"/>
      <c r="F66" s="39"/>
      <c r="G66" s="4"/>
      <c r="H66" s="4"/>
      <c r="I66" s="1"/>
      <c r="J66" s="1"/>
      <c r="K66" s="1"/>
      <c r="L66" s="1"/>
      <c r="M66" s="1"/>
      <c r="N66" s="4"/>
    </row>
    <row r="67" spans="1:14" s="5" customFormat="1" x14ac:dyDescent="0.25">
      <c r="A67" s="2"/>
      <c r="B67" s="6"/>
      <c r="C67" s="4"/>
      <c r="D67" s="4"/>
      <c r="E67" s="4"/>
      <c r="F67" s="39"/>
      <c r="G67" s="4"/>
      <c r="H67" s="4"/>
      <c r="I67" s="1"/>
      <c r="J67" s="1"/>
      <c r="K67" s="1"/>
      <c r="L67" s="1"/>
      <c r="M67" s="1"/>
      <c r="N67" s="4"/>
    </row>
    <row r="68" spans="1:14" s="5" customFormat="1" x14ac:dyDescent="0.25">
      <c r="A68" s="2"/>
      <c r="B68" s="6"/>
      <c r="C68" s="4"/>
      <c r="D68" s="4"/>
      <c r="E68" s="4"/>
      <c r="F68" s="39"/>
      <c r="G68" s="4"/>
      <c r="H68" s="4"/>
      <c r="I68" s="1"/>
      <c r="J68" s="1"/>
      <c r="K68" s="1"/>
      <c r="L68" s="1"/>
      <c r="M68" s="1"/>
      <c r="N68" s="4"/>
    </row>
    <row r="69" spans="1:14" s="5" customFormat="1" x14ac:dyDescent="0.25">
      <c r="A69" s="2"/>
      <c r="B69" s="6"/>
      <c r="C69" s="4"/>
      <c r="D69" s="4"/>
      <c r="E69" s="4"/>
      <c r="F69" s="39"/>
      <c r="G69" s="4"/>
      <c r="H69" s="4"/>
      <c r="I69" s="1"/>
      <c r="J69" s="1"/>
      <c r="K69" s="1"/>
      <c r="L69" s="1"/>
      <c r="M69" s="1"/>
      <c r="N69" s="4"/>
    </row>
    <row r="70" spans="1:14" s="5" customFormat="1" x14ac:dyDescent="0.25">
      <c r="A70" s="2"/>
      <c r="B70" s="6"/>
      <c r="C70" s="4"/>
      <c r="D70" s="4"/>
      <c r="E70" s="4"/>
      <c r="F70" s="39"/>
      <c r="G70" s="4"/>
      <c r="H70" s="4"/>
      <c r="I70" s="1"/>
      <c r="J70" s="1"/>
      <c r="K70" s="1"/>
      <c r="L70" s="1"/>
      <c r="M70" s="1"/>
      <c r="N70" s="4"/>
    </row>
    <row r="71" spans="1:14" s="5" customFormat="1" x14ac:dyDescent="0.25">
      <c r="A71" s="2"/>
      <c r="B71" s="6"/>
      <c r="C71" s="4"/>
      <c r="D71" s="4"/>
      <c r="E71" s="4"/>
      <c r="F71" s="39"/>
      <c r="G71" s="4"/>
      <c r="H71" s="4"/>
      <c r="I71" s="1"/>
      <c r="J71" s="1"/>
      <c r="K71" s="1"/>
      <c r="L71" s="1"/>
      <c r="M71" s="1"/>
      <c r="N71" s="4"/>
    </row>
    <row r="72" spans="1:14" s="5" customFormat="1" x14ac:dyDescent="0.25">
      <c r="A72" s="2"/>
      <c r="B72" s="6"/>
      <c r="C72" s="4"/>
      <c r="D72" s="4"/>
      <c r="E72" s="4"/>
      <c r="F72" s="39"/>
      <c r="G72" s="4"/>
      <c r="H72" s="4"/>
      <c r="I72" s="1"/>
      <c r="J72" s="1"/>
      <c r="K72" s="1"/>
      <c r="L72" s="1"/>
      <c r="M72" s="1"/>
      <c r="N72" s="4"/>
    </row>
    <row r="73" spans="1:14" s="5" customFormat="1" x14ac:dyDescent="0.25">
      <c r="A73" s="2"/>
      <c r="B73" s="6"/>
      <c r="C73" s="4"/>
      <c r="D73" s="4"/>
      <c r="E73" s="4"/>
      <c r="F73" s="39"/>
      <c r="G73" s="4"/>
      <c r="H73" s="4"/>
      <c r="I73" s="1"/>
      <c r="J73" s="1"/>
      <c r="K73" s="1"/>
      <c r="L73" s="1"/>
      <c r="M73" s="1"/>
      <c r="N73" s="4"/>
    </row>
    <row r="74" spans="1:14" s="5" customFormat="1" x14ac:dyDescent="0.25">
      <c r="A74" s="2"/>
      <c r="B74" s="6"/>
      <c r="C74" s="4"/>
      <c r="D74" s="4"/>
      <c r="E74" s="4"/>
      <c r="F74" s="39"/>
      <c r="G74" s="4"/>
      <c r="H74" s="4"/>
      <c r="I74" s="1"/>
      <c r="J74" s="1"/>
      <c r="K74" s="1"/>
      <c r="L74" s="1"/>
      <c r="M74" s="1"/>
      <c r="N74" s="4"/>
    </row>
    <row r="75" spans="1:14" s="5" customFormat="1" x14ac:dyDescent="0.25">
      <c r="A75" s="2"/>
      <c r="B75" s="6"/>
      <c r="C75" s="4"/>
      <c r="D75" s="4"/>
      <c r="E75" s="4"/>
      <c r="F75" s="39"/>
      <c r="G75" s="4"/>
      <c r="H75" s="4"/>
      <c r="I75" s="1"/>
      <c r="J75" s="1"/>
      <c r="K75" s="1"/>
      <c r="L75" s="1"/>
      <c r="M75" s="1"/>
      <c r="N75" s="4"/>
    </row>
    <row r="76" spans="1:14" s="5" customFormat="1" x14ac:dyDescent="0.25">
      <c r="A76" s="2"/>
      <c r="B76" s="6"/>
      <c r="C76" s="4"/>
      <c r="D76" s="4"/>
      <c r="E76" s="4"/>
      <c r="F76" s="39"/>
      <c r="G76" s="4"/>
      <c r="H76" s="4"/>
      <c r="I76" s="1"/>
      <c r="J76" s="1"/>
      <c r="K76" s="1"/>
      <c r="L76" s="1"/>
      <c r="M76" s="1"/>
      <c r="N76" s="4"/>
    </row>
    <row r="77" spans="1:14" s="5" customFormat="1" x14ac:dyDescent="0.25">
      <c r="A77" s="2"/>
      <c r="B77" s="6"/>
      <c r="C77" s="4"/>
      <c r="D77" s="4"/>
      <c r="E77" s="4"/>
      <c r="F77" s="39"/>
      <c r="G77" s="4"/>
      <c r="H77" s="4"/>
      <c r="I77" s="1"/>
      <c r="J77" s="1"/>
      <c r="K77" s="1"/>
      <c r="L77" s="1"/>
      <c r="M77" s="1"/>
      <c r="N77" s="4"/>
    </row>
    <row r="78" spans="1:14" s="5" customFormat="1" x14ac:dyDescent="0.25">
      <c r="A78" s="2"/>
      <c r="B78" s="6"/>
      <c r="C78" s="4"/>
      <c r="D78" s="4"/>
      <c r="E78" s="4"/>
      <c r="F78" s="39"/>
      <c r="G78" s="4"/>
      <c r="H78" s="4"/>
      <c r="I78" s="1"/>
      <c r="J78" s="1"/>
      <c r="K78" s="1"/>
      <c r="L78" s="1"/>
      <c r="M78" s="1"/>
      <c r="N78" s="4"/>
    </row>
    <row r="79" spans="1:14" s="5" customFormat="1" x14ac:dyDescent="0.25">
      <c r="A79" s="2"/>
      <c r="B79" s="6"/>
      <c r="C79" s="4"/>
      <c r="D79" s="4"/>
      <c r="E79" s="4"/>
      <c r="F79" s="39"/>
      <c r="G79" s="4"/>
      <c r="H79" s="4"/>
      <c r="I79" s="1"/>
      <c r="J79" s="1"/>
      <c r="K79" s="1"/>
      <c r="L79" s="1"/>
      <c r="M79" s="1"/>
      <c r="N79" s="4"/>
    </row>
    <row r="80" spans="1:14" s="5" customFormat="1" x14ac:dyDescent="0.25">
      <c r="A80" s="2"/>
      <c r="B80" s="6"/>
      <c r="C80" s="4"/>
      <c r="D80" s="4"/>
      <c r="E80" s="4"/>
      <c r="F80" s="39"/>
      <c r="G80" s="4"/>
      <c r="H80" s="4"/>
      <c r="I80" s="1"/>
      <c r="J80" s="1"/>
      <c r="K80" s="1"/>
      <c r="L80" s="1"/>
      <c r="M80" s="1"/>
      <c r="N80" s="4"/>
    </row>
    <row r="81" spans="1:14" s="5" customFormat="1" x14ac:dyDescent="0.25">
      <c r="A81" s="2"/>
      <c r="B81" s="6"/>
      <c r="C81" s="4"/>
      <c r="D81" s="4"/>
      <c r="E81" s="4"/>
      <c r="F81" s="39"/>
      <c r="G81" s="4"/>
      <c r="H81" s="4"/>
      <c r="I81" s="1"/>
      <c r="J81" s="1"/>
      <c r="K81" s="1"/>
      <c r="L81" s="1"/>
      <c r="M81" s="1"/>
      <c r="N81" s="4"/>
    </row>
    <row r="82" spans="1:14" s="5" customFormat="1" x14ac:dyDescent="0.25">
      <c r="A82" s="2"/>
      <c r="B82" s="6"/>
      <c r="C82" s="4"/>
      <c r="D82" s="4"/>
      <c r="E82" s="4"/>
      <c r="F82" s="39"/>
      <c r="G82" s="4"/>
      <c r="H82" s="4"/>
      <c r="I82" s="1"/>
      <c r="J82" s="1"/>
      <c r="K82" s="1"/>
      <c r="L82" s="1"/>
      <c r="M82" s="1"/>
      <c r="N82" s="4"/>
    </row>
    <row r="83" spans="1:14" s="5" customFormat="1" x14ac:dyDescent="0.25">
      <c r="A83" s="2"/>
      <c r="B83" s="6"/>
      <c r="C83" s="4"/>
      <c r="D83" s="4"/>
      <c r="E83" s="4"/>
      <c r="F83" s="39"/>
      <c r="G83" s="4"/>
      <c r="H83" s="4"/>
      <c r="I83" s="1"/>
      <c r="J83" s="1"/>
      <c r="K83" s="1"/>
      <c r="L83" s="1"/>
      <c r="M83" s="1"/>
      <c r="N83" s="4"/>
    </row>
    <row r="84" spans="1:14" s="5" customFormat="1" x14ac:dyDescent="0.25">
      <c r="A84" s="2"/>
      <c r="B84" s="6"/>
      <c r="C84" s="4"/>
      <c r="D84" s="4"/>
      <c r="E84" s="4"/>
      <c r="F84" s="39"/>
      <c r="G84" s="4"/>
      <c r="H84" s="4"/>
      <c r="I84" s="1"/>
      <c r="J84" s="1"/>
      <c r="K84" s="1"/>
      <c r="L84" s="1"/>
      <c r="M84" s="1"/>
      <c r="N84" s="4"/>
    </row>
    <row r="85" spans="1:14" s="5" customFormat="1" x14ac:dyDescent="0.25">
      <c r="A85" s="2"/>
      <c r="B85" s="6"/>
      <c r="C85" s="4"/>
      <c r="D85" s="4"/>
      <c r="E85" s="4"/>
      <c r="F85" s="39"/>
      <c r="G85" s="4"/>
      <c r="H85" s="4"/>
      <c r="I85" s="1"/>
      <c r="J85" s="1"/>
      <c r="K85" s="1"/>
      <c r="L85" s="1"/>
      <c r="M85" s="1"/>
      <c r="N85" s="4"/>
    </row>
    <row r="86" spans="1:14" s="5" customFormat="1" x14ac:dyDescent="0.25">
      <c r="A86" s="2"/>
      <c r="B86" s="6"/>
      <c r="C86" s="4"/>
      <c r="D86" s="4"/>
      <c r="E86" s="4"/>
      <c r="F86" s="39"/>
      <c r="G86" s="4"/>
      <c r="H86" s="4"/>
      <c r="I86" s="1"/>
      <c r="J86" s="1"/>
      <c r="K86" s="1"/>
      <c r="L86" s="1"/>
      <c r="M86" s="1"/>
      <c r="N86" s="4"/>
    </row>
    <row r="87" spans="1:14" s="5" customFormat="1" x14ac:dyDescent="0.25">
      <c r="A87" s="2"/>
      <c r="B87" s="6"/>
      <c r="C87" s="4"/>
      <c r="D87" s="4"/>
      <c r="E87" s="4"/>
      <c r="F87" s="39"/>
      <c r="G87" s="4"/>
      <c r="H87" s="4"/>
      <c r="I87" s="1"/>
      <c r="J87" s="1"/>
      <c r="K87" s="1"/>
      <c r="L87" s="1"/>
      <c r="M87" s="1"/>
      <c r="N87" s="4"/>
    </row>
    <row r="88" spans="1:14" s="5" customFormat="1" x14ac:dyDescent="0.25">
      <c r="A88" s="2"/>
      <c r="B88" s="6"/>
      <c r="C88" s="4"/>
      <c r="D88" s="4"/>
      <c r="E88" s="4"/>
      <c r="F88" s="39"/>
      <c r="G88" s="4"/>
      <c r="H88" s="4"/>
      <c r="I88" s="1"/>
      <c r="J88" s="1"/>
      <c r="K88" s="1"/>
      <c r="L88" s="1"/>
      <c r="M88" s="1"/>
      <c r="N88" s="4"/>
    </row>
    <row r="89" spans="1:14" s="5" customFormat="1" x14ac:dyDescent="0.25">
      <c r="A89" s="2"/>
      <c r="B89" s="6"/>
      <c r="C89" s="4"/>
      <c r="D89" s="4"/>
      <c r="E89" s="4"/>
      <c r="F89" s="39"/>
      <c r="G89" s="4"/>
      <c r="H89" s="4"/>
      <c r="I89" s="1"/>
      <c r="J89" s="1"/>
      <c r="K89" s="1"/>
      <c r="L89" s="1"/>
      <c r="M89" s="1"/>
      <c r="N89" s="4"/>
    </row>
    <row r="90" spans="1:14" s="5" customFormat="1" x14ac:dyDescent="0.25">
      <c r="A90" s="2"/>
      <c r="B90" s="6"/>
      <c r="C90" s="4"/>
      <c r="D90" s="4"/>
      <c r="E90" s="4"/>
      <c r="F90" s="39"/>
      <c r="G90" s="4"/>
      <c r="H90" s="4"/>
      <c r="I90" s="1"/>
      <c r="J90" s="1"/>
      <c r="K90" s="1"/>
      <c r="L90" s="1"/>
      <c r="M90" s="1"/>
      <c r="N90" s="4"/>
    </row>
    <row r="91" spans="1:14" s="5" customFormat="1" x14ac:dyDescent="0.25">
      <c r="A91" s="2"/>
      <c r="B91" s="6"/>
      <c r="C91" s="4"/>
      <c r="D91" s="4"/>
      <c r="E91" s="4"/>
      <c r="F91" s="39"/>
      <c r="G91" s="4"/>
      <c r="H91" s="4"/>
      <c r="I91" s="1"/>
      <c r="J91" s="1"/>
      <c r="K91" s="1"/>
      <c r="L91" s="1"/>
      <c r="M91" s="1"/>
      <c r="N91" s="4"/>
    </row>
    <row r="92" spans="1:14" s="5" customFormat="1" x14ac:dyDescent="0.25">
      <c r="A92" s="2"/>
      <c r="B92" s="6"/>
      <c r="C92" s="4"/>
      <c r="D92" s="4"/>
      <c r="E92" s="4"/>
      <c r="F92" s="39"/>
      <c r="G92" s="4"/>
      <c r="H92" s="4"/>
      <c r="I92" s="1"/>
      <c r="J92" s="1"/>
      <c r="K92" s="1"/>
      <c r="L92" s="1"/>
      <c r="M92" s="1"/>
      <c r="N92" s="4"/>
    </row>
    <row r="93" spans="1:14" s="5" customFormat="1" x14ac:dyDescent="0.25">
      <c r="A93" s="2"/>
      <c r="B93" s="6"/>
      <c r="C93" s="4"/>
      <c r="D93" s="4"/>
      <c r="E93" s="4"/>
      <c r="F93" s="39"/>
      <c r="G93" s="4"/>
      <c r="H93" s="4"/>
      <c r="I93" s="1"/>
      <c r="J93" s="1"/>
      <c r="K93" s="1"/>
      <c r="L93" s="1"/>
      <c r="M93" s="1"/>
      <c r="N93" s="4"/>
    </row>
    <row r="94" spans="1:14" s="5" customFormat="1" x14ac:dyDescent="0.25">
      <c r="A94" s="2"/>
      <c r="B94" s="6"/>
      <c r="C94" s="4"/>
      <c r="D94" s="4"/>
      <c r="E94" s="4"/>
      <c r="F94" s="39"/>
      <c r="G94" s="4"/>
      <c r="H94" s="4"/>
      <c r="I94" s="1"/>
      <c r="J94" s="1"/>
      <c r="K94" s="1"/>
      <c r="L94" s="1"/>
      <c r="M94" s="1"/>
      <c r="N94" s="4"/>
    </row>
    <row r="95" spans="1:14" s="5" customFormat="1" x14ac:dyDescent="0.25">
      <c r="A95" s="2"/>
      <c r="B95" s="6"/>
      <c r="C95" s="4"/>
      <c r="D95" s="4"/>
      <c r="E95" s="4"/>
      <c r="F95" s="39"/>
      <c r="G95" s="4"/>
      <c r="H95" s="4"/>
      <c r="I95" s="1"/>
      <c r="J95" s="1"/>
      <c r="K95" s="1"/>
      <c r="L95" s="1"/>
      <c r="M95" s="1"/>
      <c r="N95" s="4"/>
    </row>
    <row r="96" spans="1:14" s="5" customFormat="1" x14ac:dyDescent="0.25">
      <c r="A96" s="2"/>
      <c r="B96" s="6"/>
      <c r="C96" s="4"/>
      <c r="D96" s="4"/>
      <c r="E96" s="4"/>
      <c r="F96" s="39"/>
      <c r="G96" s="4"/>
      <c r="H96" s="4"/>
      <c r="I96" s="1"/>
      <c r="J96" s="1"/>
      <c r="K96" s="1"/>
      <c r="L96" s="1"/>
      <c r="M96" s="1"/>
      <c r="N96" s="4"/>
    </row>
    <row r="97" spans="1:14" s="5" customFormat="1" x14ac:dyDescent="0.25">
      <c r="A97" s="2"/>
      <c r="B97" s="6"/>
      <c r="C97" s="4"/>
      <c r="D97" s="4"/>
      <c r="E97" s="4"/>
      <c r="F97" s="39"/>
      <c r="G97" s="4"/>
      <c r="H97" s="4"/>
      <c r="I97" s="1"/>
      <c r="J97" s="1"/>
      <c r="K97" s="1"/>
      <c r="L97" s="1"/>
      <c r="M97" s="1"/>
      <c r="N97" s="4"/>
    </row>
    <row r="98" spans="1:14" s="5" customFormat="1" x14ac:dyDescent="0.25">
      <c r="A98" s="2"/>
      <c r="B98" s="6"/>
      <c r="C98" s="4"/>
      <c r="D98" s="4"/>
      <c r="E98" s="4"/>
      <c r="F98" s="39"/>
      <c r="G98" s="4"/>
      <c r="H98" s="4"/>
      <c r="I98" s="1"/>
      <c r="J98" s="1"/>
      <c r="K98" s="1"/>
      <c r="L98" s="1"/>
      <c r="M98" s="1"/>
      <c r="N98" s="4"/>
    </row>
    <row r="99" spans="1:14" s="5" customFormat="1" x14ac:dyDescent="0.25">
      <c r="A99" s="2"/>
      <c r="B99" s="6"/>
      <c r="C99" s="4"/>
      <c r="D99" s="4"/>
      <c r="E99" s="4"/>
      <c r="F99" s="39"/>
      <c r="G99" s="4"/>
      <c r="H99" s="4"/>
      <c r="I99" s="1"/>
      <c r="J99" s="1"/>
      <c r="K99" s="1"/>
      <c r="L99" s="1"/>
      <c r="M99" s="1"/>
      <c r="N99" s="4"/>
    </row>
    <row r="100" spans="1:14" s="5" customFormat="1" x14ac:dyDescent="0.25">
      <c r="A100" s="2"/>
      <c r="B100" s="6"/>
      <c r="C100" s="4"/>
      <c r="D100" s="4"/>
      <c r="E100" s="4"/>
      <c r="F100" s="39"/>
      <c r="G100" s="4"/>
      <c r="H100" s="4"/>
      <c r="I100" s="1"/>
      <c r="J100" s="1"/>
      <c r="K100" s="1"/>
      <c r="L100" s="1"/>
      <c r="M100" s="1"/>
      <c r="N100" s="4"/>
    </row>
    <row r="101" spans="1:14" s="5" customFormat="1" x14ac:dyDescent="0.25">
      <c r="A101" s="2"/>
      <c r="B101" s="6"/>
      <c r="C101" s="4"/>
      <c r="D101" s="4"/>
      <c r="E101" s="4"/>
      <c r="F101" s="39"/>
      <c r="G101" s="4"/>
      <c r="H101" s="4"/>
      <c r="I101" s="1"/>
      <c r="J101" s="1"/>
      <c r="K101" s="1"/>
      <c r="L101" s="1"/>
      <c r="M101" s="1"/>
      <c r="N101" s="4"/>
    </row>
    <row r="102" spans="1:14" s="5" customFormat="1" x14ac:dyDescent="0.25">
      <c r="A102" s="2"/>
      <c r="B102" s="6"/>
      <c r="C102" s="4"/>
      <c r="D102" s="4"/>
      <c r="E102" s="4"/>
      <c r="F102" s="39"/>
      <c r="G102" s="4"/>
      <c r="H102" s="4"/>
      <c r="I102" s="1"/>
      <c r="J102" s="1"/>
      <c r="K102" s="1"/>
      <c r="L102" s="1"/>
      <c r="M102" s="1"/>
      <c r="N102" s="4"/>
    </row>
    <row r="103" spans="1:14" s="5" customFormat="1" x14ac:dyDescent="0.25">
      <c r="A103" s="2"/>
      <c r="B103" s="6"/>
      <c r="C103" s="4"/>
      <c r="D103" s="4"/>
      <c r="E103" s="4"/>
      <c r="F103" s="39"/>
      <c r="G103" s="4"/>
      <c r="H103" s="4"/>
      <c r="I103" s="1"/>
      <c r="J103" s="1"/>
      <c r="K103" s="1"/>
      <c r="L103" s="1"/>
      <c r="M103" s="1"/>
      <c r="N103" s="4"/>
    </row>
    <row r="104" spans="1:14" s="5" customFormat="1" x14ac:dyDescent="0.25">
      <c r="A104" s="2"/>
      <c r="B104" s="6"/>
      <c r="C104" s="4"/>
      <c r="D104" s="4"/>
      <c r="E104" s="4"/>
      <c r="F104" s="39"/>
      <c r="G104" s="4"/>
      <c r="H104" s="4"/>
      <c r="I104" s="1"/>
      <c r="J104" s="1"/>
      <c r="K104" s="1"/>
      <c r="L104" s="1"/>
      <c r="M104" s="1"/>
      <c r="N104" s="4"/>
    </row>
    <row r="105" spans="1:14" s="5" customFormat="1" x14ac:dyDescent="0.25">
      <c r="A105" s="2"/>
      <c r="B105" s="6"/>
      <c r="C105" s="4"/>
      <c r="D105" s="4"/>
      <c r="E105" s="4"/>
      <c r="F105" s="39"/>
      <c r="G105" s="4"/>
      <c r="H105" s="4"/>
      <c r="I105" s="1"/>
      <c r="J105" s="1"/>
      <c r="K105" s="1"/>
      <c r="L105" s="1"/>
      <c r="M105" s="1"/>
      <c r="N105" s="4"/>
    </row>
    <row r="106" spans="1:14" s="5" customFormat="1" x14ac:dyDescent="0.25">
      <c r="A106" s="2"/>
      <c r="B106" s="6"/>
      <c r="C106" s="4"/>
      <c r="D106" s="4"/>
      <c r="E106" s="4"/>
      <c r="F106" s="39"/>
      <c r="G106" s="4"/>
      <c r="H106" s="4"/>
      <c r="I106" s="1"/>
      <c r="J106" s="1"/>
      <c r="K106" s="1"/>
      <c r="L106" s="1"/>
      <c r="M106" s="1"/>
      <c r="N106" s="4"/>
    </row>
    <row r="107" spans="1:14" s="5" customFormat="1" x14ac:dyDescent="0.25">
      <c r="A107" s="2"/>
      <c r="B107" s="6"/>
      <c r="C107" s="4"/>
      <c r="D107" s="4"/>
      <c r="E107" s="4"/>
      <c r="F107" s="39"/>
      <c r="G107" s="4"/>
      <c r="H107" s="4"/>
      <c r="I107" s="1"/>
      <c r="J107" s="1"/>
      <c r="K107" s="1"/>
      <c r="L107" s="1"/>
      <c r="M107" s="1"/>
      <c r="N107" s="4"/>
    </row>
    <row r="108" spans="1:14" s="5" customFormat="1" x14ac:dyDescent="0.25">
      <c r="A108" s="2"/>
      <c r="B108" s="6"/>
      <c r="C108" s="4"/>
      <c r="D108" s="4"/>
      <c r="E108" s="4"/>
      <c r="F108" s="39"/>
      <c r="G108" s="4"/>
      <c r="H108" s="4"/>
      <c r="I108" s="1"/>
      <c r="J108" s="1"/>
      <c r="K108" s="1"/>
      <c r="L108" s="1"/>
      <c r="M108" s="1"/>
      <c r="N108" s="4"/>
    </row>
    <row r="109" spans="1:14" s="5" customFormat="1" x14ac:dyDescent="0.25">
      <c r="A109" s="2"/>
      <c r="B109" s="6"/>
      <c r="C109" s="4"/>
      <c r="D109" s="4"/>
      <c r="E109" s="4"/>
      <c r="F109" s="39"/>
      <c r="G109" s="4"/>
      <c r="H109" s="4"/>
      <c r="I109" s="1"/>
      <c r="J109" s="1"/>
      <c r="K109" s="1"/>
      <c r="L109" s="1"/>
      <c r="M109" s="1"/>
      <c r="N109" s="4"/>
    </row>
    <row r="110" spans="1:14" s="5" customFormat="1" x14ac:dyDescent="0.25">
      <c r="A110" s="2"/>
      <c r="B110" s="6"/>
      <c r="C110" s="4"/>
      <c r="D110" s="4"/>
      <c r="E110" s="4"/>
      <c r="F110" s="39"/>
      <c r="G110" s="4"/>
      <c r="H110" s="4"/>
      <c r="I110" s="1"/>
      <c r="J110" s="1"/>
      <c r="K110" s="1"/>
      <c r="L110" s="1"/>
      <c r="M110" s="1"/>
      <c r="N110" s="4"/>
    </row>
    <row r="111" spans="1:14" s="5" customFormat="1" x14ac:dyDescent="0.25">
      <c r="A111" s="2"/>
      <c r="B111" s="6"/>
      <c r="C111" s="4"/>
      <c r="D111" s="4"/>
      <c r="E111" s="4"/>
      <c r="F111" s="39"/>
      <c r="G111" s="4"/>
      <c r="H111" s="4"/>
      <c r="I111" s="1"/>
      <c r="J111" s="1"/>
      <c r="K111" s="1"/>
      <c r="L111" s="1"/>
      <c r="M111" s="1"/>
      <c r="N111" s="4"/>
    </row>
    <row r="112" spans="1:14" s="5" customFormat="1" x14ac:dyDescent="0.25">
      <c r="A112" s="2"/>
      <c r="B112" s="6"/>
      <c r="C112" s="4"/>
      <c r="D112" s="4"/>
      <c r="E112" s="4"/>
      <c r="F112" s="39"/>
      <c r="G112" s="4"/>
      <c r="H112" s="4"/>
      <c r="I112" s="1"/>
      <c r="J112" s="1"/>
      <c r="K112" s="1"/>
      <c r="L112" s="1"/>
      <c r="M112" s="1"/>
      <c r="N112" s="4"/>
    </row>
    <row r="113" spans="1:14" s="5" customFormat="1" x14ac:dyDescent="0.25">
      <c r="A113" s="2"/>
      <c r="B113" s="6"/>
      <c r="C113" s="4"/>
      <c r="D113" s="4"/>
      <c r="E113" s="4"/>
      <c r="F113" s="39"/>
      <c r="G113" s="4"/>
      <c r="H113" s="4"/>
      <c r="I113" s="1"/>
      <c r="J113" s="1"/>
      <c r="K113" s="1"/>
      <c r="L113" s="1"/>
      <c r="M113" s="1"/>
      <c r="N113" s="4"/>
    </row>
    <row r="114" spans="1:14" s="5" customFormat="1" x14ac:dyDescent="0.25">
      <c r="A114" s="2"/>
      <c r="B114" s="6"/>
      <c r="C114" s="4"/>
      <c r="D114" s="4"/>
      <c r="E114" s="4"/>
      <c r="F114" s="39"/>
      <c r="G114" s="4"/>
      <c r="H114" s="4"/>
      <c r="I114" s="1"/>
      <c r="J114" s="1"/>
      <c r="K114" s="1"/>
      <c r="L114" s="1"/>
      <c r="M114" s="1"/>
      <c r="N114" s="4"/>
    </row>
    <row r="115" spans="1:14" s="5" customFormat="1" x14ac:dyDescent="0.25">
      <c r="A115" s="2"/>
      <c r="B115" s="6"/>
      <c r="C115" s="4"/>
      <c r="D115" s="4"/>
      <c r="E115" s="4"/>
      <c r="F115" s="39"/>
      <c r="G115" s="4"/>
      <c r="H115" s="4"/>
      <c r="I115" s="1"/>
      <c r="J115" s="1"/>
      <c r="K115" s="1"/>
      <c r="L115" s="1"/>
      <c r="M115" s="1"/>
      <c r="N115" s="4"/>
    </row>
    <row r="116" spans="1:14" s="5" customFormat="1" x14ac:dyDescent="0.25">
      <c r="A116" s="2"/>
      <c r="B116" s="6"/>
      <c r="C116" s="4"/>
      <c r="D116" s="4"/>
      <c r="E116" s="4"/>
      <c r="F116" s="39"/>
      <c r="G116" s="4"/>
      <c r="H116" s="4"/>
      <c r="I116" s="1"/>
      <c r="J116" s="1"/>
      <c r="K116" s="1"/>
      <c r="L116" s="1"/>
      <c r="M116" s="1"/>
      <c r="N116" s="4"/>
    </row>
    <row r="117" spans="1:14" s="5" customFormat="1" x14ac:dyDescent="0.25">
      <c r="A117" s="2"/>
      <c r="B117" s="6"/>
      <c r="C117" s="4"/>
      <c r="D117" s="4"/>
      <c r="E117" s="4"/>
      <c r="F117" s="39"/>
      <c r="G117" s="4"/>
      <c r="H117" s="4"/>
      <c r="I117" s="1"/>
      <c r="J117" s="1"/>
      <c r="K117" s="1"/>
      <c r="L117" s="1"/>
      <c r="M117" s="1"/>
      <c r="N117" s="4"/>
    </row>
    <row r="118" spans="1:14" s="5" customFormat="1" x14ac:dyDescent="0.25">
      <c r="A118" s="2"/>
      <c r="B118" s="6"/>
      <c r="C118" s="4"/>
      <c r="D118" s="4"/>
      <c r="E118" s="4"/>
      <c r="F118" s="39"/>
      <c r="G118" s="4"/>
      <c r="H118" s="4"/>
      <c r="I118" s="1"/>
      <c r="J118" s="1"/>
      <c r="K118" s="1"/>
      <c r="L118" s="1"/>
      <c r="M118" s="1"/>
      <c r="N118" s="4"/>
    </row>
    <row r="119" spans="1:14" s="5" customFormat="1" x14ac:dyDescent="0.25">
      <c r="A119" s="2"/>
      <c r="B119" s="6"/>
      <c r="C119" s="4"/>
      <c r="D119" s="4"/>
      <c r="E119" s="4"/>
      <c r="F119" s="39"/>
      <c r="G119" s="4"/>
      <c r="H119" s="4"/>
      <c r="I119" s="1"/>
      <c r="J119" s="1"/>
      <c r="K119" s="1"/>
      <c r="L119" s="1"/>
      <c r="M119" s="1"/>
      <c r="N119" s="4"/>
    </row>
    <row r="120" spans="1:14" s="5" customFormat="1" x14ac:dyDescent="0.25">
      <c r="A120" s="2"/>
      <c r="B120" s="6"/>
      <c r="C120" s="4"/>
      <c r="D120" s="4"/>
      <c r="E120" s="4"/>
      <c r="F120" s="39"/>
      <c r="G120" s="4"/>
      <c r="H120" s="4"/>
      <c r="I120" s="1"/>
      <c r="J120" s="1"/>
      <c r="K120" s="1"/>
      <c r="L120" s="1"/>
      <c r="M120" s="1"/>
      <c r="N120" s="4"/>
    </row>
    <row r="121" spans="1:14" s="5" customFormat="1" x14ac:dyDescent="0.25">
      <c r="A121" s="2"/>
      <c r="B121" s="6"/>
      <c r="C121" s="4"/>
      <c r="D121" s="4"/>
      <c r="E121" s="4"/>
      <c r="F121" s="39"/>
      <c r="G121" s="4"/>
      <c r="H121" s="4"/>
      <c r="I121" s="1"/>
      <c r="J121" s="1"/>
      <c r="K121" s="1"/>
      <c r="L121" s="1"/>
      <c r="M121" s="1"/>
      <c r="N121" s="4"/>
    </row>
    <row r="122" spans="1:14" s="5" customFormat="1" x14ac:dyDescent="0.25">
      <c r="A122" s="2"/>
      <c r="B122" s="6"/>
      <c r="C122" s="4"/>
      <c r="D122" s="4"/>
      <c r="E122" s="4"/>
      <c r="F122" s="39"/>
      <c r="G122" s="4"/>
      <c r="H122" s="4"/>
      <c r="I122" s="1"/>
      <c r="J122" s="1"/>
      <c r="K122" s="1"/>
      <c r="L122" s="1"/>
      <c r="M122" s="1"/>
      <c r="N122" s="4"/>
    </row>
    <row r="123" spans="1:14" s="5" customFormat="1" x14ac:dyDescent="0.25">
      <c r="A123" s="2"/>
      <c r="B123" s="6"/>
      <c r="C123" s="4"/>
      <c r="D123" s="4"/>
      <c r="E123" s="4"/>
      <c r="F123" s="39"/>
      <c r="G123" s="4"/>
      <c r="H123" s="4"/>
      <c r="I123" s="1"/>
      <c r="J123" s="1"/>
      <c r="K123" s="1"/>
      <c r="L123" s="1"/>
      <c r="M123" s="1"/>
      <c r="N123" s="4"/>
    </row>
    <row r="124" spans="1:14" s="5" customFormat="1" x14ac:dyDescent="0.25">
      <c r="A124" s="2"/>
      <c r="B124" s="6"/>
      <c r="C124" s="4"/>
      <c r="D124" s="4"/>
      <c r="E124" s="4"/>
      <c r="F124" s="39"/>
      <c r="G124" s="4"/>
      <c r="H124" s="4"/>
      <c r="I124" s="1"/>
      <c r="J124" s="1"/>
      <c r="K124" s="1"/>
      <c r="L124" s="1"/>
      <c r="M124" s="1"/>
      <c r="N124" s="4"/>
    </row>
    <row r="125" spans="1:14" s="5" customFormat="1" x14ac:dyDescent="0.25">
      <c r="A125" s="2"/>
      <c r="B125" s="6"/>
      <c r="C125" s="4"/>
      <c r="D125" s="4"/>
      <c r="E125" s="4"/>
      <c r="F125" s="39"/>
      <c r="G125" s="4"/>
      <c r="H125" s="4"/>
      <c r="I125" s="1"/>
      <c r="J125" s="1"/>
      <c r="K125" s="1"/>
      <c r="L125" s="1"/>
      <c r="M125" s="1"/>
      <c r="N125" s="4"/>
    </row>
    <row r="126" spans="1:14" s="5" customFormat="1" x14ac:dyDescent="0.25">
      <c r="A126" s="2"/>
      <c r="B126" s="6"/>
      <c r="C126" s="4"/>
      <c r="D126" s="4"/>
      <c r="E126" s="4"/>
      <c r="F126" s="39"/>
      <c r="G126" s="4"/>
      <c r="H126" s="4"/>
      <c r="I126" s="1"/>
      <c r="J126" s="1"/>
      <c r="K126" s="1"/>
      <c r="L126" s="1"/>
      <c r="M126" s="1"/>
      <c r="N126" s="4"/>
    </row>
    <row r="127" spans="1:14" s="5" customFormat="1" x14ac:dyDescent="0.25">
      <c r="A127" s="2"/>
      <c r="B127" s="6"/>
      <c r="C127" s="4"/>
      <c r="D127" s="4"/>
      <c r="E127" s="4"/>
      <c r="F127" s="39"/>
      <c r="G127" s="4"/>
      <c r="H127" s="4"/>
      <c r="I127" s="1"/>
      <c r="J127" s="1"/>
      <c r="K127" s="1"/>
      <c r="L127" s="1"/>
      <c r="M127" s="1"/>
      <c r="N127" s="4"/>
    </row>
    <row r="128" spans="1:14" s="5" customFormat="1" x14ac:dyDescent="0.25">
      <c r="A128" s="2"/>
      <c r="B128" s="6"/>
      <c r="C128" s="4"/>
      <c r="D128" s="4"/>
      <c r="E128" s="4"/>
      <c r="F128" s="39"/>
      <c r="G128" s="4"/>
      <c r="H128" s="4"/>
      <c r="I128" s="1"/>
      <c r="J128" s="1"/>
      <c r="K128" s="1"/>
      <c r="L128" s="1"/>
      <c r="M128" s="1"/>
      <c r="N128" s="4"/>
    </row>
    <row r="129" spans="1:14" s="5" customFormat="1" x14ac:dyDescent="0.25">
      <c r="A129" s="2"/>
      <c r="B129" s="6"/>
      <c r="C129" s="4"/>
      <c r="D129" s="4"/>
      <c r="E129" s="4"/>
      <c r="F129" s="39"/>
      <c r="G129" s="4"/>
      <c r="H129" s="4"/>
      <c r="I129" s="1"/>
      <c r="J129" s="1"/>
      <c r="K129" s="1"/>
      <c r="L129" s="1"/>
      <c r="M129" s="1"/>
      <c r="N129" s="4"/>
    </row>
    <row r="130" spans="1:14" s="5" customFormat="1" x14ac:dyDescent="0.25">
      <c r="A130" s="2"/>
      <c r="B130" s="6"/>
      <c r="C130" s="4"/>
      <c r="D130" s="4"/>
      <c r="E130" s="4"/>
      <c r="F130" s="39"/>
      <c r="G130" s="4"/>
      <c r="H130" s="4"/>
      <c r="I130" s="1"/>
      <c r="J130" s="1"/>
      <c r="K130" s="1"/>
      <c r="L130" s="1"/>
      <c r="M130" s="1"/>
      <c r="N130" s="4"/>
    </row>
    <row r="131" spans="1:14" s="5" customFormat="1" x14ac:dyDescent="0.25">
      <c r="A131" s="2"/>
      <c r="B131" s="6"/>
      <c r="C131" s="4"/>
      <c r="D131" s="4"/>
      <c r="E131" s="4"/>
      <c r="F131" s="39"/>
      <c r="G131" s="4"/>
      <c r="H131" s="4"/>
      <c r="I131" s="1"/>
      <c r="J131" s="1"/>
      <c r="K131" s="1"/>
      <c r="L131" s="1"/>
      <c r="M131" s="1"/>
      <c r="N131" s="4"/>
    </row>
    <row r="132" spans="1:14" s="5" customFormat="1" x14ac:dyDescent="0.25">
      <c r="A132" s="2"/>
      <c r="B132" s="6"/>
      <c r="C132" s="4"/>
      <c r="D132" s="4"/>
      <c r="E132" s="4"/>
      <c r="F132" s="39"/>
      <c r="G132" s="4"/>
      <c r="H132" s="4"/>
      <c r="I132" s="1"/>
      <c r="J132" s="1"/>
      <c r="K132" s="1"/>
      <c r="L132" s="1"/>
      <c r="M132" s="1"/>
      <c r="N132" s="4"/>
    </row>
    <row r="133" spans="1:14" s="5" customFormat="1" x14ac:dyDescent="0.25">
      <c r="A133" s="2"/>
      <c r="B133" s="6"/>
      <c r="C133" s="4"/>
      <c r="D133" s="4"/>
      <c r="E133" s="4"/>
      <c r="F133" s="39"/>
      <c r="G133" s="4"/>
      <c r="H133" s="4"/>
      <c r="I133" s="1"/>
      <c r="J133" s="1"/>
      <c r="K133" s="1"/>
      <c r="L133" s="1"/>
      <c r="M133" s="1"/>
      <c r="N133" s="4"/>
    </row>
    <row r="134" spans="1:14" s="5" customFormat="1" x14ac:dyDescent="0.25">
      <c r="A134" s="2"/>
      <c r="B134" s="6"/>
      <c r="C134" s="4"/>
      <c r="D134" s="4"/>
      <c r="E134" s="4"/>
      <c r="F134" s="39"/>
      <c r="G134" s="4"/>
      <c r="H134" s="4"/>
      <c r="I134" s="1"/>
      <c r="J134" s="1"/>
      <c r="K134" s="1"/>
      <c r="L134" s="1"/>
      <c r="M134" s="1"/>
      <c r="N134" s="4"/>
    </row>
    <row r="135" spans="1:14" s="5" customFormat="1" x14ac:dyDescent="0.25">
      <c r="A135" s="2"/>
      <c r="B135" s="6"/>
      <c r="C135" s="4"/>
      <c r="D135" s="4"/>
      <c r="E135" s="4"/>
      <c r="F135" s="39"/>
      <c r="G135" s="4"/>
      <c r="H135" s="4"/>
      <c r="I135" s="1"/>
      <c r="J135" s="1"/>
      <c r="K135" s="1"/>
      <c r="L135" s="1"/>
      <c r="M135" s="1"/>
      <c r="N135" s="4"/>
    </row>
    <row r="136" spans="1:14" s="5" customFormat="1" x14ac:dyDescent="0.25">
      <c r="A136" s="2"/>
      <c r="B136" s="6"/>
      <c r="C136" s="4"/>
      <c r="D136" s="4"/>
      <c r="E136" s="4"/>
      <c r="F136" s="39"/>
      <c r="G136" s="4"/>
      <c r="H136" s="4"/>
      <c r="I136" s="1"/>
      <c r="J136" s="1"/>
      <c r="K136" s="1"/>
      <c r="L136" s="1"/>
      <c r="M136" s="1"/>
      <c r="N136" s="4"/>
    </row>
    <row r="137" spans="1:14" s="5" customFormat="1" x14ac:dyDescent="0.25">
      <c r="A137" s="2"/>
      <c r="B137" s="6"/>
      <c r="C137" s="4"/>
      <c r="D137" s="4"/>
      <c r="E137" s="4"/>
      <c r="F137" s="39"/>
      <c r="G137" s="4"/>
      <c r="H137" s="4"/>
      <c r="I137" s="1"/>
      <c r="J137" s="1"/>
      <c r="K137" s="1"/>
      <c r="L137" s="1"/>
      <c r="M137" s="1"/>
      <c r="N137" s="4"/>
    </row>
    <row r="138" spans="1:14" s="5" customFormat="1" x14ac:dyDescent="0.25">
      <c r="A138" s="2"/>
      <c r="B138" s="6"/>
      <c r="C138" s="4"/>
      <c r="D138" s="4"/>
      <c r="E138" s="4"/>
      <c r="F138" s="39"/>
      <c r="G138" s="4"/>
      <c r="H138" s="4"/>
      <c r="I138" s="1"/>
      <c r="J138" s="1"/>
      <c r="K138" s="1"/>
      <c r="L138" s="1"/>
      <c r="M138" s="1"/>
      <c r="N138" s="4"/>
    </row>
    <row r="139" spans="1:14" s="5" customFormat="1" x14ac:dyDescent="0.25">
      <c r="A139" s="2"/>
      <c r="B139" s="6"/>
      <c r="C139" s="4"/>
      <c r="D139" s="4"/>
      <c r="E139" s="4"/>
      <c r="F139" s="39"/>
      <c r="G139" s="4"/>
      <c r="H139" s="4"/>
      <c r="I139" s="1"/>
      <c r="J139" s="1"/>
      <c r="K139" s="1"/>
      <c r="L139" s="1"/>
      <c r="M139" s="1"/>
      <c r="N139" s="4"/>
    </row>
    <row r="140" spans="1:14" s="5" customFormat="1" x14ac:dyDescent="0.25">
      <c r="A140" s="2"/>
      <c r="B140" s="6"/>
      <c r="C140" s="4"/>
      <c r="D140" s="4"/>
      <c r="E140" s="4"/>
      <c r="F140" s="39"/>
      <c r="G140" s="4"/>
      <c r="H140" s="4"/>
      <c r="I140" s="1"/>
      <c r="J140" s="1"/>
      <c r="K140" s="1"/>
      <c r="L140" s="1"/>
      <c r="M140" s="1"/>
      <c r="N140" s="4"/>
    </row>
    <row r="141" spans="1:14" s="5" customFormat="1" x14ac:dyDescent="0.25">
      <c r="A141" s="2"/>
      <c r="B141" s="6"/>
      <c r="C141" s="4"/>
      <c r="D141" s="4"/>
      <c r="E141" s="4"/>
      <c r="F141" s="39"/>
      <c r="G141" s="4"/>
      <c r="H141" s="4"/>
      <c r="I141" s="1"/>
      <c r="J141" s="1"/>
      <c r="K141" s="1"/>
      <c r="L141" s="1"/>
      <c r="M141" s="1"/>
      <c r="N141" s="4"/>
    </row>
    <row r="142" spans="1:14" s="5" customFormat="1" x14ac:dyDescent="0.25">
      <c r="A142" s="2"/>
      <c r="B142" s="6"/>
      <c r="C142" s="4"/>
      <c r="D142" s="4"/>
      <c r="E142" s="4"/>
      <c r="F142" s="39"/>
      <c r="G142" s="4"/>
      <c r="H142" s="4"/>
      <c r="I142" s="1"/>
      <c r="J142" s="1"/>
      <c r="K142" s="1"/>
      <c r="L142" s="1"/>
      <c r="M142" s="1"/>
      <c r="N142" s="4"/>
    </row>
    <row r="143" spans="1:14" s="5" customFormat="1" x14ac:dyDescent="0.25">
      <c r="A143" s="2"/>
      <c r="B143" s="6"/>
      <c r="C143" s="4"/>
      <c r="D143" s="4"/>
      <c r="E143" s="4"/>
      <c r="F143" s="39"/>
      <c r="G143" s="4"/>
      <c r="H143" s="4"/>
      <c r="I143" s="1"/>
      <c r="J143" s="1"/>
      <c r="K143" s="1"/>
      <c r="L143" s="1"/>
      <c r="M143" s="1"/>
      <c r="N143" s="4"/>
    </row>
    <row r="144" spans="1:14" s="5" customFormat="1" x14ac:dyDescent="0.25">
      <c r="A144" s="2"/>
      <c r="B144" s="6"/>
      <c r="C144" s="4"/>
      <c r="D144" s="4"/>
      <c r="E144" s="4"/>
      <c r="F144" s="39"/>
      <c r="G144" s="4"/>
      <c r="H144" s="4"/>
      <c r="I144" s="1"/>
      <c r="J144" s="1"/>
      <c r="K144" s="1"/>
      <c r="L144" s="1"/>
      <c r="M144" s="1"/>
      <c r="N144" s="4"/>
    </row>
    <row r="145" spans="1:14" s="5" customFormat="1" x14ac:dyDescent="0.25">
      <c r="A145" s="2"/>
      <c r="B145" s="6"/>
      <c r="C145" s="4"/>
      <c r="D145" s="4"/>
      <c r="E145" s="4"/>
      <c r="F145" s="39"/>
      <c r="G145" s="4"/>
      <c r="H145" s="4"/>
      <c r="I145" s="1"/>
      <c r="J145" s="1"/>
      <c r="K145" s="1"/>
      <c r="L145" s="1"/>
      <c r="M145" s="1"/>
      <c r="N145" s="4"/>
    </row>
    <row r="146" spans="1:14" s="5" customFormat="1" x14ac:dyDescent="0.25">
      <c r="A146" s="2"/>
      <c r="B146" s="6"/>
      <c r="C146" s="4"/>
      <c r="D146" s="4"/>
      <c r="E146" s="4"/>
      <c r="F146" s="39"/>
      <c r="G146" s="4"/>
      <c r="H146" s="4"/>
      <c r="I146" s="1"/>
      <c r="J146" s="1"/>
      <c r="K146" s="1"/>
      <c r="L146" s="1"/>
      <c r="M146" s="1"/>
      <c r="N146" s="4"/>
    </row>
    <row r="147" spans="1:14" s="5" customFormat="1" x14ac:dyDescent="0.25">
      <c r="A147" s="2"/>
      <c r="B147" s="6"/>
      <c r="C147" s="4"/>
      <c r="D147" s="4"/>
      <c r="E147" s="4"/>
      <c r="F147" s="39"/>
      <c r="G147" s="4"/>
      <c r="H147" s="4"/>
      <c r="I147" s="1"/>
      <c r="J147" s="1"/>
      <c r="K147" s="1"/>
      <c r="L147" s="1"/>
      <c r="M147" s="1"/>
      <c r="N147" s="4"/>
    </row>
    <row r="148" spans="1:14" s="5" customFormat="1" x14ac:dyDescent="0.25">
      <c r="A148" s="2"/>
      <c r="B148" s="6"/>
      <c r="C148" s="4"/>
      <c r="D148" s="4"/>
      <c r="E148" s="4"/>
      <c r="F148" s="39"/>
      <c r="G148" s="4"/>
      <c r="H148" s="4"/>
      <c r="I148" s="1"/>
      <c r="J148" s="1"/>
      <c r="K148" s="1"/>
      <c r="L148" s="1"/>
      <c r="M148" s="1"/>
      <c r="N148" s="4"/>
    </row>
    <row r="149" spans="1:14" s="5" customFormat="1" x14ac:dyDescent="0.25">
      <c r="A149" s="2"/>
      <c r="B149" s="6"/>
      <c r="C149" s="4"/>
      <c r="D149" s="4"/>
      <c r="E149" s="4"/>
      <c r="F149" s="39"/>
      <c r="G149" s="4"/>
      <c r="H149" s="4"/>
      <c r="I149" s="1"/>
      <c r="J149" s="1"/>
      <c r="K149" s="1"/>
      <c r="L149" s="1"/>
      <c r="M149" s="1"/>
      <c r="N149" s="4"/>
    </row>
    <row r="150" spans="1:14" s="5" customFormat="1" x14ac:dyDescent="0.25">
      <c r="A150" s="2"/>
      <c r="B150" s="6"/>
      <c r="C150" s="4"/>
      <c r="D150" s="4"/>
      <c r="E150" s="4"/>
      <c r="F150" s="39"/>
      <c r="G150" s="4"/>
      <c r="H150" s="4"/>
      <c r="I150" s="1"/>
      <c r="J150" s="1"/>
      <c r="K150" s="1"/>
      <c r="L150" s="1"/>
      <c r="M150" s="1"/>
      <c r="N150" s="4"/>
    </row>
    <row r="151" spans="1:14" s="5" customFormat="1" x14ac:dyDescent="0.25">
      <c r="A151" s="2"/>
      <c r="B151" s="6"/>
      <c r="C151" s="4"/>
      <c r="D151" s="4"/>
      <c r="E151" s="4"/>
      <c r="F151" s="39"/>
      <c r="G151" s="4"/>
      <c r="H151" s="4"/>
      <c r="I151" s="1"/>
      <c r="J151" s="1"/>
      <c r="K151" s="1"/>
      <c r="L151" s="1"/>
      <c r="M151" s="1"/>
      <c r="N151" s="4"/>
    </row>
    <row r="152" spans="1:14" s="5" customFormat="1" x14ac:dyDescent="0.25">
      <c r="A152" s="2"/>
      <c r="B152" s="6"/>
      <c r="C152" s="4"/>
      <c r="D152" s="4"/>
      <c r="E152" s="4"/>
      <c r="F152" s="39"/>
      <c r="G152" s="4"/>
      <c r="H152" s="4"/>
      <c r="I152" s="1"/>
      <c r="J152" s="1"/>
      <c r="K152" s="1"/>
      <c r="L152" s="1"/>
      <c r="M152" s="1"/>
      <c r="N152" s="4"/>
    </row>
    <row r="153" spans="1:14" s="5" customFormat="1" x14ac:dyDescent="0.25">
      <c r="A153" s="2"/>
      <c r="B153" s="6"/>
      <c r="C153" s="4"/>
      <c r="D153" s="4"/>
      <c r="E153" s="4"/>
      <c r="F153" s="39"/>
      <c r="G153" s="4"/>
      <c r="H153" s="4"/>
      <c r="I153" s="1"/>
      <c r="J153" s="1"/>
      <c r="K153" s="1"/>
      <c r="L153" s="1"/>
      <c r="M153" s="1"/>
      <c r="N153" s="4"/>
    </row>
    <row r="154" spans="1:14" s="5" customFormat="1" x14ac:dyDescent="0.25">
      <c r="A154" s="2"/>
      <c r="B154" s="6"/>
      <c r="C154" s="4"/>
      <c r="D154" s="4"/>
      <c r="E154" s="4"/>
      <c r="F154" s="39"/>
      <c r="G154" s="4"/>
      <c r="H154" s="4"/>
      <c r="I154" s="1"/>
      <c r="J154" s="1"/>
      <c r="K154" s="1"/>
      <c r="L154" s="1"/>
      <c r="M154" s="1"/>
      <c r="N154" s="4"/>
    </row>
    <row r="155" spans="1:14" s="5" customFormat="1" x14ac:dyDescent="0.25">
      <c r="A155" s="2"/>
      <c r="B155" s="6"/>
      <c r="C155" s="4"/>
      <c r="D155" s="4"/>
      <c r="E155" s="4"/>
      <c r="F155" s="39"/>
      <c r="G155" s="4"/>
      <c r="H155" s="4"/>
      <c r="I155" s="1"/>
      <c r="J155" s="1"/>
      <c r="K155" s="1"/>
      <c r="L155" s="1"/>
      <c r="M155" s="1"/>
      <c r="N155" s="4"/>
    </row>
    <row r="156" spans="1:14" s="5" customFormat="1" x14ac:dyDescent="0.25">
      <c r="A156" s="2"/>
      <c r="B156" s="6"/>
      <c r="C156" s="4"/>
      <c r="D156" s="4"/>
      <c r="E156" s="4"/>
      <c r="F156" s="39"/>
      <c r="G156" s="4"/>
      <c r="H156" s="4"/>
      <c r="I156" s="1"/>
      <c r="J156" s="1"/>
      <c r="K156" s="1"/>
      <c r="L156" s="1"/>
      <c r="M156" s="1"/>
      <c r="N156" s="4"/>
    </row>
    <row r="157" spans="1:14" s="5" customFormat="1" x14ac:dyDescent="0.25">
      <c r="A157" s="2"/>
      <c r="B157" s="6"/>
      <c r="C157" s="4"/>
      <c r="D157" s="4"/>
      <c r="E157" s="4"/>
      <c r="F157" s="39"/>
      <c r="G157" s="4"/>
      <c r="H157" s="4"/>
      <c r="I157" s="1"/>
      <c r="J157" s="1"/>
      <c r="K157" s="1"/>
      <c r="L157" s="1"/>
      <c r="M157" s="1"/>
      <c r="N157" s="4"/>
    </row>
    <row r="158" spans="1:14" s="5" customFormat="1" x14ac:dyDescent="0.25">
      <c r="A158" s="2"/>
      <c r="B158" s="6"/>
      <c r="C158" s="4"/>
      <c r="D158" s="4"/>
      <c r="E158" s="4"/>
      <c r="F158" s="39"/>
      <c r="G158" s="4"/>
      <c r="H158" s="4"/>
      <c r="I158" s="1"/>
      <c r="J158" s="1"/>
      <c r="K158" s="1"/>
      <c r="L158" s="1"/>
      <c r="M158" s="1"/>
      <c r="N158" s="4"/>
    </row>
    <row r="159" spans="1:14" s="5" customFormat="1" x14ac:dyDescent="0.25">
      <c r="A159" s="2"/>
      <c r="B159" s="6"/>
      <c r="C159" s="4"/>
      <c r="D159" s="4"/>
      <c r="E159" s="4"/>
      <c r="F159" s="39"/>
      <c r="G159" s="4"/>
      <c r="H159" s="4"/>
      <c r="I159" s="1"/>
      <c r="J159" s="1"/>
      <c r="K159" s="1"/>
      <c r="L159" s="1"/>
      <c r="M159" s="1"/>
      <c r="N159" s="4"/>
    </row>
    <row r="160" spans="1:14" s="5" customFormat="1" x14ac:dyDescent="0.25">
      <c r="A160" s="2"/>
      <c r="B160" s="6"/>
      <c r="C160" s="4"/>
      <c r="D160" s="4"/>
      <c r="E160" s="4"/>
      <c r="F160" s="39"/>
      <c r="G160" s="4"/>
      <c r="H160" s="4"/>
      <c r="I160" s="1"/>
      <c r="J160" s="1"/>
      <c r="K160" s="1"/>
      <c r="L160" s="1"/>
      <c r="M160" s="1"/>
      <c r="N160" s="4"/>
    </row>
    <row r="161" spans="1:14" s="5" customFormat="1" x14ac:dyDescent="0.25">
      <c r="A161" s="2"/>
      <c r="B161" s="6"/>
      <c r="C161" s="4"/>
      <c r="D161" s="4"/>
      <c r="E161" s="4"/>
      <c r="F161" s="39"/>
      <c r="G161" s="4"/>
      <c r="H161" s="4"/>
      <c r="I161" s="1"/>
      <c r="J161" s="1"/>
      <c r="K161" s="1"/>
      <c r="L161" s="1"/>
      <c r="M161" s="1"/>
      <c r="N161" s="4"/>
    </row>
    <row r="162" spans="1:14" s="5" customFormat="1" x14ac:dyDescent="0.25">
      <c r="A162" s="2"/>
      <c r="B162" s="6"/>
      <c r="C162" s="4"/>
      <c r="D162" s="4"/>
      <c r="E162" s="4"/>
      <c r="F162" s="39"/>
      <c r="G162" s="4"/>
      <c r="H162" s="4"/>
      <c r="I162" s="1"/>
      <c r="J162" s="1"/>
      <c r="K162" s="1"/>
      <c r="L162" s="1"/>
      <c r="M162" s="1"/>
      <c r="N162" s="4"/>
    </row>
  </sheetData>
  <hyperlinks>
    <hyperlink ref="F7" location="MS_A0100!A1" display="MS_A0100!A1" xr:uid="{00000000-0004-0000-0100-000000000000}"/>
    <hyperlink ref="F8" location="MS_0100_001!A1" display="MS_0100_001!A1" xr:uid="{00000000-0004-0000-0100-000001000000}"/>
    <hyperlink ref="F9" location="MS_0100_002!A1" display="MS_0100_002!A1" xr:uid="{00000000-0004-0000-0100-000002000000}"/>
    <hyperlink ref="F10" location="MS_0100_003!A1" display="MS_0100_003!A1" xr:uid="{00000000-0004-0000-0100-000003000000}"/>
    <hyperlink ref="F11" location="MS_0100_004!A1" display="MS_0100_004!A1" xr:uid="{00000000-0004-0000-0100-000004000000}"/>
    <hyperlink ref="F12" location="MS_0100_005!A1" display="MS_0100_005!A1" xr:uid="{00000000-0004-0000-0100-000005000000}"/>
    <hyperlink ref="F13" location="MS_0100_006!A1" display="MS_0100_006!A1" xr:uid="{00000000-0004-0000-0100-000006000000}"/>
    <hyperlink ref="F14" location="MS_0100_007!A1" display="MS_0100_007!A1" xr:uid="{00000000-0004-0000-0100-000007000000}"/>
    <hyperlink ref="F15" location="MS_0100_008!A1" display="MS_0100_008!A1" xr:uid="{00000000-0004-0000-0100-000008000000}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-0.499984740745262"/>
    <pageSetUpPr fitToPage="1"/>
  </sheetPr>
  <dimension ref="A1:O71"/>
  <sheetViews>
    <sheetView tabSelected="1" zoomScale="75" zoomScaleNormal="75" zoomScaleSheetLayoutView="80" workbookViewId="0">
      <selection activeCell="C86" sqref="C85:C86"/>
    </sheetView>
  </sheetViews>
  <sheetFormatPr baseColWidth="10" defaultColWidth="9.109375" defaultRowHeight="14.4" x14ac:dyDescent="0.3"/>
  <cols>
    <col min="1" max="1" width="11.44140625"/>
    <col min="2" max="2" width="37.88671875" customWidth="1"/>
    <col min="3" max="3" width="74.77734375" bestFit="1" customWidth="1"/>
    <col min="4" max="4" width="11.44140625"/>
    <col min="5" max="5" width="13.109375"/>
    <col min="6" max="7" width="11.44140625"/>
    <col min="8" max="8" width="15.6640625"/>
    <col min="9" max="9" width="15.44140625"/>
    <col min="10" max="12" width="11.44140625"/>
    <col min="13" max="13" width="15.33203125"/>
    <col min="14" max="14" width="11.44140625"/>
    <col min="15" max="15" width="5.33203125" customWidth="1"/>
    <col min="16" max="1025" width="11.44140625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88" t="s">
        <v>0</v>
      </c>
      <c r="B2" s="11" t="s">
        <v>44</v>
      </c>
      <c r="C2" s="53"/>
      <c r="D2" s="53"/>
      <c r="E2" s="53" t="s">
        <v>134</v>
      </c>
      <c r="F2" s="53"/>
      <c r="G2" s="53"/>
      <c r="H2" s="53"/>
      <c r="I2" s="53"/>
      <c r="J2" s="188" t="s">
        <v>1</v>
      </c>
      <c r="K2" s="73">
        <v>81</v>
      </c>
      <c r="L2" s="53"/>
      <c r="M2" s="188" t="s">
        <v>2</v>
      </c>
      <c r="N2" s="85">
        <f>MS_A0100_pa+MS_A0100_m+MS_A0100_p+MS_A0100_f+MS_A0100_t</f>
        <v>134.30779681894907</v>
      </c>
      <c r="O2" s="59"/>
    </row>
    <row r="3" spans="1:15" x14ac:dyDescent="0.3">
      <c r="A3" s="188" t="s">
        <v>3</v>
      </c>
      <c r="B3" s="11" t="s">
        <v>137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188" t="s">
        <v>4</v>
      </c>
      <c r="N3" s="72">
        <v>1</v>
      </c>
      <c r="O3" s="59"/>
    </row>
    <row r="4" spans="1:15" x14ac:dyDescent="0.3">
      <c r="A4" s="188" t="s">
        <v>5</v>
      </c>
      <c r="B4" s="54" t="s">
        <v>156</v>
      </c>
      <c r="C4" s="53"/>
      <c r="D4" s="53"/>
      <c r="E4" s="53"/>
      <c r="F4" s="53"/>
      <c r="G4" s="53"/>
      <c r="H4" s="53"/>
      <c r="I4" s="53"/>
      <c r="J4" s="189" t="s">
        <v>6</v>
      </c>
      <c r="K4" s="53"/>
      <c r="L4" s="53"/>
      <c r="M4" s="53"/>
      <c r="N4" s="53"/>
      <c r="O4" s="59"/>
    </row>
    <row r="5" spans="1:15" x14ac:dyDescent="0.3">
      <c r="A5" s="188" t="s">
        <v>7</v>
      </c>
      <c r="B5" s="12" t="s">
        <v>155</v>
      </c>
      <c r="C5" s="53"/>
      <c r="D5" s="53"/>
      <c r="E5" s="53"/>
      <c r="F5" s="53"/>
      <c r="G5" s="53"/>
      <c r="H5" s="53"/>
      <c r="I5" s="53"/>
      <c r="J5" s="189" t="s">
        <v>8</v>
      </c>
      <c r="K5" s="53"/>
      <c r="L5" s="53"/>
      <c r="M5" s="188" t="s">
        <v>9</v>
      </c>
      <c r="N5" s="69">
        <f>N2*N3</f>
        <v>134.30779681894907</v>
      </c>
      <c r="O5" s="59"/>
    </row>
    <row r="6" spans="1:15" x14ac:dyDescent="0.3">
      <c r="A6" s="188" t="s">
        <v>10</v>
      </c>
      <c r="B6" s="11" t="s">
        <v>11</v>
      </c>
      <c r="C6" s="53"/>
      <c r="D6" s="53"/>
      <c r="E6" s="53"/>
      <c r="F6" s="53"/>
      <c r="G6" s="53"/>
      <c r="H6" s="53"/>
      <c r="I6" s="53"/>
      <c r="J6" s="189" t="s">
        <v>12</v>
      </c>
      <c r="K6" s="53"/>
      <c r="L6" s="53"/>
      <c r="M6" s="53"/>
      <c r="N6" s="53"/>
      <c r="O6" s="59"/>
    </row>
    <row r="7" spans="1:15" x14ac:dyDescent="0.3">
      <c r="A7" s="188" t="s">
        <v>13</v>
      </c>
      <c r="B7" s="11" t="s">
        <v>157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60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190" t="s">
        <v>14</v>
      </c>
      <c r="B9" s="190" t="s">
        <v>15</v>
      </c>
      <c r="C9" s="188" t="s">
        <v>16</v>
      </c>
      <c r="D9" s="188" t="s">
        <v>17</v>
      </c>
      <c r="E9" s="188" t="s">
        <v>18</v>
      </c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3">
        <v>10</v>
      </c>
      <c r="B10" s="128" t="s">
        <v>174</v>
      </c>
      <c r="C10" s="87">
        <f>MS_0100_001!N2</f>
        <v>9.2651947324861545</v>
      </c>
      <c r="D10" s="108">
        <f>MS_0100_001_q</f>
        <v>1</v>
      </c>
      <c r="E10" s="69">
        <f>C10*D10</f>
        <v>9.2651947324861545</v>
      </c>
      <c r="F10" s="53"/>
      <c r="G10" s="53"/>
      <c r="H10" s="53"/>
      <c r="I10" s="53"/>
      <c r="J10" s="53"/>
      <c r="K10" s="53"/>
      <c r="L10" s="53"/>
      <c r="M10" s="53"/>
      <c r="N10" s="53"/>
      <c r="O10" s="59"/>
    </row>
    <row r="11" spans="1:15" x14ac:dyDescent="0.3">
      <c r="A11" s="13">
        <v>20</v>
      </c>
      <c r="B11" s="103" t="s">
        <v>162</v>
      </c>
      <c r="C11" s="87">
        <f>MS_0100_002!N2</f>
        <v>7.5426952828861555</v>
      </c>
      <c r="D11" s="68">
        <f>MS_0100_002_q</f>
        <v>1</v>
      </c>
      <c r="E11" s="69">
        <f t="shared" ref="E11:E17" si="0">C11*D11</f>
        <v>7.5426952828861555</v>
      </c>
      <c r="F11" s="54"/>
      <c r="G11" s="54"/>
      <c r="H11" s="54"/>
      <c r="I11" s="54"/>
      <c r="J11" s="54"/>
      <c r="K11" s="54"/>
      <c r="L11" s="54"/>
      <c r="M11" s="54"/>
      <c r="N11" s="54"/>
      <c r="O11" s="59"/>
    </row>
    <row r="12" spans="1:15" x14ac:dyDescent="0.3">
      <c r="A12" s="13">
        <v>30</v>
      </c>
      <c r="B12" s="103" t="s">
        <v>161</v>
      </c>
      <c r="C12" s="87">
        <f>MS_0100_003!N2</f>
        <v>11.141555750086155</v>
      </c>
      <c r="D12" s="68">
        <f>MS_0100_003_q</f>
        <v>1</v>
      </c>
      <c r="E12" s="69">
        <f t="shared" si="0"/>
        <v>11.141555750086155</v>
      </c>
      <c r="F12" s="54"/>
      <c r="G12" s="54"/>
      <c r="H12" s="54"/>
      <c r="I12" s="54"/>
      <c r="J12" s="54"/>
      <c r="K12" s="54"/>
      <c r="L12" s="54"/>
      <c r="M12" s="54"/>
      <c r="N12" s="54"/>
      <c r="O12" s="61"/>
    </row>
    <row r="13" spans="1:15" x14ac:dyDescent="0.3">
      <c r="A13" s="13">
        <v>40</v>
      </c>
      <c r="B13" s="106" t="s">
        <v>160</v>
      </c>
      <c r="C13" s="87">
        <f>MS_0100_004!N2</f>
        <v>3.1699841066880001</v>
      </c>
      <c r="D13" s="68">
        <f>MS_0100_004_q</f>
        <v>2</v>
      </c>
      <c r="E13" s="69">
        <f t="shared" si="0"/>
        <v>6.3399682133760003</v>
      </c>
      <c r="F13" s="54"/>
      <c r="G13" s="54"/>
      <c r="H13" s="54"/>
      <c r="I13" s="54"/>
      <c r="J13" s="54"/>
      <c r="K13" s="54"/>
      <c r="L13" s="54"/>
      <c r="M13" s="54"/>
      <c r="N13" s="54"/>
      <c r="O13" s="61"/>
    </row>
    <row r="14" spans="1:15" x14ac:dyDescent="0.3">
      <c r="A14" s="13">
        <v>50</v>
      </c>
      <c r="B14" s="106" t="s">
        <v>159</v>
      </c>
      <c r="C14" s="87">
        <f>MS_0100_005!N2</f>
        <v>2.1490635408992</v>
      </c>
      <c r="D14" s="68">
        <f>MS_0100_005_q</f>
        <v>2</v>
      </c>
      <c r="E14" s="69">
        <f t="shared" si="0"/>
        <v>4.2981270817984001</v>
      </c>
      <c r="F14" s="54"/>
      <c r="G14" s="54"/>
      <c r="H14" s="54"/>
      <c r="I14" s="54"/>
      <c r="J14" s="54"/>
      <c r="K14" s="54"/>
      <c r="L14" s="54"/>
      <c r="M14" s="54"/>
      <c r="N14" s="54"/>
      <c r="O14" s="61"/>
    </row>
    <row r="15" spans="1:15" x14ac:dyDescent="0.3">
      <c r="A15" s="13">
        <v>60</v>
      </c>
      <c r="B15" s="129" t="s">
        <v>164</v>
      </c>
      <c r="C15" s="87">
        <f>MS_0100_006!N2</f>
        <v>5.1693714775000004</v>
      </c>
      <c r="D15" s="68">
        <f>MS_0100_006_q</f>
        <v>2</v>
      </c>
      <c r="E15" s="69">
        <f t="shared" si="0"/>
        <v>10.338742955000001</v>
      </c>
      <c r="F15" s="54"/>
      <c r="G15" s="54"/>
      <c r="H15" s="54"/>
      <c r="I15" s="54"/>
      <c r="J15" s="54"/>
      <c r="K15" s="54"/>
      <c r="L15" s="54"/>
      <c r="M15" s="54"/>
      <c r="N15" s="54"/>
      <c r="O15" s="61"/>
    </row>
    <row r="16" spans="1:15" x14ac:dyDescent="0.3">
      <c r="A16" s="13">
        <v>70</v>
      </c>
      <c r="B16" s="106" t="s">
        <v>158</v>
      </c>
      <c r="C16" s="87">
        <f>MS_0100_007!N2</f>
        <v>0.61744426503954442</v>
      </c>
      <c r="D16" s="68">
        <f>MS_0100_007_q</f>
        <v>4</v>
      </c>
      <c r="E16" s="69">
        <f t="shared" si="0"/>
        <v>2.4697770601581777</v>
      </c>
      <c r="F16" s="54"/>
      <c r="G16" s="54"/>
      <c r="H16" s="54"/>
      <c r="I16" s="54"/>
      <c r="J16" s="54"/>
      <c r="K16" s="54"/>
      <c r="L16" s="54"/>
      <c r="M16" s="54"/>
      <c r="N16" s="54"/>
      <c r="O16" s="61"/>
    </row>
    <row r="17" spans="1:15" x14ac:dyDescent="0.3">
      <c r="A17" s="13">
        <v>80</v>
      </c>
      <c r="B17" s="106" t="s">
        <v>163</v>
      </c>
      <c r="C17" s="87">
        <f>MS_0100_008!N2</f>
        <v>0.64982088688329431</v>
      </c>
      <c r="D17" s="68">
        <f>MS_0100_008_q</f>
        <v>24</v>
      </c>
      <c r="E17" s="69">
        <f t="shared" si="0"/>
        <v>15.595701285199063</v>
      </c>
      <c r="F17" s="54"/>
      <c r="G17" s="54"/>
      <c r="H17" s="54"/>
      <c r="I17" s="54"/>
      <c r="J17" s="54"/>
      <c r="K17" s="54"/>
      <c r="L17" s="54"/>
      <c r="M17" s="54"/>
      <c r="N17" s="54"/>
      <c r="O17" s="61"/>
    </row>
    <row r="18" spans="1:15" ht="15" thickBot="1" x14ac:dyDescent="0.35">
      <c r="A18" s="60"/>
      <c r="B18" s="88"/>
      <c r="C18" s="53"/>
      <c r="D18" s="191" t="s">
        <v>18</v>
      </c>
      <c r="E18" s="192">
        <f>SUM(E10:E17)</f>
        <v>66.991762360990094</v>
      </c>
      <c r="F18" s="54"/>
      <c r="G18" s="54"/>
      <c r="H18" s="54"/>
      <c r="I18" s="54"/>
      <c r="J18" s="54"/>
      <c r="K18" s="54"/>
      <c r="L18" s="54"/>
      <c r="M18" s="54"/>
      <c r="N18" s="54"/>
      <c r="O18" s="59"/>
    </row>
    <row r="19" spans="1:15" x14ac:dyDescent="0.3">
      <c r="A19" s="60"/>
      <c r="B19" s="89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9"/>
    </row>
    <row r="20" spans="1:15" x14ac:dyDescent="0.3">
      <c r="A20" s="193" t="s">
        <v>14</v>
      </c>
      <c r="B20" s="193" t="s">
        <v>19</v>
      </c>
      <c r="C20" s="193" t="s">
        <v>20</v>
      </c>
      <c r="D20" s="194" t="s">
        <v>21</v>
      </c>
      <c r="E20" s="188" t="s">
        <v>22</v>
      </c>
      <c r="F20" s="188" t="s">
        <v>23</v>
      </c>
      <c r="G20" s="188" t="s">
        <v>24</v>
      </c>
      <c r="H20" s="188" t="s">
        <v>25</v>
      </c>
      <c r="I20" s="188" t="s">
        <v>26</v>
      </c>
      <c r="J20" s="188" t="s">
        <v>27</v>
      </c>
      <c r="K20" s="188" t="s">
        <v>28</v>
      </c>
      <c r="L20" s="188" t="s">
        <v>29</v>
      </c>
      <c r="M20" s="188" t="s">
        <v>17</v>
      </c>
      <c r="N20" s="188" t="s">
        <v>18</v>
      </c>
      <c r="O20" s="59"/>
    </row>
    <row r="21" spans="1:15" x14ac:dyDescent="0.3">
      <c r="A21" s="130">
        <v>10</v>
      </c>
      <c r="B21" s="121" t="s">
        <v>154</v>
      </c>
      <c r="C21" s="90" t="s">
        <v>183</v>
      </c>
      <c r="D21" s="131">
        <v>10</v>
      </c>
      <c r="E21" s="137">
        <f>4*0.001022</f>
        <v>4.0879999999999996E-3</v>
      </c>
      <c r="F21" s="130" t="s">
        <v>143</v>
      </c>
      <c r="G21" s="130"/>
      <c r="H21" s="132"/>
      <c r="I21" s="133"/>
      <c r="J21" s="134"/>
      <c r="K21" s="132"/>
      <c r="L21" s="135"/>
      <c r="M21" s="144">
        <f>E21</f>
        <v>4.0879999999999996E-3</v>
      </c>
      <c r="N21" s="92">
        <f t="shared" ref="N21:N23" si="1">M21*D21</f>
        <v>4.088E-2</v>
      </c>
      <c r="O21" s="59"/>
    </row>
    <row r="22" spans="1:15" x14ac:dyDescent="0.3">
      <c r="A22" s="130">
        <v>20</v>
      </c>
      <c r="B22" s="121" t="s">
        <v>154</v>
      </c>
      <c r="C22" s="130" t="s">
        <v>185</v>
      </c>
      <c r="D22" s="131">
        <v>10</v>
      </c>
      <c r="E22" s="154">
        <f>24*0.001022</f>
        <v>2.4527999999999998E-2</v>
      </c>
      <c r="F22" s="130" t="s">
        <v>143</v>
      </c>
      <c r="G22" s="130"/>
      <c r="H22" s="132"/>
      <c r="I22" s="133"/>
      <c r="J22" s="134"/>
      <c r="K22" s="132"/>
      <c r="L22" s="135"/>
      <c r="M22" s="143">
        <f>E22</f>
        <v>2.4527999999999998E-2</v>
      </c>
      <c r="N22" s="92">
        <f t="shared" si="1"/>
        <v>0.24527999999999997</v>
      </c>
      <c r="O22" s="59"/>
    </row>
    <row r="23" spans="1:15" x14ac:dyDescent="0.3">
      <c r="A23" s="122">
        <v>30</v>
      </c>
      <c r="B23" s="120" t="s">
        <v>209</v>
      </c>
      <c r="C23" s="122" t="s">
        <v>213</v>
      </c>
      <c r="D23" s="123">
        <v>0</v>
      </c>
      <c r="E23" s="138">
        <v>5</v>
      </c>
      <c r="F23" s="122" t="s">
        <v>211</v>
      </c>
      <c r="G23" s="122"/>
      <c r="H23" s="124"/>
      <c r="I23" s="125"/>
      <c r="J23" s="126"/>
      <c r="K23" s="124"/>
      <c r="L23" s="127"/>
      <c r="M23" s="145">
        <v>5</v>
      </c>
      <c r="N23" s="123">
        <f t="shared" si="1"/>
        <v>0</v>
      </c>
      <c r="O23" s="59"/>
    </row>
    <row r="24" spans="1:15" x14ac:dyDescent="0.3">
      <c r="A24" s="63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195" t="s">
        <v>18</v>
      </c>
      <c r="N24" s="196">
        <f>SUM(N21:N23)</f>
        <v>0.28615999999999997</v>
      </c>
      <c r="O24" s="59"/>
    </row>
    <row r="25" spans="1:15" x14ac:dyDescent="0.3">
      <c r="A25" s="60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9"/>
    </row>
    <row r="26" spans="1:15" s="21" customFormat="1" x14ac:dyDescent="0.3">
      <c r="A26" s="188" t="s">
        <v>14</v>
      </c>
      <c r="B26" s="188" t="s">
        <v>31</v>
      </c>
      <c r="C26" s="188" t="s">
        <v>20</v>
      </c>
      <c r="D26" s="188" t="s">
        <v>21</v>
      </c>
      <c r="E26" s="188" t="s">
        <v>32</v>
      </c>
      <c r="F26" s="188" t="s">
        <v>17</v>
      </c>
      <c r="G26" s="188" t="s">
        <v>33</v>
      </c>
      <c r="H26" s="188" t="s">
        <v>34</v>
      </c>
      <c r="I26" s="188" t="s">
        <v>18</v>
      </c>
      <c r="J26" s="20"/>
      <c r="K26" s="20"/>
      <c r="L26" s="20"/>
      <c r="M26" s="20"/>
      <c r="N26" s="20"/>
      <c r="O26" s="64"/>
    </row>
    <row r="27" spans="1:15" x14ac:dyDescent="0.3">
      <c r="A27" s="68">
        <v>10</v>
      </c>
      <c r="B27" s="68" t="s">
        <v>138</v>
      </c>
      <c r="C27" s="68" t="s">
        <v>182</v>
      </c>
      <c r="D27" s="69">
        <v>0.15</v>
      </c>
      <c r="E27" s="68" t="s">
        <v>47</v>
      </c>
      <c r="F27" s="70">
        <f>2*2*4</f>
        <v>16</v>
      </c>
      <c r="G27" s="70"/>
      <c r="H27" s="70"/>
      <c r="I27" s="69">
        <f t="shared" ref="I27:I58" si="2">IF(H27="",D27*F27,D27*F27*H27)</f>
        <v>2.4</v>
      </c>
      <c r="J27" s="53"/>
      <c r="K27" s="53"/>
      <c r="L27" s="53"/>
      <c r="M27" s="53"/>
      <c r="N27" s="53"/>
      <c r="O27" s="59"/>
    </row>
    <row r="28" spans="1:15" x14ac:dyDescent="0.3">
      <c r="A28" s="68">
        <v>20</v>
      </c>
      <c r="B28" s="68" t="s">
        <v>138</v>
      </c>
      <c r="C28" s="68" t="s">
        <v>184</v>
      </c>
      <c r="D28" s="69">
        <v>0.15</v>
      </c>
      <c r="E28" s="68" t="s">
        <v>47</v>
      </c>
      <c r="F28" s="70">
        <f>2*2*24</f>
        <v>96</v>
      </c>
      <c r="G28" s="70"/>
      <c r="H28" s="70"/>
      <c r="I28" s="69">
        <f t="shared" si="2"/>
        <v>14.399999999999999</v>
      </c>
      <c r="J28" s="53"/>
      <c r="K28" s="53"/>
      <c r="L28" s="53"/>
      <c r="M28" s="53"/>
      <c r="N28" s="53"/>
      <c r="O28" s="59"/>
    </row>
    <row r="29" spans="1:15" x14ac:dyDescent="0.3">
      <c r="A29" s="68">
        <v>30</v>
      </c>
      <c r="B29" s="95" t="s">
        <v>142</v>
      </c>
      <c r="C29" s="68" t="s">
        <v>183</v>
      </c>
      <c r="D29" s="69">
        <v>5.25</v>
      </c>
      <c r="E29" s="68" t="s">
        <v>143</v>
      </c>
      <c r="F29" s="136">
        <f>4*0.001022</f>
        <v>4.0879999999999996E-3</v>
      </c>
      <c r="G29" s="70"/>
      <c r="H29" s="70"/>
      <c r="I29" s="69">
        <f t="shared" si="2"/>
        <v>2.1461999999999998E-2</v>
      </c>
      <c r="J29" s="53"/>
      <c r="K29" s="53"/>
      <c r="L29" s="53"/>
      <c r="M29" s="53"/>
      <c r="N29" s="53"/>
      <c r="O29" s="59"/>
    </row>
    <row r="30" spans="1:15" x14ac:dyDescent="0.3">
      <c r="A30" s="68">
        <v>40</v>
      </c>
      <c r="B30" s="95" t="s">
        <v>142</v>
      </c>
      <c r="C30" s="68" t="s">
        <v>185</v>
      </c>
      <c r="D30" s="69">
        <v>5.25</v>
      </c>
      <c r="E30" s="71" t="s">
        <v>143</v>
      </c>
      <c r="F30" s="139">
        <f>24*0.001022</f>
        <v>2.4527999999999998E-2</v>
      </c>
      <c r="G30" s="68"/>
      <c r="H30" s="68"/>
      <c r="I30" s="69">
        <f t="shared" si="2"/>
        <v>0.128772</v>
      </c>
      <c r="J30" s="53"/>
      <c r="K30" s="53"/>
      <c r="L30" s="53"/>
      <c r="M30" s="53"/>
      <c r="N30" s="53"/>
      <c r="O30" s="59"/>
    </row>
    <row r="31" spans="1:15" x14ac:dyDescent="0.3">
      <c r="A31" s="68">
        <v>50</v>
      </c>
      <c r="B31" s="71" t="s">
        <v>212</v>
      </c>
      <c r="C31" s="68" t="s">
        <v>187</v>
      </c>
      <c r="D31" s="69">
        <v>0.38</v>
      </c>
      <c r="E31" s="68"/>
      <c r="F31" s="70">
        <v>4</v>
      </c>
      <c r="G31" s="68"/>
      <c r="H31" s="68"/>
      <c r="I31" s="69">
        <f t="shared" si="2"/>
        <v>1.52</v>
      </c>
      <c r="J31" s="53"/>
      <c r="K31" s="53"/>
      <c r="L31" s="53"/>
      <c r="M31" s="53"/>
      <c r="N31" s="53"/>
      <c r="O31" s="59"/>
    </row>
    <row r="32" spans="1:15" x14ac:dyDescent="0.3">
      <c r="A32" s="68">
        <v>60</v>
      </c>
      <c r="B32" s="91" t="s">
        <v>141</v>
      </c>
      <c r="C32" s="90" t="s">
        <v>188</v>
      </c>
      <c r="D32" s="92">
        <v>0.75</v>
      </c>
      <c r="E32" s="90"/>
      <c r="F32" s="93">
        <v>4</v>
      </c>
      <c r="G32" s="90"/>
      <c r="H32" s="90"/>
      <c r="I32" s="92">
        <f t="shared" si="2"/>
        <v>3</v>
      </c>
      <c r="J32" s="53"/>
      <c r="K32" s="53"/>
      <c r="L32" s="53"/>
      <c r="M32" s="53"/>
      <c r="N32" s="53"/>
      <c r="O32" s="59"/>
    </row>
    <row r="33" spans="1:15" x14ac:dyDescent="0.3">
      <c r="A33" s="68">
        <v>70</v>
      </c>
      <c r="B33" s="140" t="s">
        <v>140</v>
      </c>
      <c r="C33" s="122" t="s">
        <v>188</v>
      </c>
      <c r="D33" s="123">
        <v>0.25</v>
      </c>
      <c r="E33" s="122"/>
      <c r="F33" s="117">
        <v>4</v>
      </c>
      <c r="G33" s="122"/>
      <c r="H33" s="122"/>
      <c r="I33" s="123">
        <f t="shared" si="2"/>
        <v>1</v>
      </c>
      <c r="J33" s="53"/>
      <c r="K33" s="53"/>
      <c r="L33" s="53"/>
      <c r="M33" s="53"/>
      <c r="N33" s="53"/>
      <c r="O33" s="59"/>
    </row>
    <row r="34" spans="1:15" x14ac:dyDescent="0.3">
      <c r="A34" s="68">
        <v>80</v>
      </c>
      <c r="B34" s="71" t="s">
        <v>212</v>
      </c>
      <c r="C34" s="68" t="s">
        <v>189</v>
      </c>
      <c r="D34" s="69">
        <v>0.38</v>
      </c>
      <c r="E34" s="122"/>
      <c r="F34" s="117">
        <v>4</v>
      </c>
      <c r="G34" s="122"/>
      <c r="H34" s="122"/>
      <c r="I34" s="123">
        <f t="shared" si="2"/>
        <v>1.52</v>
      </c>
      <c r="J34" s="53"/>
      <c r="K34" s="53"/>
      <c r="L34" s="53"/>
      <c r="M34" s="53"/>
      <c r="N34" s="53"/>
      <c r="O34" s="59"/>
    </row>
    <row r="35" spans="1:15" x14ac:dyDescent="0.3">
      <c r="A35" s="68">
        <v>90</v>
      </c>
      <c r="B35" s="91" t="s">
        <v>141</v>
      </c>
      <c r="C35" s="90" t="s">
        <v>190</v>
      </c>
      <c r="D35" s="92">
        <v>0.75</v>
      </c>
      <c r="E35" s="122"/>
      <c r="F35" s="117">
        <v>4</v>
      </c>
      <c r="G35" s="122"/>
      <c r="H35" s="122"/>
      <c r="I35" s="123">
        <f t="shared" si="2"/>
        <v>3</v>
      </c>
      <c r="J35" s="53"/>
      <c r="K35" s="53"/>
      <c r="L35" s="53"/>
      <c r="M35" s="53"/>
      <c r="N35" s="53"/>
      <c r="O35" s="59"/>
    </row>
    <row r="36" spans="1:15" x14ac:dyDescent="0.3">
      <c r="A36" s="68">
        <v>100</v>
      </c>
      <c r="B36" s="140" t="s">
        <v>140</v>
      </c>
      <c r="C36" s="122" t="s">
        <v>190</v>
      </c>
      <c r="D36" s="123">
        <v>0.25</v>
      </c>
      <c r="E36" s="122"/>
      <c r="F36" s="117">
        <v>4</v>
      </c>
      <c r="G36" s="122"/>
      <c r="H36" s="122"/>
      <c r="I36" s="123">
        <f t="shared" si="2"/>
        <v>1</v>
      </c>
      <c r="J36" s="53"/>
      <c r="K36" s="53"/>
      <c r="L36" s="53"/>
      <c r="M36" s="53"/>
      <c r="N36" s="53"/>
      <c r="O36" s="59"/>
    </row>
    <row r="37" spans="1:15" x14ac:dyDescent="0.3">
      <c r="A37" s="68">
        <v>110</v>
      </c>
      <c r="B37" s="71" t="s">
        <v>212</v>
      </c>
      <c r="C37" s="68" t="s">
        <v>191</v>
      </c>
      <c r="D37" s="69">
        <v>0.38</v>
      </c>
      <c r="E37" s="122"/>
      <c r="F37" s="117">
        <v>4</v>
      </c>
      <c r="G37" s="122"/>
      <c r="H37" s="122"/>
      <c r="I37" s="123">
        <f t="shared" si="2"/>
        <v>1.52</v>
      </c>
      <c r="J37" s="53"/>
      <c r="K37" s="53"/>
      <c r="L37" s="53"/>
      <c r="M37" s="53"/>
      <c r="N37" s="53"/>
      <c r="O37" s="59"/>
    </row>
    <row r="38" spans="1:15" x14ac:dyDescent="0.3">
      <c r="A38" s="68">
        <v>120</v>
      </c>
      <c r="B38" s="91" t="s">
        <v>141</v>
      </c>
      <c r="C38" s="90" t="s">
        <v>192</v>
      </c>
      <c r="D38" s="92">
        <v>0.75</v>
      </c>
      <c r="E38" s="122"/>
      <c r="F38" s="117">
        <v>4</v>
      </c>
      <c r="G38" s="122"/>
      <c r="H38" s="122"/>
      <c r="I38" s="123">
        <f t="shared" si="2"/>
        <v>3</v>
      </c>
      <c r="J38" s="53"/>
      <c r="K38" s="53"/>
      <c r="L38" s="53"/>
      <c r="M38" s="53"/>
      <c r="N38" s="53"/>
      <c r="O38" s="59"/>
    </row>
    <row r="39" spans="1:15" x14ac:dyDescent="0.3">
      <c r="A39" s="68">
        <v>130</v>
      </c>
      <c r="B39" s="140" t="s">
        <v>140</v>
      </c>
      <c r="C39" s="122" t="s">
        <v>192</v>
      </c>
      <c r="D39" s="123">
        <v>0.25</v>
      </c>
      <c r="E39" s="122"/>
      <c r="F39" s="117">
        <v>4</v>
      </c>
      <c r="G39" s="122"/>
      <c r="H39" s="122"/>
      <c r="I39" s="123">
        <f t="shared" si="2"/>
        <v>1</v>
      </c>
      <c r="J39" s="53"/>
      <c r="K39" s="53"/>
      <c r="L39" s="53"/>
      <c r="M39" s="53"/>
      <c r="N39" s="53"/>
      <c r="O39" s="59"/>
    </row>
    <row r="40" spans="1:15" x14ac:dyDescent="0.3">
      <c r="A40" s="68">
        <v>140</v>
      </c>
      <c r="B40" s="71" t="s">
        <v>139</v>
      </c>
      <c r="C40" s="68" t="s">
        <v>193</v>
      </c>
      <c r="D40" s="69">
        <v>0.06</v>
      </c>
      <c r="E40" s="122"/>
      <c r="F40" s="117">
        <v>3</v>
      </c>
      <c r="G40" s="122"/>
      <c r="H40" s="122"/>
      <c r="I40" s="123">
        <f t="shared" si="2"/>
        <v>0.18</v>
      </c>
      <c r="J40" s="53"/>
      <c r="K40" s="53"/>
      <c r="L40" s="53"/>
      <c r="M40" s="53"/>
      <c r="N40" s="53"/>
      <c r="O40" s="59"/>
    </row>
    <row r="41" spans="1:15" x14ac:dyDescent="0.3">
      <c r="A41" s="68">
        <v>150</v>
      </c>
      <c r="B41" s="91" t="s">
        <v>141</v>
      </c>
      <c r="C41" s="90" t="s">
        <v>194</v>
      </c>
      <c r="D41" s="92">
        <v>0.75</v>
      </c>
      <c r="E41" s="122"/>
      <c r="F41" s="117">
        <v>3</v>
      </c>
      <c r="G41" s="122"/>
      <c r="H41" s="122"/>
      <c r="I41" s="123">
        <f t="shared" si="2"/>
        <v>2.25</v>
      </c>
      <c r="J41" s="53"/>
      <c r="K41" s="53"/>
      <c r="L41" s="53"/>
      <c r="M41" s="53"/>
      <c r="N41" s="53"/>
      <c r="O41" s="59"/>
    </row>
    <row r="42" spans="1:15" x14ac:dyDescent="0.3">
      <c r="A42" s="68">
        <v>160</v>
      </c>
      <c r="B42" s="140" t="s">
        <v>140</v>
      </c>
      <c r="C42" s="122" t="s">
        <v>194</v>
      </c>
      <c r="D42" s="123">
        <v>0.25</v>
      </c>
      <c r="E42" s="122"/>
      <c r="F42" s="117">
        <v>3</v>
      </c>
      <c r="G42" s="122"/>
      <c r="H42" s="122"/>
      <c r="I42" s="123">
        <f t="shared" si="2"/>
        <v>0.75</v>
      </c>
      <c r="J42" s="53"/>
      <c r="K42" s="53"/>
      <c r="L42" s="53"/>
      <c r="M42" s="53"/>
      <c r="N42" s="53"/>
      <c r="O42" s="59"/>
    </row>
    <row r="43" spans="1:15" x14ac:dyDescent="0.3">
      <c r="A43" s="68">
        <v>170</v>
      </c>
      <c r="B43" s="71" t="s">
        <v>139</v>
      </c>
      <c r="C43" s="68" t="s">
        <v>195</v>
      </c>
      <c r="D43" s="69">
        <v>0.06</v>
      </c>
      <c r="E43" s="122"/>
      <c r="F43" s="117">
        <v>2</v>
      </c>
      <c r="G43" s="122"/>
      <c r="H43" s="122"/>
      <c r="I43" s="123">
        <f t="shared" si="2"/>
        <v>0.12</v>
      </c>
      <c r="J43" s="53"/>
      <c r="K43" s="53"/>
      <c r="L43" s="53"/>
      <c r="M43" s="53"/>
      <c r="N43" s="53"/>
      <c r="O43" s="59"/>
    </row>
    <row r="44" spans="1:15" x14ac:dyDescent="0.3">
      <c r="A44" s="68">
        <v>180</v>
      </c>
      <c r="B44" s="91" t="s">
        <v>141</v>
      </c>
      <c r="C44" s="90" t="s">
        <v>196</v>
      </c>
      <c r="D44" s="92">
        <v>0.75</v>
      </c>
      <c r="E44" s="122"/>
      <c r="F44" s="117">
        <v>2</v>
      </c>
      <c r="G44" s="122"/>
      <c r="H44" s="122"/>
      <c r="I44" s="123">
        <f t="shared" si="2"/>
        <v>1.5</v>
      </c>
      <c r="J44" s="53"/>
      <c r="K44" s="53"/>
      <c r="L44" s="53"/>
      <c r="M44" s="53"/>
      <c r="N44" s="53"/>
      <c r="O44" s="59"/>
    </row>
    <row r="45" spans="1:15" x14ac:dyDescent="0.3">
      <c r="A45" s="68">
        <v>190</v>
      </c>
      <c r="B45" s="140" t="s">
        <v>140</v>
      </c>
      <c r="C45" s="122" t="s">
        <v>196</v>
      </c>
      <c r="D45" s="123">
        <v>0.25</v>
      </c>
      <c r="E45" s="122"/>
      <c r="F45" s="117">
        <v>2</v>
      </c>
      <c r="G45" s="122"/>
      <c r="H45" s="122"/>
      <c r="I45" s="123">
        <f t="shared" si="2"/>
        <v>0.5</v>
      </c>
      <c r="J45" s="53"/>
      <c r="K45" s="53"/>
      <c r="L45" s="53"/>
      <c r="M45" s="53"/>
      <c r="N45" s="53"/>
      <c r="O45" s="59"/>
    </row>
    <row r="46" spans="1:15" x14ac:dyDescent="0.3">
      <c r="A46" s="68">
        <v>200</v>
      </c>
      <c r="B46" s="71" t="s">
        <v>139</v>
      </c>
      <c r="C46" s="68" t="s">
        <v>197</v>
      </c>
      <c r="D46" s="69">
        <v>0.06</v>
      </c>
      <c r="E46" s="122"/>
      <c r="F46" s="117">
        <v>3</v>
      </c>
      <c r="G46" s="122"/>
      <c r="H46" s="122"/>
      <c r="I46" s="123">
        <f t="shared" si="2"/>
        <v>0.18</v>
      </c>
      <c r="J46" s="53"/>
      <c r="K46" s="53"/>
      <c r="L46" s="53"/>
      <c r="M46" s="53"/>
      <c r="N46" s="53"/>
      <c r="O46" s="59"/>
    </row>
    <row r="47" spans="1:15" x14ac:dyDescent="0.3">
      <c r="A47" s="68">
        <v>210</v>
      </c>
      <c r="B47" s="91" t="s">
        <v>141</v>
      </c>
      <c r="C47" s="90" t="s">
        <v>198</v>
      </c>
      <c r="D47" s="92">
        <v>0.75</v>
      </c>
      <c r="E47" s="122"/>
      <c r="F47" s="117">
        <v>3</v>
      </c>
      <c r="G47" s="122"/>
      <c r="H47" s="122"/>
      <c r="I47" s="123">
        <f t="shared" si="2"/>
        <v>2.25</v>
      </c>
      <c r="J47" s="53"/>
      <c r="K47" s="53"/>
      <c r="L47" s="53"/>
      <c r="M47" s="53"/>
      <c r="N47" s="53"/>
      <c r="O47" s="59"/>
    </row>
    <row r="48" spans="1:15" x14ac:dyDescent="0.3">
      <c r="A48" s="68">
        <v>220</v>
      </c>
      <c r="B48" s="141" t="s">
        <v>140</v>
      </c>
      <c r="C48" s="130" t="s">
        <v>198</v>
      </c>
      <c r="D48" s="131">
        <v>0.25</v>
      </c>
      <c r="E48" s="130"/>
      <c r="F48" s="142">
        <v>3</v>
      </c>
      <c r="G48" s="130"/>
      <c r="H48" s="130"/>
      <c r="I48" s="131">
        <f t="shared" si="2"/>
        <v>0.75</v>
      </c>
      <c r="J48" s="53"/>
      <c r="K48" s="53"/>
      <c r="L48" s="53"/>
      <c r="M48" s="53"/>
      <c r="N48" s="53"/>
      <c r="O48" s="59"/>
    </row>
    <row r="49" spans="1:15" x14ac:dyDescent="0.3">
      <c r="A49" s="68">
        <v>230</v>
      </c>
      <c r="B49" s="71" t="s">
        <v>139</v>
      </c>
      <c r="C49" s="122" t="s">
        <v>199</v>
      </c>
      <c r="D49" s="123">
        <v>0.06</v>
      </c>
      <c r="E49" s="122"/>
      <c r="F49" s="117">
        <v>3</v>
      </c>
      <c r="G49" s="122"/>
      <c r="H49" s="122"/>
      <c r="I49" s="131">
        <f t="shared" si="2"/>
        <v>0.18</v>
      </c>
      <c r="J49" s="53"/>
      <c r="K49" s="53"/>
      <c r="L49" s="53"/>
      <c r="M49" s="53"/>
      <c r="N49" s="53"/>
      <c r="O49" s="59"/>
    </row>
    <row r="50" spans="1:15" x14ac:dyDescent="0.3">
      <c r="A50" s="68">
        <v>240</v>
      </c>
      <c r="B50" s="91" t="s">
        <v>141</v>
      </c>
      <c r="C50" s="122" t="s">
        <v>200</v>
      </c>
      <c r="D50" s="123">
        <v>0.75</v>
      </c>
      <c r="E50" s="122"/>
      <c r="F50" s="117">
        <v>3</v>
      </c>
      <c r="G50" s="122"/>
      <c r="H50" s="122"/>
      <c r="I50" s="131">
        <f t="shared" si="2"/>
        <v>2.25</v>
      </c>
      <c r="J50" s="53"/>
      <c r="K50" s="53"/>
      <c r="L50" s="53"/>
      <c r="M50" s="53"/>
      <c r="N50" s="53"/>
      <c r="O50" s="59"/>
    </row>
    <row r="51" spans="1:15" x14ac:dyDescent="0.3">
      <c r="A51" s="68">
        <v>250</v>
      </c>
      <c r="B51" s="140" t="s">
        <v>140</v>
      </c>
      <c r="C51" s="122" t="s">
        <v>200</v>
      </c>
      <c r="D51" s="123">
        <v>0.25</v>
      </c>
      <c r="E51" s="122"/>
      <c r="F51" s="117">
        <v>3</v>
      </c>
      <c r="G51" s="122"/>
      <c r="H51" s="122"/>
      <c r="I51" s="131">
        <f t="shared" si="2"/>
        <v>0.75</v>
      </c>
      <c r="J51" s="53"/>
      <c r="K51" s="53"/>
      <c r="L51" s="53"/>
      <c r="M51" s="53"/>
      <c r="N51" s="53"/>
      <c r="O51" s="59"/>
    </row>
    <row r="52" spans="1:15" x14ac:dyDescent="0.3">
      <c r="A52" s="68">
        <v>260</v>
      </c>
      <c r="B52" s="71" t="s">
        <v>139</v>
      </c>
      <c r="C52" s="122" t="s">
        <v>201</v>
      </c>
      <c r="D52" s="123">
        <v>0.06</v>
      </c>
      <c r="E52" s="122"/>
      <c r="F52" s="117">
        <v>2</v>
      </c>
      <c r="G52" s="122"/>
      <c r="H52" s="122"/>
      <c r="I52" s="131">
        <f t="shared" si="2"/>
        <v>0.12</v>
      </c>
      <c r="J52" s="53"/>
      <c r="K52" s="53"/>
      <c r="L52" s="53"/>
      <c r="M52" s="53"/>
      <c r="N52" s="53"/>
      <c r="O52" s="59"/>
    </row>
    <row r="53" spans="1:15" x14ac:dyDescent="0.3">
      <c r="A53" s="68">
        <v>270</v>
      </c>
      <c r="B53" s="91" t="s">
        <v>141</v>
      </c>
      <c r="C53" s="122" t="s">
        <v>202</v>
      </c>
      <c r="D53" s="123">
        <v>0.75</v>
      </c>
      <c r="E53" s="122"/>
      <c r="F53" s="117">
        <v>2</v>
      </c>
      <c r="G53" s="122"/>
      <c r="H53" s="122"/>
      <c r="I53" s="131">
        <f t="shared" si="2"/>
        <v>1.5</v>
      </c>
      <c r="J53" s="53"/>
      <c r="K53" s="53"/>
      <c r="L53" s="53"/>
      <c r="M53" s="53"/>
      <c r="N53" s="53"/>
      <c r="O53" s="59"/>
    </row>
    <row r="54" spans="1:15" x14ac:dyDescent="0.3">
      <c r="A54" s="68">
        <v>280</v>
      </c>
      <c r="B54" s="140" t="s">
        <v>140</v>
      </c>
      <c r="C54" s="122" t="s">
        <v>202</v>
      </c>
      <c r="D54" s="123">
        <v>0.25</v>
      </c>
      <c r="E54" s="122"/>
      <c r="F54" s="117">
        <v>2</v>
      </c>
      <c r="G54" s="122"/>
      <c r="H54" s="122"/>
      <c r="I54" s="131">
        <f t="shared" si="2"/>
        <v>0.5</v>
      </c>
      <c r="J54" s="53"/>
      <c r="K54" s="53"/>
      <c r="L54" s="53"/>
      <c r="M54" s="53"/>
      <c r="N54" s="53"/>
      <c r="O54" s="59"/>
    </row>
    <row r="55" spans="1:15" x14ac:dyDescent="0.3">
      <c r="A55" s="68">
        <v>290</v>
      </c>
      <c r="B55" s="71" t="s">
        <v>139</v>
      </c>
      <c r="C55" s="122" t="s">
        <v>203</v>
      </c>
      <c r="D55" s="123">
        <v>0.06</v>
      </c>
      <c r="E55" s="122"/>
      <c r="F55" s="117">
        <v>3</v>
      </c>
      <c r="G55" s="122"/>
      <c r="H55" s="122"/>
      <c r="I55" s="131">
        <f t="shared" si="2"/>
        <v>0.18</v>
      </c>
      <c r="J55" s="53"/>
      <c r="K55" s="53"/>
      <c r="L55" s="53"/>
      <c r="M55" s="53"/>
      <c r="N55" s="53"/>
      <c r="O55" s="59"/>
    </row>
    <row r="56" spans="1:15" x14ac:dyDescent="0.3">
      <c r="A56" s="90">
        <v>300</v>
      </c>
      <c r="B56" s="91" t="s">
        <v>141</v>
      </c>
      <c r="C56" s="130" t="s">
        <v>204</v>
      </c>
      <c r="D56" s="123">
        <v>0.75</v>
      </c>
      <c r="E56" s="122"/>
      <c r="F56" s="117">
        <v>3</v>
      </c>
      <c r="G56" s="122"/>
      <c r="H56" s="122"/>
      <c r="I56" s="131">
        <f t="shared" si="2"/>
        <v>2.25</v>
      </c>
      <c r="J56" s="53"/>
      <c r="K56" s="53"/>
      <c r="L56" s="53"/>
      <c r="M56" s="53"/>
      <c r="N56" s="53"/>
      <c r="O56" s="59"/>
    </row>
    <row r="57" spans="1:15" x14ac:dyDescent="0.3">
      <c r="A57" s="122">
        <v>310</v>
      </c>
      <c r="B57" s="140" t="s">
        <v>140</v>
      </c>
      <c r="C57" s="122" t="s">
        <v>204</v>
      </c>
      <c r="D57" s="123">
        <v>0.25</v>
      </c>
      <c r="E57" s="122"/>
      <c r="F57" s="117">
        <v>3</v>
      </c>
      <c r="G57" s="122"/>
      <c r="H57" s="130"/>
      <c r="I57" s="131">
        <f t="shared" si="2"/>
        <v>0.75</v>
      </c>
      <c r="J57" s="53"/>
      <c r="K57" s="53"/>
      <c r="L57" s="53"/>
      <c r="M57" s="53"/>
      <c r="N57" s="53"/>
      <c r="O57" s="59"/>
    </row>
    <row r="58" spans="1:15" x14ac:dyDescent="0.3">
      <c r="A58" s="122">
        <v>320</v>
      </c>
      <c r="B58" s="140" t="s">
        <v>209</v>
      </c>
      <c r="C58" s="122" t="s">
        <v>210</v>
      </c>
      <c r="D58" s="123">
        <v>0.8</v>
      </c>
      <c r="E58" s="122" t="s">
        <v>211</v>
      </c>
      <c r="F58" s="117">
        <v>5</v>
      </c>
      <c r="G58" s="122"/>
      <c r="H58" s="122"/>
      <c r="I58" s="123">
        <f t="shared" si="2"/>
        <v>4</v>
      </c>
      <c r="J58" s="53"/>
      <c r="K58" s="53"/>
      <c r="L58" s="53"/>
      <c r="M58" s="53"/>
      <c r="N58" s="53"/>
      <c r="O58" s="59"/>
    </row>
    <row r="59" spans="1:15" x14ac:dyDescent="0.3">
      <c r="A59" s="63"/>
      <c r="B59" s="20"/>
      <c r="C59" s="20"/>
      <c r="D59" s="20"/>
      <c r="E59" s="20"/>
      <c r="F59" s="20"/>
      <c r="G59" s="20"/>
      <c r="H59" s="198" t="s">
        <v>18</v>
      </c>
      <c r="I59" s="197">
        <f>SUM(I27:I58)</f>
        <v>54.470233999999991</v>
      </c>
      <c r="J59" s="53"/>
      <c r="K59" s="53"/>
      <c r="L59" s="53"/>
      <c r="M59" s="53"/>
      <c r="N59" s="53"/>
      <c r="O59" s="59"/>
    </row>
    <row r="60" spans="1:15" x14ac:dyDescent="0.3">
      <c r="A60" s="60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9"/>
    </row>
    <row r="61" spans="1:15" x14ac:dyDescent="0.3">
      <c r="A61" s="188" t="s">
        <v>14</v>
      </c>
      <c r="B61" s="188" t="s">
        <v>36</v>
      </c>
      <c r="C61" s="188" t="s">
        <v>20</v>
      </c>
      <c r="D61" s="188" t="s">
        <v>21</v>
      </c>
      <c r="E61" s="188" t="s">
        <v>22</v>
      </c>
      <c r="F61" s="188" t="s">
        <v>23</v>
      </c>
      <c r="G61" s="188" t="s">
        <v>24</v>
      </c>
      <c r="H61" s="188" t="s">
        <v>25</v>
      </c>
      <c r="I61" s="188" t="s">
        <v>17</v>
      </c>
      <c r="J61" s="188" t="s">
        <v>18</v>
      </c>
      <c r="K61" s="53"/>
      <c r="L61" s="53"/>
      <c r="M61" s="53"/>
      <c r="N61" s="53"/>
      <c r="O61" s="59"/>
    </row>
    <row r="62" spans="1:15" s="98" customFormat="1" x14ac:dyDescent="0.3">
      <c r="A62" s="100">
        <v>10</v>
      </c>
      <c r="B62" s="100" t="s">
        <v>144</v>
      </c>
      <c r="C62" s="100" t="s">
        <v>186</v>
      </c>
      <c r="D62" s="69">
        <f>0.8/105154*E62^2*G62*SQRT(G62)+(0.003*EXP(0.319*E62))</f>
        <v>6.5344202146287819E-2</v>
      </c>
      <c r="E62" s="100">
        <v>6</v>
      </c>
      <c r="F62" s="100" t="s">
        <v>30</v>
      </c>
      <c r="G62" s="100">
        <v>30</v>
      </c>
      <c r="H62" s="100" t="s">
        <v>30</v>
      </c>
      <c r="I62" s="100">
        <v>28</v>
      </c>
      <c r="J62" s="99">
        <f t="shared" ref="J62:J64" si="3">I62*D62</f>
        <v>1.8296376600960589</v>
      </c>
      <c r="K62" s="96"/>
      <c r="L62" s="96"/>
      <c r="M62" s="96"/>
      <c r="N62" s="96"/>
      <c r="O62" s="97"/>
    </row>
    <row r="63" spans="1:15" s="98" customFormat="1" x14ac:dyDescent="0.3">
      <c r="A63" s="100">
        <v>20</v>
      </c>
      <c r="B63" s="100" t="s">
        <v>37</v>
      </c>
      <c r="C63" s="100" t="s">
        <v>186</v>
      </c>
      <c r="D63" s="69">
        <v>0.01</v>
      </c>
      <c r="E63" s="100"/>
      <c r="F63" s="100"/>
      <c r="G63" s="100"/>
      <c r="H63" s="100"/>
      <c r="I63" s="100">
        <v>56</v>
      </c>
      <c r="J63" s="99">
        <f t="shared" si="3"/>
        <v>0.56000000000000005</v>
      </c>
      <c r="K63" s="96"/>
      <c r="L63" s="96"/>
      <c r="M63" s="96"/>
      <c r="N63" s="96"/>
      <c r="O63" s="97"/>
    </row>
    <row r="64" spans="1:15" s="98" customFormat="1" x14ac:dyDescent="0.3">
      <c r="A64" s="100">
        <v>30</v>
      </c>
      <c r="B64" s="100" t="s">
        <v>38</v>
      </c>
      <c r="C64" s="100" t="s">
        <v>186</v>
      </c>
      <c r="D64" s="69">
        <f>(0.009*EXP(0.2*E64))</f>
        <v>2.9881052304628931E-2</v>
      </c>
      <c r="E64" s="100">
        <v>6</v>
      </c>
      <c r="F64" s="100" t="s">
        <v>30</v>
      </c>
      <c r="G64" s="100"/>
      <c r="H64" s="100"/>
      <c r="I64" s="100">
        <v>28</v>
      </c>
      <c r="J64" s="99">
        <f t="shared" si="3"/>
        <v>0.83666946452961011</v>
      </c>
      <c r="K64" s="96"/>
      <c r="L64" s="96"/>
      <c r="M64" s="96"/>
      <c r="N64" s="96"/>
      <c r="O64" s="97"/>
    </row>
    <row r="65" spans="1:15" x14ac:dyDescent="0.3">
      <c r="A65" s="63"/>
      <c r="B65" s="20"/>
      <c r="C65" s="20"/>
      <c r="D65" s="20"/>
      <c r="E65" s="20"/>
      <c r="F65" s="20"/>
      <c r="G65" s="20"/>
      <c r="H65" s="20"/>
      <c r="I65" s="191" t="s">
        <v>18</v>
      </c>
      <c r="J65" s="192">
        <f>SUM(J62:J64)</f>
        <v>3.2263071246256692</v>
      </c>
      <c r="K65" s="53"/>
      <c r="L65" s="53"/>
      <c r="M65" s="53"/>
      <c r="N65" s="53"/>
      <c r="O65" s="59"/>
    </row>
    <row r="66" spans="1:15" x14ac:dyDescent="0.3">
      <c r="A66" s="60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9"/>
    </row>
    <row r="67" spans="1:15" x14ac:dyDescent="0.3">
      <c r="A67" s="188" t="s">
        <v>14</v>
      </c>
      <c r="B67" s="188" t="s">
        <v>39</v>
      </c>
      <c r="C67" s="188" t="s">
        <v>20</v>
      </c>
      <c r="D67" s="188" t="s">
        <v>21</v>
      </c>
      <c r="E67" s="188" t="s">
        <v>32</v>
      </c>
      <c r="F67" s="188" t="s">
        <v>17</v>
      </c>
      <c r="G67" s="188" t="s">
        <v>40</v>
      </c>
      <c r="H67" s="188" t="s">
        <v>41</v>
      </c>
      <c r="I67" s="188" t="s">
        <v>18</v>
      </c>
      <c r="J67" s="20"/>
      <c r="K67" s="53"/>
      <c r="L67" s="53"/>
      <c r="M67" s="53"/>
      <c r="N67" s="53"/>
      <c r="O67" s="59"/>
    </row>
    <row r="68" spans="1:15" x14ac:dyDescent="0.3">
      <c r="A68" s="68">
        <v>10</v>
      </c>
      <c r="B68" s="68" t="s">
        <v>42</v>
      </c>
      <c r="C68" s="68" t="s">
        <v>145</v>
      </c>
      <c r="D68" s="69">
        <v>500</v>
      </c>
      <c r="E68" s="68" t="s">
        <v>43</v>
      </c>
      <c r="F68" s="68">
        <f>28*2</f>
        <v>56</v>
      </c>
      <c r="G68" s="68">
        <v>3000</v>
      </c>
      <c r="H68" s="68">
        <v>1</v>
      </c>
      <c r="I68" s="69">
        <f>D68*F68/G68*H68</f>
        <v>9.3333333333333339</v>
      </c>
      <c r="J68" s="20"/>
      <c r="K68" s="53"/>
      <c r="L68" s="53"/>
      <c r="M68" s="53"/>
      <c r="N68" s="53"/>
      <c r="O68" s="59"/>
    </row>
    <row r="69" spans="1:15" x14ac:dyDescent="0.3">
      <c r="A69" s="63"/>
      <c r="B69" s="20"/>
      <c r="C69" s="20"/>
      <c r="D69" s="20"/>
      <c r="E69" s="20"/>
      <c r="F69" s="20"/>
      <c r="G69" s="20"/>
      <c r="H69" s="199" t="s">
        <v>18</v>
      </c>
      <c r="I69" s="196">
        <f>SUM(I68:I68)</f>
        <v>9.3333333333333339</v>
      </c>
      <c r="J69" s="20"/>
      <c r="K69" s="53"/>
      <c r="L69" s="53"/>
      <c r="M69" s="53"/>
      <c r="N69" s="53"/>
      <c r="O69" s="59"/>
    </row>
    <row r="70" spans="1:15" ht="15" thickBot="1" x14ac:dyDescent="0.35">
      <c r="A70" s="65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7"/>
    </row>
    <row r="71" spans="1:15" x14ac:dyDescent="0.3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</row>
  </sheetData>
  <hyperlinks>
    <hyperlink ref="B10" location="MS_0100_001" display="Firewall up" xr:uid="{00000000-0004-0000-0200-000000000000}"/>
    <hyperlink ref="B11" location="MS_0100_002" display="Firewall Middle" xr:uid="{00000000-0004-0000-0200-000001000000}"/>
    <hyperlink ref="B12" location="MS_0100_003" display="Firewall Bottom" xr:uid="{00000000-0004-0000-0200-000002000000}"/>
    <hyperlink ref="B13" location="MS_0100_004" display="Firewall Upper Side" xr:uid="{00000000-0004-0000-0200-000003000000}"/>
    <hyperlink ref="B14" location="MS_0100_005" display="Firewall Middle Side" xr:uid="{00000000-0004-0000-0200-000004000000}"/>
    <hyperlink ref="B15" location="MS_0100_006" display="Firewall Lower Side" xr:uid="{00000000-0004-0000-0200-000005000000}"/>
    <hyperlink ref="B16" location="MS_0100_007" display="Firewall Up Bracket" xr:uid="{00000000-0004-0000-0200-000006000000}"/>
    <hyperlink ref="B17" location="MS_0100_008" display="Firewall Middle, Bottom and Sides Bracket" xr:uid="{00000000-0004-0000-0200-000007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7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  <pageSetUpPr fitToPage="1"/>
  </sheetPr>
  <dimension ref="A1:O20"/>
  <sheetViews>
    <sheetView zoomScale="75" zoomScaleNormal="75" workbookViewId="0">
      <selection activeCell="E21" sqref="E21"/>
    </sheetView>
  </sheetViews>
  <sheetFormatPr baseColWidth="10" defaultColWidth="9.109375" defaultRowHeight="14.4" x14ac:dyDescent="0.3"/>
  <cols>
    <col min="1" max="1" width="10.5546875"/>
    <col min="2" max="2" width="33.44140625"/>
    <col min="3" max="3" width="23"/>
    <col min="4" max="4" width="10.5546875"/>
    <col min="5" max="5" width="11.5546875" bestFit="1" customWidth="1"/>
    <col min="6" max="6" width="10.5546875"/>
    <col min="7" max="7" width="31" customWidth="1"/>
    <col min="8" max="8" width="10.5546875"/>
    <col min="9" max="9" width="11.21875" bestFit="1" customWidth="1"/>
    <col min="10" max="12" width="10.5546875"/>
    <col min="13" max="13" width="15.33203125"/>
    <col min="14" max="14" width="10.5546875"/>
    <col min="15" max="15" width="3.109375" customWidth="1"/>
    <col min="16" max="1025" width="10.5546875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78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79" t="s">
        <v>1</v>
      </c>
      <c r="K2" s="73">
        <v>81</v>
      </c>
      <c r="L2" s="53"/>
      <c r="M2" s="178" t="s">
        <v>16</v>
      </c>
      <c r="N2" s="69">
        <f>MS_0100_001_m+MS_0100_001_p</f>
        <v>9.2651947324861545</v>
      </c>
      <c r="O2" s="59"/>
    </row>
    <row r="3" spans="1:15" x14ac:dyDescent="0.3">
      <c r="A3" s="178" t="s">
        <v>3</v>
      </c>
      <c r="B3" s="11" t="str">
        <f>MS_A0100!B3</f>
        <v>Frame and Body</v>
      </c>
      <c r="C3" s="53"/>
      <c r="D3" s="178" t="s">
        <v>6</v>
      </c>
      <c r="E3" s="79" t="s">
        <v>94</v>
      </c>
      <c r="F3" s="53"/>
      <c r="G3" s="53"/>
      <c r="H3" s="53"/>
      <c r="I3" s="53"/>
      <c r="J3" s="53"/>
      <c r="K3" s="53"/>
      <c r="L3" s="53"/>
      <c r="M3" s="178" t="s">
        <v>4</v>
      </c>
      <c r="N3" s="72">
        <v>1</v>
      </c>
      <c r="O3" s="59"/>
    </row>
    <row r="4" spans="1:15" x14ac:dyDescent="0.3">
      <c r="A4" s="178" t="s">
        <v>5</v>
      </c>
      <c r="B4" s="78" t="str">
        <f>MS_A0100!B4</f>
        <v>Firewall</v>
      </c>
      <c r="C4" s="53"/>
      <c r="D4" s="178" t="s">
        <v>8</v>
      </c>
      <c r="E4" s="53"/>
      <c r="F4" s="53"/>
      <c r="G4" s="53"/>
      <c r="H4" s="53"/>
      <c r="I4" s="53"/>
      <c r="J4" s="180" t="s">
        <v>6</v>
      </c>
      <c r="K4" s="53"/>
      <c r="L4" s="53"/>
      <c r="M4" s="53"/>
      <c r="N4" s="53"/>
      <c r="O4" s="59"/>
    </row>
    <row r="5" spans="1:15" x14ac:dyDescent="0.3">
      <c r="A5" s="178" t="s">
        <v>15</v>
      </c>
      <c r="B5" s="12" t="s">
        <v>174</v>
      </c>
      <c r="C5" s="53"/>
      <c r="D5" s="178" t="s">
        <v>12</v>
      </c>
      <c r="E5" s="53"/>
      <c r="F5" s="53"/>
      <c r="G5" s="53"/>
      <c r="H5" s="53"/>
      <c r="I5" s="53"/>
      <c r="J5" s="180" t="s">
        <v>8</v>
      </c>
      <c r="K5" s="53"/>
      <c r="L5" s="53"/>
      <c r="M5" s="178" t="s">
        <v>9</v>
      </c>
      <c r="N5" s="69">
        <f>N3*N2</f>
        <v>9.2651947324861545</v>
      </c>
      <c r="O5" s="59"/>
    </row>
    <row r="6" spans="1:15" x14ac:dyDescent="0.3">
      <c r="A6" s="178" t="s">
        <v>7</v>
      </c>
      <c r="B6" s="24" t="s">
        <v>165</v>
      </c>
      <c r="C6" s="53"/>
      <c r="D6" s="53"/>
      <c r="E6" s="53"/>
      <c r="F6" s="53"/>
      <c r="G6" s="53"/>
      <c r="H6" s="53"/>
      <c r="I6" s="53"/>
      <c r="J6" s="180" t="s">
        <v>12</v>
      </c>
      <c r="K6" s="53"/>
      <c r="L6" s="53"/>
      <c r="M6" s="53"/>
      <c r="N6" s="53"/>
      <c r="O6" s="59"/>
    </row>
    <row r="7" spans="1:15" x14ac:dyDescent="0.3">
      <c r="A7" s="178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78" t="s">
        <v>13</v>
      </c>
      <c r="B8" s="11" t="s">
        <v>172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4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81" t="s">
        <v>14</v>
      </c>
      <c r="B10" s="182" t="s">
        <v>19</v>
      </c>
      <c r="C10" s="182" t="s">
        <v>20</v>
      </c>
      <c r="D10" s="182" t="s">
        <v>21</v>
      </c>
      <c r="E10" s="182" t="s">
        <v>22</v>
      </c>
      <c r="F10" s="183" t="s">
        <v>23</v>
      </c>
      <c r="G10" s="183" t="s">
        <v>24</v>
      </c>
      <c r="H10" s="183" t="s">
        <v>25</v>
      </c>
      <c r="I10" s="183" t="s">
        <v>26</v>
      </c>
      <c r="J10" s="183" t="s">
        <v>27</v>
      </c>
      <c r="K10" s="183" t="s">
        <v>28</v>
      </c>
      <c r="L10" s="183" t="s">
        <v>29</v>
      </c>
      <c r="M10" s="183" t="s">
        <v>17</v>
      </c>
      <c r="N10" s="183" t="s">
        <v>18</v>
      </c>
      <c r="O10" s="59"/>
    </row>
    <row r="11" spans="1:15" s="18" customFormat="1" x14ac:dyDescent="0.3">
      <c r="A11" s="75">
        <v>10</v>
      </c>
      <c r="B11" s="26" t="s">
        <v>146</v>
      </c>
      <c r="C11" s="15"/>
      <c r="D11" s="28">
        <v>4.2</v>
      </c>
      <c r="E11" s="155">
        <f>J11*K11*L11</f>
        <v>1.179237264</v>
      </c>
      <c r="F11" s="15" t="s">
        <v>208</v>
      </c>
      <c r="G11" s="15"/>
      <c r="H11" s="14"/>
      <c r="I11" s="16" t="s">
        <v>207</v>
      </c>
      <c r="J11" s="105">
        <v>0.21741099999999999</v>
      </c>
      <c r="K11" s="17">
        <v>2E-3</v>
      </c>
      <c r="L11" s="27">
        <v>2712</v>
      </c>
      <c r="M11" s="19">
        <v>1</v>
      </c>
      <c r="N11" s="28">
        <f>IF(J11="",D11*M11,D11*J11*K11*L11*M11)</f>
        <v>4.9527965088000006</v>
      </c>
      <c r="O11" s="62"/>
    </row>
    <row r="12" spans="1:15" x14ac:dyDescent="0.3">
      <c r="A12" s="63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84" t="s">
        <v>18</v>
      </c>
      <c r="N12" s="185">
        <f>SUM(N11:N11)</f>
        <v>4.9527965088000006</v>
      </c>
      <c r="O12" s="59"/>
    </row>
    <row r="13" spans="1:15" x14ac:dyDescent="0.3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3">
      <c r="A14" s="186" t="s">
        <v>14</v>
      </c>
      <c r="B14" s="183" t="s">
        <v>31</v>
      </c>
      <c r="C14" s="183" t="s">
        <v>20</v>
      </c>
      <c r="D14" s="183" t="s">
        <v>21</v>
      </c>
      <c r="E14" s="183" t="s">
        <v>32</v>
      </c>
      <c r="F14" s="183" t="s">
        <v>17</v>
      </c>
      <c r="G14" s="183" t="s">
        <v>33</v>
      </c>
      <c r="H14" s="183" t="s">
        <v>34</v>
      </c>
      <c r="I14" s="183" t="s">
        <v>18</v>
      </c>
      <c r="J14" s="20"/>
      <c r="K14" s="20"/>
      <c r="L14" s="20"/>
      <c r="M14" s="20"/>
      <c r="N14" s="20"/>
      <c r="O14" s="59"/>
    </row>
    <row r="15" spans="1:15" s="21" customFormat="1" x14ac:dyDescent="0.3">
      <c r="A15" s="151">
        <v>10</v>
      </c>
      <c r="B15" s="119" t="s">
        <v>45</v>
      </c>
      <c r="C15" s="151"/>
      <c r="D15" s="152">
        <v>1.3</v>
      </c>
      <c r="E15" s="140" t="s">
        <v>35</v>
      </c>
      <c r="F15" s="153">
        <v>1</v>
      </c>
      <c r="G15" s="151"/>
      <c r="H15" s="29"/>
      <c r="I15" s="30">
        <f t="shared" ref="I15:I17" si="0">IF(H15="",D15*F15,D15*F15*H15)</f>
        <v>1.3</v>
      </c>
      <c r="J15" s="55"/>
      <c r="K15" s="55"/>
      <c r="L15" s="55"/>
      <c r="M15" s="55"/>
      <c r="N15" s="55"/>
      <c r="O15" s="64"/>
    </row>
    <row r="16" spans="1:15" x14ac:dyDescent="0.3">
      <c r="A16" s="122">
        <v>20</v>
      </c>
      <c r="B16" s="119" t="s">
        <v>46</v>
      </c>
      <c r="C16" s="122"/>
      <c r="D16" s="123">
        <v>0.01</v>
      </c>
      <c r="E16" s="122" t="s">
        <v>47</v>
      </c>
      <c r="F16" s="148">
        <f>193.7+4*2*PI()*0.3</f>
        <v>201.23982236861548</v>
      </c>
      <c r="G16" s="140" t="s">
        <v>214</v>
      </c>
      <c r="H16" s="142">
        <v>1</v>
      </c>
      <c r="I16" s="131">
        <f t="shared" si="0"/>
        <v>2.0123982236861546</v>
      </c>
      <c r="J16" s="53"/>
      <c r="K16" s="53"/>
      <c r="L16" s="53"/>
      <c r="M16" s="53"/>
      <c r="N16" s="53"/>
      <c r="O16" s="59"/>
    </row>
    <row r="17" spans="1:15" x14ac:dyDescent="0.3">
      <c r="A17" s="122">
        <v>30</v>
      </c>
      <c r="B17" s="119" t="s">
        <v>148</v>
      </c>
      <c r="C17" s="122"/>
      <c r="D17" s="123">
        <v>0.25</v>
      </c>
      <c r="E17" s="122" t="s">
        <v>149</v>
      </c>
      <c r="F17" s="148">
        <v>4</v>
      </c>
      <c r="G17" s="140"/>
      <c r="H17" s="117"/>
      <c r="I17" s="123">
        <f t="shared" si="0"/>
        <v>1</v>
      </c>
      <c r="J17" s="53"/>
      <c r="K17" s="53"/>
      <c r="L17" s="53"/>
      <c r="M17" s="53"/>
      <c r="N17" s="53"/>
      <c r="O17" s="59"/>
    </row>
    <row r="18" spans="1:15" x14ac:dyDescent="0.3">
      <c r="A18" s="63"/>
      <c r="B18" s="20"/>
      <c r="C18" s="20"/>
      <c r="D18" s="20"/>
      <c r="E18" s="20"/>
      <c r="F18" s="20"/>
      <c r="G18" s="20"/>
      <c r="H18" s="187" t="s">
        <v>18</v>
      </c>
      <c r="I18" s="185">
        <f>SUM(I15:I17)</f>
        <v>4.3123982236861549</v>
      </c>
      <c r="J18" s="20"/>
      <c r="K18" s="20"/>
      <c r="L18" s="20"/>
      <c r="M18" s="20"/>
      <c r="N18" s="20"/>
      <c r="O18" s="59"/>
    </row>
    <row r="19" spans="1:15" x14ac:dyDescent="0.3">
      <c r="A19" s="60"/>
      <c r="B19" s="53"/>
      <c r="C19" s="53"/>
      <c r="D19" s="53"/>
      <c r="E19" s="53"/>
      <c r="F19" s="53"/>
      <c r="G19" s="53"/>
      <c r="H19" s="53"/>
      <c r="I19" s="54"/>
      <c r="J19" s="53"/>
      <c r="K19" s="53"/>
      <c r="L19" s="53"/>
      <c r="M19" s="53"/>
      <c r="N19" s="53"/>
      <c r="O19" s="59"/>
    </row>
    <row r="20" spans="1:15" ht="15" thickBot="1" x14ac:dyDescent="0.35">
      <c r="A20" s="65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7"/>
    </row>
  </sheetData>
  <hyperlinks>
    <hyperlink ref="B4" location="MS_A0100!A1" display="MS_A0100!A1" xr:uid="{00000000-0004-0000-0300-000000000000}"/>
    <hyperlink ref="E3" location="dMS_0100_001!A1" display="Drawing" xr:uid="{00000000-0004-0000-03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0" max="16383" man="1"/>
    <brk id="54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-0.249977111117893"/>
    <pageSetUpPr fitToPage="1"/>
  </sheetPr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12.44140625" bestFit="1" customWidth="1"/>
    <col min="2" max="2" width="12" bestFit="1" customWidth="1"/>
  </cols>
  <sheetData>
    <row r="1" spans="1:2" x14ac:dyDescent="0.3">
      <c r="A1" s="98" t="s">
        <v>93</v>
      </c>
      <c r="B1" s="103" t="s">
        <v>165</v>
      </c>
    </row>
  </sheetData>
  <hyperlinks>
    <hyperlink ref="B1" location="MS_0100_001!A1" display="FR_0300_000" xr:uid="{00000000-0004-0000-0400-000000000000}"/>
  </hyperlinks>
  <pageMargins left="0.7" right="0.7" top="0.75" bottom="0.75" header="0.3" footer="0.3"/>
  <pageSetup paperSize="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-0.249977111117893"/>
  </sheetPr>
  <dimension ref="A1:O18"/>
  <sheetViews>
    <sheetView zoomScale="85" zoomScaleNormal="85" workbookViewId="0">
      <selection activeCell="H17" activeCellId="8" sqref="D3:D5 J2 J4:J6 M2:M3 M5 A10:N10 M12:N12 A14:I14 H17:I17"/>
    </sheetView>
  </sheetViews>
  <sheetFormatPr baseColWidth="10" defaultColWidth="9.109375" defaultRowHeight="14.4" x14ac:dyDescent="0.3"/>
  <cols>
    <col min="1" max="1" width="10.21875" bestFit="1" customWidth="1"/>
    <col min="2" max="2" width="32.21875" customWidth="1"/>
    <col min="3" max="3" width="19.44140625" bestFit="1" customWidth="1"/>
    <col min="5" max="5" width="11.6640625" bestFit="1" customWidth="1"/>
    <col min="7" max="7" width="33" customWidth="1"/>
    <col min="9" max="9" width="11.109375" bestFit="1" customWidth="1"/>
    <col min="10" max="10" width="16.109375" bestFit="1" customWidth="1"/>
    <col min="15" max="15" width="3.109375" customWidth="1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78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79" t="s">
        <v>1</v>
      </c>
      <c r="K2" s="73">
        <v>81</v>
      </c>
      <c r="L2" s="53"/>
      <c r="M2" s="178" t="s">
        <v>16</v>
      </c>
      <c r="N2" s="69">
        <f>MS_0100_002_m+MS_0100_002_p</f>
        <v>7.5426952828861555</v>
      </c>
      <c r="O2" s="59"/>
    </row>
    <row r="3" spans="1:15" x14ac:dyDescent="0.3">
      <c r="A3" s="178" t="s">
        <v>3</v>
      </c>
      <c r="B3" s="11" t="str">
        <f>MS_A0100!B3</f>
        <v>Frame and Body</v>
      </c>
      <c r="C3" s="53"/>
      <c r="D3" s="178" t="s">
        <v>6</v>
      </c>
      <c r="E3" s="79" t="s">
        <v>94</v>
      </c>
      <c r="F3" s="53"/>
      <c r="G3" s="53"/>
      <c r="H3" s="53"/>
      <c r="I3" s="53"/>
      <c r="J3" s="53"/>
      <c r="K3" s="53"/>
      <c r="L3" s="53"/>
      <c r="M3" s="178" t="s">
        <v>4</v>
      </c>
      <c r="N3" s="72">
        <v>1</v>
      </c>
      <c r="O3" s="59"/>
    </row>
    <row r="4" spans="1:15" x14ac:dyDescent="0.3">
      <c r="A4" s="178" t="s">
        <v>5</v>
      </c>
      <c r="B4" s="78" t="str">
        <f>MS_A0100!B4</f>
        <v>Firewall</v>
      </c>
      <c r="C4" s="53"/>
      <c r="D4" s="178" t="s">
        <v>8</v>
      </c>
      <c r="E4" s="53"/>
      <c r="F4" s="53"/>
      <c r="G4" s="53"/>
      <c r="H4" s="53"/>
      <c r="I4" s="53"/>
      <c r="J4" s="180" t="s">
        <v>6</v>
      </c>
      <c r="K4" s="53"/>
      <c r="L4" s="53"/>
      <c r="M4" s="53"/>
      <c r="N4" s="53"/>
      <c r="O4" s="59"/>
    </row>
    <row r="5" spans="1:15" x14ac:dyDescent="0.3">
      <c r="A5" s="178" t="s">
        <v>15</v>
      </c>
      <c r="B5" s="12" t="s">
        <v>162</v>
      </c>
      <c r="C5" s="53"/>
      <c r="D5" s="178" t="s">
        <v>12</v>
      </c>
      <c r="E5" s="53"/>
      <c r="F5" s="53"/>
      <c r="G5" s="53"/>
      <c r="H5" s="53"/>
      <c r="I5" s="53"/>
      <c r="J5" s="180" t="s">
        <v>8</v>
      </c>
      <c r="K5" s="53"/>
      <c r="L5" s="53"/>
      <c r="M5" s="178" t="s">
        <v>9</v>
      </c>
      <c r="N5" s="69">
        <f>N3*N2</f>
        <v>7.5426952828861555</v>
      </c>
      <c r="O5" s="59"/>
    </row>
    <row r="6" spans="1:15" x14ac:dyDescent="0.3">
      <c r="A6" s="178" t="s">
        <v>7</v>
      </c>
      <c r="B6" s="24" t="s">
        <v>166</v>
      </c>
      <c r="C6" s="53"/>
      <c r="D6" s="53"/>
      <c r="E6" s="53"/>
      <c r="F6" s="53"/>
      <c r="G6" s="53"/>
      <c r="H6" s="53"/>
      <c r="I6" s="53"/>
      <c r="J6" s="180" t="s">
        <v>12</v>
      </c>
      <c r="K6" s="53"/>
      <c r="L6" s="53"/>
      <c r="M6" s="53"/>
      <c r="N6" s="53"/>
      <c r="O6" s="59"/>
    </row>
    <row r="7" spans="1:15" x14ac:dyDescent="0.3">
      <c r="A7" s="178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78" t="s">
        <v>13</v>
      </c>
      <c r="B8" s="11" t="s">
        <v>173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4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81" t="s">
        <v>14</v>
      </c>
      <c r="B10" s="182" t="s">
        <v>19</v>
      </c>
      <c r="C10" s="182" t="s">
        <v>20</v>
      </c>
      <c r="D10" s="182" t="s">
        <v>21</v>
      </c>
      <c r="E10" s="182" t="s">
        <v>22</v>
      </c>
      <c r="F10" s="183" t="s">
        <v>23</v>
      </c>
      <c r="G10" s="183" t="s">
        <v>24</v>
      </c>
      <c r="H10" s="183" t="s">
        <v>25</v>
      </c>
      <c r="I10" s="183" t="s">
        <v>26</v>
      </c>
      <c r="J10" s="183" t="s">
        <v>27</v>
      </c>
      <c r="K10" s="183" t="s">
        <v>28</v>
      </c>
      <c r="L10" s="183" t="s">
        <v>29</v>
      </c>
      <c r="M10" s="183" t="s">
        <v>17</v>
      </c>
      <c r="N10" s="183" t="s">
        <v>18</v>
      </c>
      <c r="O10" s="59"/>
    </row>
    <row r="11" spans="1:15" s="18" customFormat="1" x14ac:dyDescent="0.3">
      <c r="A11" s="75">
        <v>10</v>
      </c>
      <c r="B11" s="26" t="s">
        <v>146</v>
      </c>
      <c r="C11" s="15"/>
      <c r="D11" s="28">
        <v>4.2</v>
      </c>
      <c r="E11" s="155">
        <f>J11*K11*L11</f>
        <v>1.022689776</v>
      </c>
      <c r="F11" s="15" t="s">
        <v>208</v>
      </c>
      <c r="G11" s="15"/>
      <c r="H11" s="14"/>
      <c r="I11" s="16" t="s">
        <v>207</v>
      </c>
      <c r="J11" s="104">
        <v>0.18854899999999999</v>
      </c>
      <c r="K11" s="17">
        <v>2E-3</v>
      </c>
      <c r="L11" s="27">
        <v>2712</v>
      </c>
      <c r="M11" s="19">
        <v>1</v>
      </c>
      <c r="N11" s="28">
        <f>IF(J11="",D11*M11,D11*J11*K11*L11*M11)</f>
        <v>4.2952970592000002</v>
      </c>
      <c r="O11" s="62"/>
    </row>
    <row r="12" spans="1:15" x14ac:dyDescent="0.3">
      <c r="A12" s="63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84" t="s">
        <v>18</v>
      </c>
      <c r="N12" s="185">
        <f>SUM(N11:N11)</f>
        <v>4.2952970592000002</v>
      </c>
      <c r="O12" s="59"/>
    </row>
    <row r="13" spans="1:15" x14ac:dyDescent="0.3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3">
      <c r="A14" s="186" t="s">
        <v>14</v>
      </c>
      <c r="B14" s="183" t="s">
        <v>31</v>
      </c>
      <c r="C14" s="183" t="s">
        <v>20</v>
      </c>
      <c r="D14" s="183" t="s">
        <v>21</v>
      </c>
      <c r="E14" s="183" t="s">
        <v>32</v>
      </c>
      <c r="F14" s="183" t="s">
        <v>17</v>
      </c>
      <c r="G14" s="183" t="s">
        <v>33</v>
      </c>
      <c r="H14" s="183" t="s">
        <v>34</v>
      </c>
      <c r="I14" s="183" t="s">
        <v>18</v>
      </c>
      <c r="J14" s="20"/>
      <c r="K14" s="20"/>
      <c r="L14" s="20"/>
      <c r="M14" s="20"/>
      <c r="N14" s="20"/>
      <c r="O14" s="59"/>
    </row>
    <row r="15" spans="1:15" s="21" customFormat="1" x14ac:dyDescent="0.3">
      <c r="A15" s="149">
        <v>10</v>
      </c>
      <c r="B15" s="116" t="s">
        <v>45</v>
      </c>
      <c r="C15" s="150"/>
      <c r="D15" s="30">
        <v>1.3</v>
      </c>
      <c r="E15" s="23" t="s">
        <v>35</v>
      </c>
      <c r="F15" s="101">
        <v>1</v>
      </c>
      <c r="G15" s="29"/>
      <c r="H15" s="29"/>
      <c r="I15" s="28">
        <f t="shared" ref="I15:I16" si="0">IF(H15="",D15*F15,D15*F15*H15)</f>
        <v>1.3</v>
      </c>
      <c r="J15" s="55"/>
      <c r="K15" s="55"/>
      <c r="L15" s="55"/>
      <c r="M15" s="55"/>
      <c r="N15" s="55"/>
      <c r="O15" s="64"/>
    </row>
    <row r="16" spans="1:15" x14ac:dyDescent="0.3">
      <c r="A16" s="122">
        <v>20</v>
      </c>
      <c r="B16" s="119" t="s">
        <v>46</v>
      </c>
      <c r="C16" s="122"/>
      <c r="D16" s="28">
        <v>0.01</v>
      </c>
      <c r="E16" s="13" t="s">
        <v>47</v>
      </c>
      <c r="F16" s="102">
        <f>187.2+4*2*PI()*0.3</f>
        <v>194.73982236861548</v>
      </c>
      <c r="G16" s="23" t="s">
        <v>214</v>
      </c>
      <c r="H16" s="22">
        <v>1</v>
      </c>
      <c r="I16" s="28">
        <f t="shared" si="0"/>
        <v>1.9473982236861549</v>
      </c>
      <c r="J16" s="53"/>
      <c r="K16" s="53"/>
      <c r="L16" s="53"/>
      <c r="M16" s="53"/>
      <c r="N16" s="53"/>
      <c r="O16" s="59"/>
    </row>
    <row r="17" spans="1:15" x14ac:dyDescent="0.3">
      <c r="A17" s="63"/>
      <c r="B17" s="20"/>
      <c r="C17" s="20"/>
      <c r="D17" s="20"/>
      <c r="E17" s="20"/>
      <c r="F17" s="20"/>
      <c r="G17" s="20"/>
      <c r="H17" s="187" t="s">
        <v>18</v>
      </c>
      <c r="I17" s="185">
        <f>SUM(I15:I16)</f>
        <v>3.2473982236861549</v>
      </c>
      <c r="J17" s="20"/>
      <c r="K17" s="20"/>
      <c r="L17" s="20"/>
      <c r="M17" s="20"/>
      <c r="N17" s="20"/>
      <c r="O17" s="59"/>
    </row>
    <row r="18" spans="1:15" ht="15" thickBot="1" x14ac:dyDescent="0.35">
      <c r="A18" s="65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7"/>
    </row>
  </sheetData>
  <hyperlinks>
    <hyperlink ref="B4" location="MS_A0100!A1" display="MS_A0100!A1" xr:uid="{00000000-0004-0000-0500-000000000000}"/>
    <hyperlink ref="E3" location="dMS_0100_002!A1" display="Drawing" xr:uid="{00000000-0004-0000-0500-00000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B1"/>
  <sheetViews>
    <sheetView workbookViewId="0"/>
  </sheetViews>
  <sheetFormatPr baseColWidth="10" defaultRowHeight="14.4" x14ac:dyDescent="0.3"/>
  <cols>
    <col min="1" max="1" width="12.88671875" bestFit="1" customWidth="1"/>
    <col min="2" max="2" width="13.109375" bestFit="1" customWidth="1"/>
  </cols>
  <sheetData>
    <row r="1" spans="1:2" x14ac:dyDescent="0.3">
      <c r="A1" s="98" t="s">
        <v>147</v>
      </c>
      <c r="B1" s="103" t="s">
        <v>166</v>
      </c>
    </row>
  </sheetData>
  <hyperlinks>
    <hyperlink ref="B1" location="MS_0100_002!A1" display="FR_0300_001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O19"/>
  <sheetViews>
    <sheetView workbookViewId="0">
      <selection activeCell="I18" activeCellId="10" sqref="A2:A8 D3:D5 J2 J4:J6 M2:M3 M5 A10:N10 M12:N12 A14:I14 H18 I18"/>
    </sheetView>
  </sheetViews>
  <sheetFormatPr baseColWidth="10" defaultColWidth="9.109375" defaultRowHeight="14.4" x14ac:dyDescent="0.3"/>
  <cols>
    <col min="2" max="2" width="33.44140625" bestFit="1" customWidth="1"/>
    <col min="5" max="5" width="11.21875" bestFit="1" customWidth="1"/>
    <col min="7" max="7" width="29.77734375" customWidth="1"/>
    <col min="9" max="9" width="10.88671875" bestFit="1" customWidth="1"/>
    <col min="15" max="15" width="3.109375" customWidth="1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78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79" t="s">
        <v>1</v>
      </c>
      <c r="K2" s="73">
        <v>81</v>
      </c>
      <c r="L2" s="53"/>
      <c r="M2" s="178" t="s">
        <v>16</v>
      </c>
      <c r="N2" s="69">
        <f>MS_0100_003_m+MS_0100_003_p</f>
        <v>11.141555750086155</v>
      </c>
      <c r="O2" s="59"/>
    </row>
    <row r="3" spans="1:15" x14ac:dyDescent="0.3">
      <c r="A3" s="178" t="s">
        <v>3</v>
      </c>
      <c r="B3" s="11" t="str">
        <f>MS_A0100!B3</f>
        <v>Frame and Body</v>
      </c>
      <c r="C3" s="53"/>
      <c r="D3" s="178" t="s">
        <v>6</v>
      </c>
      <c r="E3" s="79" t="s">
        <v>94</v>
      </c>
      <c r="F3" s="53"/>
      <c r="G3" s="53"/>
      <c r="H3" s="53"/>
      <c r="I3" s="53"/>
      <c r="J3" s="53"/>
      <c r="K3" s="53"/>
      <c r="L3" s="53"/>
      <c r="M3" s="178" t="s">
        <v>4</v>
      </c>
      <c r="N3" s="72">
        <v>1</v>
      </c>
      <c r="O3" s="59"/>
    </row>
    <row r="4" spans="1:15" x14ac:dyDescent="0.3">
      <c r="A4" s="178" t="s">
        <v>5</v>
      </c>
      <c r="B4" s="78" t="str">
        <f>MS_A0100!B4</f>
        <v>Firewall</v>
      </c>
      <c r="C4" s="53"/>
      <c r="D4" s="178" t="s">
        <v>8</v>
      </c>
      <c r="E4" s="53"/>
      <c r="F4" s="53"/>
      <c r="G4" s="53"/>
      <c r="H4" s="53"/>
      <c r="I4" s="53"/>
      <c r="J4" s="180" t="s">
        <v>6</v>
      </c>
      <c r="K4" s="53"/>
      <c r="L4" s="53"/>
      <c r="M4" s="53"/>
      <c r="N4" s="53"/>
      <c r="O4" s="59"/>
    </row>
    <row r="5" spans="1:15" x14ac:dyDescent="0.3">
      <c r="A5" s="178" t="s">
        <v>15</v>
      </c>
      <c r="B5" s="12" t="s">
        <v>161</v>
      </c>
      <c r="C5" s="53"/>
      <c r="D5" s="178" t="s">
        <v>12</v>
      </c>
      <c r="E5" s="53"/>
      <c r="F5" s="53"/>
      <c r="G5" s="53"/>
      <c r="H5" s="53"/>
      <c r="I5" s="53"/>
      <c r="J5" s="180" t="s">
        <v>8</v>
      </c>
      <c r="K5" s="53"/>
      <c r="L5" s="53"/>
      <c r="M5" s="178" t="s">
        <v>9</v>
      </c>
      <c r="N5" s="69">
        <f>N3*N2</f>
        <v>11.141555750086155</v>
      </c>
      <c r="O5" s="59"/>
    </row>
    <row r="6" spans="1:15" x14ac:dyDescent="0.3">
      <c r="A6" s="178" t="s">
        <v>7</v>
      </c>
      <c r="B6" s="24" t="s">
        <v>167</v>
      </c>
      <c r="C6" s="53"/>
      <c r="D6" s="53"/>
      <c r="E6" s="53"/>
      <c r="F6" s="53"/>
      <c r="G6" s="53"/>
      <c r="H6" s="53"/>
      <c r="I6" s="53"/>
      <c r="J6" s="180" t="s">
        <v>12</v>
      </c>
      <c r="K6" s="53"/>
      <c r="L6" s="53"/>
      <c r="M6" s="53"/>
      <c r="N6" s="53"/>
      <c r="O6" s="59"/>
    </row>
    <row r="7" spans="1:15" x14ac:dyDescent="0.3">
      <c r="A7" s="178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78" t="s">
        <v>13</v>
      </c>
      <c r="B8" s="11" t="s">
        <v>175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4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81" t="s">
        <v>14</v>
      </c>
      <c r="B10" s="182" t="s">
        <v>19</v>
      </c>
      <c r="C10" s="182" t="s">
        <v>20</v>
      </c>
      <c r="D10" s="182" t="s">
        <v>21</v>
      </c>
      <c r="E10" s="182" t="s">
        <v>22</v>
      </c>
      <c r="F10" s="183" t="s">
        <v>23</v>
      </c>
      <c r="G10" s="183" t="s">
        <v>24</v>
      </c>
      <c r="H10" s="183" t="s">
        <v>25</v>
      </c>
      <c r="I10" s="183" t="s">
        <v>26</v>
      </c>
      <c r="J10" s="183" t="s">
        <v>27</v>
      </c>
      <c r="K10" s="183" t="s">
        <v>28</v>
      </c>
      <c r="L10" s="183" t="s">
        <v>29</v>
      </c>
      <c r="M10" s="183" t="s">
        <v>17</v>
      </c>
      <c r="N10" s="183" t="s">
        <v>18</v>
      </c>
      <c r="O10" s="59"/>
    </row>
    <row r="11" spans="1:15" s="18" customFormat="1" x14ac:dyDescent="0.3">
      <c r="A11" s="75">
        <v>10</v>
      </c>
      <c r="B11" s="26" t="s">
        <v>146</v>
      </c>
      <c r="C11" s="15"/>
      <c r="D11" s="28">
        <v>4.2</v>
      </c>
      <c r="E11" s="155">
        <f>J11*K11*L11</f>
        <v>1.6257517920000002</v>
      </c>
      <c r="F11" s="15" t="s">
        <v>208</v>
      </c>
      <c r="G11" s="15"/>
      <c r="H11" s="14"/>
      <c r="I11" s="16" t="s">
        <v>207</v>
      </c>
      <c r="J11" s="105">
        <v>0.29973300000000003</v>
      </c>
      <c r="K11" s="17">
        <v>2E-3</v>
      </c>
      <c r="L11" s="27">
        <v>2712</v>
      </c>
      <c r="M11" s="19">
        <v>1</v>
      </c>
      <c r="N11" s="28">
        <f>IF(J11="",D11*M11,D11*J11*K11*L11*M11)</f>
        <v>6.828157526400001</v>
      </c>
      <c r="O11" s="62"/>
    </row>
    <row r="12" spans="1:15" x14ac:dyDescent="0.3">
      <c r="A12" s="63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84" t="s">
        <v>18</v>
      </c>
      <c r="N12" s="185">
        <f>SUM(N11:N11)</f>
        <v>6.828157526400001</v>
      </c>
      <c r="O12" s="59"/>
    </row>
    <row r="13" spans="1:15" x14ac:dyDescent="0.3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3">
      <c r="A14" s="186" t="s">
        <v>14</v>
      </c>
      <c r="B14" s="183" t="s">
        <v>31</v>
      </c>
      <c r="C14" s="183" t="s">
        <v>20</v>
      </c>
      <c r="D14" s="183" t="s">
        <v>21</v>
      </c>
      <c r="E14" s="183" t="s">
        <v>32</v>
      </c>
      <c r="F14" s="183" t="s">
        <v>17</v>
      </c>
      <c r="G14" s="183" t="s">
        <v>33</v>
      </c>
      <c r="H14" s="183" t="s">
        <v>34</v>
      </c>
      <c r="I14" s="183" t="s">
        <v>18</v>
      </c>
      <c r="J14" s="20"/>
      <c r="K14" s="20"/>
      <c r="L14" s="20"/>
      <c r="M14" s="20"/>
      <c r="N14" s="20"/>
      <c r="O14" s="59"/>
    </row>
    <row r="15" spans="1:15" s="21" customFormat="1" x14ac:dyDescent="0.3">
      <c r="A15" s="76">
        <v>10</v>
      </c>
      <c r="B15" s="94" t="s">
        <v>45</v>
      </c>
      <c r="C15" s="29"/>
      <c r="D15" s="30">
        <v>1.3</v>
      </c>
      <c r="E15" s="23" t="s">
        <v>35</v>
      </c>
      <c r="F15" s="101">
        <v>1</v>
      </c>
      <c r="G15" s="29"/>
      <c r="H15" s="29"/>
      <c r="I15" s="30">
        <f t="shared" ref="I15:I17" si="0">IF(H15="",D15*F15,D15*F15*H15)</f>
        <v>1.3</v>
      </c>
      <c r="J15" s="55"/>
      <c r="K15" s="55"/>
      <c r="L15" s="55"/>
      <c r="M15" s="55"/>
      <c r="N15" s="55"/>
      <c r="O15" s="64"/>
    </row>
    <row r="16" spans="1:15" x14ac:dyDescent="0.3">
      <c r="A16" s="146">
        <v>20</v>
      </c>
      <c r="B16" s="116" t="s">
        <v>46</v>
      </c>
      <c r="C16" s="130"/>
      <c r="D16" s="131">
        <v>0.01</v>
      </c>
      <c r="E16" s="130" t="s">
        <v>47</v>
      </c>
      <c r="F16" s="147">
        <f>218.8+4*2*PI()*0.3</f>
        <v>226.3398223686155</v>
      </c>
      <c r="G16" s="141" t="s">
        <v>214</v>
      </c>
      <c r="H16" s="142">
        <v>1</v>
      </c>
      <c r="I16" s="131">
        <f t="shared" si="0"/>
        <v>2.263398223686155</v>
      </c>
      <c r="J16" s="53"/>
      <c r="K16" s="53"/>
      <c r="L16" s="53"/>
      <c r="M16" s="53"/>
      <c r="N16" s="53"/>
      <c r="O16" s="59"/>
    </row>
    <row r="17" spans="1:15" x14ac:dyDescent="0.3">
      <c r="A17" s="122">
        <v>30</v>
      </c>
      <c r="B17" s="119" t="s">
        <v>148</v>
      </c>
      <c r="C17" s="122"/>
      <c r="D17" s="123">
        <v>0.25</v>
      </c>
      <c r="E17" s="122" t="s">
        <v>149</v>
      </c>
      <c r="F17" s="148">
        <v>3</v>
      </c>
      <c r="G17" s="140"/>
      <c r="H17" s="117"/>
      <c r="I17" s="123">
        <f t="shared" si="0"/>
        <v>0.75</v>
      </c>
      <c r="J17" s="53"/>
      <c r="K17" s="53"/>
      <c r="L17" s="53"/>
      <c r="M17" s="53"/>
      <c r="N17" s="53"/>
      <c r="O17" s="59"/>
    </row>
    <row r="18" spans="1:15" x14ac:dyDescent="0.3">
      <c r="A18" s="63"/>
      <c r="B18" s="20"/>
      <c r="C18" s="20"/>
      <c r="D18" s="20"/>
      <c r="E18" s="20"/>
      <c r="F18" s="20"/>
      <c r="G18" s="20"/>
      <c r="H18" s="187" t="s">
        <v>18</v>
      </c>
      <c r="I18" s="185">
        <f>SUM(I15:I17)</f>
        <v>4.3133982236861552</v>
      </c>
      <c r="J18" s="20"/>
      <c r="K18" s="20"/>
      <c r="L18" s="20"/>
      <c r="M18" s="20"/>
      <c r="N18" s="20"/>
      <c r="O18" s="59"/>
    </row>
    <row r="19" spans="1:15" ht="15" thickBot="1" x14ac:dyDescent="0.35">
      <c r="A19" s="65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7"/>
    </row>
  </sheetData>
  <hyperlinks>
    <hyperlink ref="B4" location="MS_A0100!A1" display="MS_A0100!A1" xr:uid="{00000000-0004-0000-0700-000000000000}"/>
    <hyperlink ref="E3" location="dMS_0100_003!A1" display="Drawing" xr:uid="{00000000-0004-0000-0700-000001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152</v>
      </c>
      <c r="B1" s="79" t="s">
        <v>167</v>
      </c>
    </row>
  </sheetData>
  <hyperlinks>
    <hyperlink ref="B1" location="MS_0100_003!A1" display="FR_0300_002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19</vt:i4>
      </vt:variant>
      <vt:variant>
        <vt:lpstr>Plages nommées</vt:lpstr>
      </vt:variant>
      <vt:variant>
        <vt:i4>44</vt:i4>
      </vt:variant>
    </vt:vector>
  </HeadingPairs>
  <TitlesOfParts>
    <vt:vector size="63" baseType="lpstr">
      <vt:lpstr>Instructions</vt:lpstr>
      <vt:lpstr>BOM</vt:lpstr>
      <vt:lpstr>MS_A0100</vt:lpstr>
      <vt:lpstr>MS_0100_001</vt:lpstr>
      <vt:lpstr>dMS_0100_001</vt:lpstr>
      <vt:lpstr>MS_0100_002</vt:lpstr>
      <vt:lpstr>dMS_0100_002</vt:lpstr>
      <vt:lpstr>MS_0100_003</vt:lpstr>
      <vt:lpstr>dMS_0100_003</vt:lpstr>
      <vt:lpstr>MS_0100_004</vt:lpstr>
      <vt:lpstr>dMS_0100_004</vt:lpstr>
      <vt:lpstr>MS_0100_005</vt:lpstr>
      <vt:lpstr>dMS_0100_005</vt:lpstr>
      <vt:lpstr>MS_0100_006</vt:lpstr>
      <vt:lpstr>dMS_0100_006</vt:lpstr>
      <vt:lpstr>MS_0100_007</vt:lpstr>
      <vt:lpstr>dMS_0100_007</vt:lpstr>
      <vt:lpstr>MS_0100_008</vt:lpstr>
      <vt:lpstr>dMS_0100_008</vt:lpstr>
      <vt:lpstr>BOM!Car</vt:lpstr>
      <vt:lpstr>BOM!CompCode</vt:lpstr>
      <vt:lpstr>BOM!Impression_des_titres</vt:lpstr>
      <vt:lpstr>MS_0100_001</vt:lpstr>
      <vt:lpstr>MS_0100_001_m</vt:lpstr>
      <vt:lpstr>MS_0100_001_p</vt:lpstr>
      <vt:lpstr>MS_0100_001_q</vt:lpstr>
      <vt:lpstr>MS_0100_002</vt:lpstr>
      <vt:lpstr>MS_0100_002_m</vt:lpstr>
      <vt:lpstr>MS_0100_002_p</vt:lpstr>
      <vt:lpstr>MS_0100_002_q</vt:lpstr>
      <vt:lpstr>MS_0100_003</vt:lpstr>
      <vt:lpstr>MS_0100_003_m</vt:lpstr>
      <vt:lpstr>MS_0100_003_p</vt:lpstr>
      <vt:lpstr>MS_0100_003_q</vt:lpstr>
      <vt:lpstr>MS_0100_004</vt:lpstr>
      <vt:lpstr>MS_0100_004_m</vt:lpstr>
      <vt:lpstr>MS_0100_004_p</vt:lpstr>
      <vt:lpstr>MS_0100_004_q</vt:lpstr>
      <vt:lpstr>MS_0100_005</vt:lpstr>
      <vt:lpstr>MS_0100_005_m</vt:lpstr>
      <vt:lpstr>MS_0100_005_p</vt:lpstr>
      <vt:lpstr>MS_0100_005_q</vt:lpstr>
      <vt:lpstr>MS_0100_006</vt:lpstr>
      <vt:lpstr>MS_0100_006_m</vt:lpstr>
      <vt:lpstr>MS_0100_006_p</vt:lpstr>
      <vt:lpstr>MS_0100_006_q</vt:lpstr>
      <vt:lpstr>MS_0100_007</vt:lpstr>
      <vt:lpstr>MS_0100_007_m</vt:lpstr>
      <vt:lpstr>MS_0100_007_p</vt:lpstr>
      <vt:lpstr>MS_0100_007_q</vt:lpstr>
      <vt:lpstr>MS_0100_008</vt:lpstr>
      <vt:lpstr>MS_0100_008_m</vt:lpstr>
      <vt:lpstr>MS_0100_008_p</vt:lpstr>
      <vt:lpstr>MS_0100_008_q</vt:lpstr>
      <vt:lpstr>MS_A0100</vt:lpstr>
      <vt:lpstr>MS_A0100_f</vt:lpstr>
      <vt:lpstr>MS_A0100_m</vt:lpstr>
      <vt:lpstr>MS_A0100_p</vt:lpstr>
      <vt:lpstr>MS_A0100_pa</vt:lpstr>
      <vt:lpstr>MS_A0100_q</vt:lpstr>
      <vt:lpstr>MS_A0100_t</vt:lpstr>
      <vt:lpstr>P_N_Base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Benjamin Delalande</cp:lastModifiedBy>
  <cp:revision>0</cp:revision>
  <dcterms:created xsi:type="dcterms:W3CDTF">2015-05-29T18:57:13Z</dcterms:created>
  <dcterms:modified xsi:type="dcterms:W3CDTF">2018-04-06T07:40:25Z</dcterms:modified>
  <dc:language>fr-FR</dc:language>
</cp:coreProperties>
</file>