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1" activeTab="3"/>
  </bookViews>
  <sheets>
    <sheet name="Instructions" sheetId="7" r:id="rId1"/>
    <sheet name="BOM" sheetId="8" r:id="rId2"/>
    <sheet name="WT A0300" sheetId="1" r:id="rId3"/>
    <sheet name="WT 03001" sheetId="2" r:id="rId4"/>
    <sheet name="WT 03001 Drawing" sheetId="9" r:id="rId5"/>
    <sheet name="WT 03002" sheetId="12" r:id="rId6"/>
    <sheet name="WT 03002 Drawing" sheetId="13" r:id="rId7"/>
    <sheet name="WT 03003" sheetId="18" r:id="rId8"/>
    <sheet name="WT 03003 Drawing" sheetId="19" r:id="rId9"/>
    <sheet name="WT 03004" sheetId="14" r:id="rId10"/>
    <sheet name="WT 03004 Drawing" sheetId="15" r:id="rId11"/>
    <sheet name="WT 03005" sheetId="16" r:id="rId12"/>
    <sheet name="WT 03005 Drawing" sheetId="17" r:id="rId13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03001'!$B$6</definedName>
    <definedName name="WT_0200_001_m">'WT 03001'!$N$12</definedName>
    <definedName name="WT_0200_001_p">'WT 03001'!$I$24</definedName>
    <definedName name="WT_0200_001_q">'WT 03001'!$N$3</definedName>
    <definedName name="WT_0200_003">'WT 03003'!$B$6</definedName>
    <definedName name="WT_0200_003_m">'WT 03003'!$N$12</definedName>
    <definedName name="WT_0200_003_p">'WT 03003'!$I$21</definedName>
    <definedName name="WT_0200_003_q">'WT 03003'!$N$3</definedName>
    <definedName name="WT_0200_004">'WT 03004'!$B$6</definedName>
    <definedName name="WT_0200_004_m">'WT 03004'!$N$12</definedName>
    <definedName name="WT_0200_004_p">'WT 03004'!$I$19</definedName>
    <definedName name="WT_0200_004_q">'WT 03004'!$N$3</definedName>
    <definedName name="WT_0200_005">'WT 03002'!$B$6</definedName>
    <definedName name="WT_0200_005_m">'WT 03002'!$N$12</definedName>
    <definedName name="WT_0200_005_p">'WT 03002'!$I$19</definedName>
    <definedName name="WT_0200_005_q">'WT 03002'!$N$3</definedName>
    <definedName name="WT_0200_006">'WT 03005'!$B$6</definedName>
    <definedName name="WT_0200_006_m">'WT 03005'!$N$12</definedName>
    <definedName name="WT_0200_006_p">'WT 03005'!$I$17</definedName>
    <definedName name="WT_0200_006_q">'WT 03005'!$N$3</definedName>
    <definedName name="WT_A0200">'WT A0300'!$B$5</definedName>
    <definedName name="WT_A0200_f">'WT A0300'!$J$36</definedName>
    <definedName name="WT_A0200_m">'WT A0300'!$N$20</definedName>
    <definedName name="WT_A0200_p">'WT A0300'!$I$32</definedName>
    <definedName name="WT_A0200_pa">'WT A0300'!$E$15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J11" i="16" l="1"/>
  <c r="I15" i="14"/>
  <c r="I16" i="14"/>
  <c r="I17" i="14"/>
  <c r="I18" i="14"/>
  <c r="I19" i="14"/>
  <c r="J11" i="14"/>
  <c r="E11" i="14"/>
  <c r="N11" i="14"/>
  <c r="J11" i="12"/>
  <c r="K11" i="2"/>
  <c r="J11" i="2"/>
  <c r="E11" i="2"/>
  <c r="N11" i="2"/>
  <c r="N12" i="2"/>
  <c r="I23" i="2"/>
  <c r="I16" i="2"/>
  <c r="I15" i="2"/>
  <c r="I17" i="2"/>
  <c r="F18" i="2"/>
  <c r="I18" i="2"/>
  <c r="I19" i="2"/>
  <c r="I20" i="2"/>
  <c r="I21" i="2"/>
  <c r="I22" i="2"/>
  <c r="I24" i="2"/>
  <c r="N2" i="2"/>
  <c r="C10" i="1"/>
  <c r="D10" i="1"/>
  <c r="E10" i="1"/>
  <c r="I16" i="18"/>
  <c r="I18" i="18"/>
  <c r="I21" i="18"/>
  <c r="N2" i="18"/>
  <c r="C12" i="1"/>
  <c r="D12" i="1"/>
  <c r="E12" i="1"/>
  <c r="N12" i="14"/>
  <c r="N2" i="14"/>
  <c r="C13" i="1"/>
  <c r="D13" i="1"/>
  <c r="E13" i="1"/>
  <c r="E11" i="12"/>
  <c r="N11" i="12"/>
  <c r="N12" i="12"/>
  <c r="I16" i="12"/>
  <c r="I18" i="12"/>
  <c r="I19" i="12"/>
  <c r="N2" i="12"/>
  <c r="C11" i="1"/>
  <c r="D11" i="1"/>
  <c r="E11" i="1"/>
  <c r="E11" i="16"/>
  <c r="N11" i="16"/>
  <c r="N12" i="16"/>
  <c r="I16" i="16"/>
  <c r="I17" i="16"/>
  <c r="N2" i="16"/>
  <c r="C14" i="1"/>
  <c r="D14" i="1"/>
  <c r="E14" i="1"/>
  <c r="E15" i="1"/>
  <c r="D18" i="1"/>
  <c r="N18" i="1"/>
  <c r="N19" i="1"/>
  <c r="N20" i="1"/>
  <c r="I23" i="1"/>
  <c r="I24" i="1"/>
  <c r="I25" i="1"/>
  <c r="I26" i="1"/>
  <c r="I29" i="1"/>
  <c r="I30" i="1"/>
  <c r="I31" i="1"/>
  <c r="I32" i="1"/>
  <c r="D35" i="1"/>
  <c r="J35" i="1"/>
  <c r="J36" i="1"/>
  <c r="N2" i="1"/>
  <c r="I20" i="18"/>
  <c r="N5" i="18"/>
  <c r="B1" i="19"/>
  <c r="J11" i="18"/>
  <c r="E11" i="18"/>
  <c r="N11" i="18"/>
  <c r="N12" i="18"/>
  <c r="I15" i="18"/>
  <c r="I17" i="18"/>
  <c r="I19" i="18"/>
  <c r="B4" i="18"/>
  <c r="B3" i="18"/>
  <c r="N5" i="12"/>
  <c r="N5" i="14"/>
  <c r="I15" i="16"/>
  <c r="N5" i="16"/>
  <c r="B1" i="17"/>
  <c r="B4" i="16"/>
  <c r="B3" i="16"/>
  <c r="B1" i="9"/>
  <c r="B1" i="15"/>
  <c r="B4" i="14"/>
  <c r="B3" i="14"/>
  <c r="N5" i="2"/>
  <c r="I15" i="12"/>
  <c r="B1" i="13"/>
  <c r="I17" i="12"/>
  <c r="B4" i="12"/>
  <c r="B3" i="1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L7" i="8"/>
  <c r="B10" i="1"/>
  <c r="K7" i="8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<sst xmlns="http://schemas.openxmlformats.org/spreadsheetml/2006/main" count="550" uniqueCount="187">
  <si>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</si>
  <si>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</si>
  <si>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</si>
  <si>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</si>
  <si>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</si>
  <si>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</si>
  <si>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</si>
  <si>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</si>
  <si>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</si>
  <si>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</si>
  <si>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</si>
  <si>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</si>
  <si>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</si>
  <si>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</si>
  <si>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</si>
  <si>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</si>
  <si>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</si>
  <si>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</si>
  <si>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</si>
  <si>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</si>
  <si>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</si>
  <si>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</si>
  <si>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</si>
  <si>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</si>
  <si>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</si>
  <si>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</si>
  <si>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</si>
  <si>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</si>
  <si>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</si>
  <si>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</si>
  <si>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</si>
  <si>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</si>
  <si>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</si>
  <si>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</si>
  <si>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</si>
  <si>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</si>
  <si>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</si>
  <si>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</si>
  <si>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</si>
  <si>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</si>
  <si>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</si>
  <si>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</si>
  <si>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</si>
  <si>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</si>
  <si>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</si>
  <si>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</si>
  <si>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</si>
  <si>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</si>
  <si>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</si>
  <si>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</si>
  <si>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</si>
  <si>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</si>
  <si>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</si>
  <si>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</si>
  <si>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</si>
  <si>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</si>
  <si>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</si>
  <si>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</si>
  <si>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</si>
  <si>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</si>
  <si>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</si>
  <si>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</si>
  <si>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</si>
  <si>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</si>
  <si>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</si>
  <si>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</si>
  <si>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</si>
  <si>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</si>
  <si>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</si>
  <si>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</si>
  <si>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</si>
  <si>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</si>
  <si>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</si>
  <si>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</si>
  <si>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</si>
  <si>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</si>
  <si>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</si>
  <si>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</si>
  <si>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</si>
  <si>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</si>
  <si>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</si>
  <si>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</si>
  <si>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</si>
  <si>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</si>
  <si>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</si>
  <si>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</si>
  <si>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</si>
  <si>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</si>
  <si>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</si>
  <si>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</si>
  <si>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</si>
  <si>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</si>
  <si>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</si>
  <si>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</si>
  <si>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</si>
  <si>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</si>
  <si>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</si>
  <si>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</si>
  <si>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</si>
  <si>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</si>
  <si>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</si>
  <si>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</si>
  <si>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</si>
  <si>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</si>
  <si>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</si>
  <si>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</si>
  <si>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</si>
  <si>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</si>
  <si>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</si>
  <si>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</si>
  <si>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</si>
  <si>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</si>
  <si>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</si>
  <si>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</si>
  <si>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</si>
  <si>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</si>
  <si>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</si>
  <si>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</si>
  <si>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</si>
  <si>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</si>
  <si>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</si>
  <si>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</si>
  <si>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</si>
  <si>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</si>
  <si>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</si>
  <si>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</si>
  <si>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</si>
  <si>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</si>
  <si>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</si>
  <si>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Assembly of a part of the wheel with the hub, bearings and a part to mesure the speed of the wheel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</si>
  <si>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</si>
  <si>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</si>
  <si>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</si>
  <si>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</si>
  <si>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</si>
  <si>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</si>
  <si>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</si>
  <si>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</si>
  <si>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</si>
  <si>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</si>
  <si>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</si>
  <si>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</si>
  <si>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Setup for turning</t>
  </si>
  <si>
    <t>Change the turning setup</t>
  </si>
  <si>
    <t>Material - Aluminium</t>
  </si>
  <si>
    <t>Wheel bearing spacer</t>
  </si>
  <si>
    <t>Speed Sensor Disc</t>
  </si>
  <si>
    <t>Steel, Mild</t>
  </si>
  <si>
    <t>rectangular area, 160mm*160mm</t>
  </si>
  <si>
    <t>Laser cut</t>
  </si>
  <si>
    <t>one setup for 2 pieces</t>
  </si>
  <si>
    <t>round area, 55mm diameter</t>
  </si>
  <si>
    <t>Wheel Bearing, Ball, Angular Contact</t>
  </si>
  <si>
    <t>Adhesive</t>
  </si>
  <si>
    <t>Wheel studs and hub assemble, cost included in process</t>
  </si>
  <si>
    <t>Assemble, 1 kg, Interference</t>
  </si>
  <si>
    <t>Bearings Assemble</t>
  </si>
  <si>
    <t>Assemble, 1kg, Loose</t>
  </si>
  <si>
    <t>Liquid Applicator Gun</t>
  </si>
  <si>
    <t>Wheel studs and hub assemble</t>
  </si>
  <si>
    <t>Assemble, 1 kg, Line-on-Line</t>
  </si>
  <si>
    <t>Bearing spacer assemble on the hub</t>
  </si>
  <si>
    <t>Speed sensor disc assemble on the hub</t>
  </si>
  <si>
    <t>Stud, Grade 12.9</t>
  </si>
  <si>
    <t>Wheel Studs</t>
  </si>
  <si>
    <t>Part to position the wheel on the good position relative to the hub and upright assembly</t>
  </si>
  <si>
    <t>Assemble, 1 kg, Loose</t>
  </si>
  <si>
    <t>Front Wheel Spacer on hub</t>
  </si>
  <si>
    <t>Disc use in combination with a sensor to obtain the speed of a wheel</t>
  </si>
  <si>
    <t>Rear Hubs</t>
  </si>
  <si>
    <t>Rear Hub</t>
  </si>
  <si>
    <t>WT 03001</t>
  </si>
  <si>
    <t>WT A0300</t>
  </si>
  <si>
    <t>Comment : Drawing before the EDM process for spline at the center</t>
  </si>
  <si>
    <t>EDM - Wire</t>
  </si>
  <si>
    <t>For tripod housing</t>
  </si>
  <si>
    <t>Rear Bearing Spacer</t>
  </si>
  <si>
    <t>WT 03002</t>
  </si>
  <si>
    <t>Part to let a space beetween the hub and the first bearing</t>
  </si>
  <si>
    <t>Rear Wheel Spacer</t>
  </si>
  <si>
    <t>WT 03003</t>
  </si>
  <si>
    <t>WT 03004</t>
  </si>
  <si>
    <t>Tripod housing spacer</t>
  </si>
  <si>
    <t>Part to allow the tripod housing to be used as locknut to prestress the bearings. Also used to separate the speedsensor disc from the upright</t>
  </si>
  <si>
    <t>Tripod Housing Spacer</t>
  </si>
  <si>
    <t>WT 03005</t>
  </si>
  <si>
    <t>Tripod housing spacer assemble on the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</si>
</sst>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_(* #,##0_);_(* \(#,##0\);_(* &quot;-&quot;??_);_(@_)"/>
    <numFmt numFmtId="175" formatCode="0.0"/>
    <numFmt numFmtId="176" formatCode="\$#,##0.00,;&quot;($&quot;#,##0.00\)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8" fillId="0" borderId="0"/>
    <xf numFmtId="169" fontId="8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7" fillId="2" borderId="6">
      <alignment vertical="center" wrapText="1"/>
    </xf>
    <xf numFmtId="170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  <xf numFmtId="0" fontId="1" fillId="0" borderId="0"/>
    <xf numFmtId="43" fontId="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3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8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/>
    <xf numFmtId="169" fontId="29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30" fillId="2" borderId="0" applyNumberFormat="0" applyBorder="0" applyAlignment="0" applyProtection="0"/>
    <xf numFmtId="0" fontId="16" fillId="0" borderId="0"/>
    <xf numFmtId="176" fontId="16" fillId="0" borderId="29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0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0" fontId="9" fillId="0" borderId="0" xfId="5" applyFont="1"/>
    <xf numFmtId="0" fontId="9" fillId="0" borderId="0" xfId="1" applyFont="1" applyProtection="1">
      <protection locked="0"/>
    </xf>
    <xf numFmtId="170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165" fontId="5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0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0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37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6" xfId="0" applyFont="1" applyBorder="1"/>
    <xf numFmtId="0" fontId="5" fillId="0" borderId="22" xfId="0" applyFont="1" applyBorder="1" applyAlignment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1" fontId="5" fillId="0" borderId="16" xfId="7" applyNumberFormat="1" applyFont="1" applyBorder="1" applyAlignment="1" applyProtection="1"/>
    <xf numFmtId="171" fontId="12" fillId="0" borderId="7" xfId="1" applyNumberFormat="1" applyFont="1" applyFill="1" applyBorder="1" applyAlignment="1">
      <alignment horizontal="right"/>
    </xf>
    <xf numFmtId="172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7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1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1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5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69" fontId="25" fillId="0" borderId="3" xfId="3" applyFont="1" applyFill="1" applyBorder="1"/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vertical="center" wrapText="1"/>
    </xf>
    <xf numFmtId="169" fontId="25" fillId="0" borderId="28" xfId="18" applyFont="1" applyFill="1" applyBorder="1"/>
    <xf numFmtId="0" fontId="25" fillId="0" borderId="28" xfId="0" applyFont="1" applyFill="1" applyBorder="1"/>
    <xf numFmtId="169" fontId="25" fillId="0" borderId="3" xfId="3" applyFont="1" applyFill="1" applyBorder="1"/>
    <xf numFmtId="0" fontId="25" fillId="0" borderId="3" xfId="10" applyFont="1" applyFill="1" applyBorder="1"/>
    <xf numFmtId="0" fontId="25" fillId="0" borderId="3" xfId="10" applyFont="1" applyFill="1" applyBorder="1" applyAlignment="1" applyProtection="1">
      <alignment vertical="center" wrapText="1"/>
    </xf>
    <xf numFmtId="43" fontId="25" fillId="0" borderId="3" xfId="16" applyFont="1" applyFill="1" applyBorder="1"/>
    <xf numFmtId="174" fontId="25" fillId="0" borderId="3" xfId="16" applyNumberFormat="1" applyFont="1" applyFill="1" applyBorder="1"/>
    <xf numFmtId="11" fontId="25" fillId="0" borderId="3" xfId="10" applyNumberFormat="1" applyFont="1" applyFill="1" applyBorder="1"/>
    <xf numFmtId="1" fontId="25" fillId="0" borderId="3" xfId="16" applyNumberFormat="1" applyFont="1" applyFill="1" applyBorder="1"/>
    <xf numFmtId="0" fontId="16" fillId="0" borderId="3" xfId="9" applyFont="1" applyFill="1" applyBorder="1" applyAlignment="1">
      <alignment wrapText="1"/>
    </xf>
    <xf numFmtId="0" fontId="6" fillId="0" borderId="3" xfId="14" applyBorder="1"/>
    <xf numFmtId="0" fontId="25" fillId="0" borderId="3" xfId="14" applyFont="1" applyBorder="1"/>
    <xf numFmtId="165" fontId="25" fillId="0" borderId="3" xfId="7" applyNumberFormat="1" applyFont="1" applyBorder="1" applyAlignment="1" applyProtection="1"/>
    <xf numFmtId="0" fontId="25" fillId="0" borderId="3" xfId="14" applyFont="1" applyBorder="1" applyAlignment="1">
      <alignment wrapText="1"/>
    </xf>
    <xf numFmtId="169" fontId="25" fillId="0" borderId="3" xfId="18" applyFont="1" applyFill="1" applyBorder="1"/>
    <xf numFmtId="39" fontId="25" fillId="0" borderId="3" xfId="18" applyNumberFormat="1" applyFont="1" applyFill="1" applyBorder="1"/>
    <xf numFmtId="37" fontId="25" fillId="0" borderId="3" xfId="18" applyNumberFormat="1" applyFont="1" applyFill="1" applyBorder="1"/>
    <xf numFmtId="0" fontId="25" fillId="0" borderId="30" xfId="0" applyFont="1" applyFill="1" applyBorder="1"/>
    <xf numFmtId="169" fontId="25" fillId="0" borderId="30" xfId="18" applyFont="1" applyFill="1" applyBorder="1"/>
    <xf numFmtId="0" fontId="25" fillId="0" borderId="3" xfId="9" applyFont="1" applyFill="1" applyBorder="1" applyAlignment="1">
      <alignment wrapText="1"/>
    </xf>
    <xf numFmtId="0" fontId="25" fillId="0" borderId="30" xfId="9" applyFont="1" applyFill="1" applyBorder="1" applyAlignment="1">
      <alignment wrapText="1"/>
    </xf>
  </cellXfs>
  <cellStyles count="42">
    <cellStyle name="Comma 2" xfId="5"/>
    <cellStyle name="Comma 2 2" xfId="21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5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4"/>
    <cellStyle name="Normal 5" xfId="10"/>
    <cellStyle name="Normal 6" xfId="26"/>
    <cellStyle name="Normal_Sheet1" xfId="9"/>
    <cellStyle name="Pourcentage 2" xfId="41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697666</xdr:colOff>
      <xdr:row>12</xdr:row>
      <xdr:rowOff>126236</xdr:rowOff>
    </xdr:from>
    <xdr:to>
      <xdr:col>13</xdr:col>
      <xdr:colOff>57979</xdr:colOff>
      <xdr:row>25</xdr:row>
      <xdr:rowOff>83431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318" y="2412236"/>
          <a:ext cx="2491139" cy="2433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627883</xdr:colOff>
      <xdr:row>47</xdr:row>
      <xdr:rowOff>103690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133333" cy="8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674740</xdr:colOff>
      <xdr:row>47</xdr:row>
      <xdr:rowOff>94167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276190" cy="8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13</xdr:col>
      <xdr:colOff>9323</xdr:colOff>
      <xdr:row>20</xdr:row>
      <xdr:rowOff>42333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476500"/>
          <a:ext cx="1850823" cy="13758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665217</xdr:colOff>
      <xdr:row>47</xdr:row>
      <xdr:rowOff>94167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266667" cy="8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14</xdr:row>
      <xdr:rowOff>0</xdr:rowOff>
    </xdr:from>
    <xdr:to>
      <xdr:col>12</xdr:col>
      <xdr:colOff>489211</xdr:colOff>
      <xdr:row>22</xdr:row>
      <xdr:rowOff>74543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892" y="2667000"/>
          <a:ext cx="1715036" cy="15985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684264</xdr:colOff>
      <xdr:row>47</xdr:row>
      <xdr:rowOff>113214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285714" cy="86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16898</xdr:rowOff>
    </xdr:from>
    <xdr:to>
      <xdr:col>12</xdr:col>
      <xdr:colOff>391583</xdr:colOff>
      <xdr:row>20</xdr:row>
      <xdr:rowOff>105833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4083" y="2493398"/>
          <a:ext cx="1619250" cy="14224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703312</xdr:colOff>
      <xdr:row>47</xdr:row>
      <xdr:rowOff>94167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04762" cy="86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11</xdr:col>
      <xdr:colOff>391583</xdr:colOff>
      <xdr:row>18</xdr:row>
      <xdr:rowOff>56257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667000"/>
          <a:ext cx="1005417" cy="1008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86" t="s">
        <v>126</v>
      </c>
    </row>
    <row r="3" spans="1:2" x14ac:dyDescent="0.25">
      <c r="A3" s="85" t="s">
        <v>58</v>
      </c>
      <c r="B3" s="83" t="s">
        <v>59</v>
      </c>
    </row>
    <row r="5" spans="1:2" x14ac:dyDescent="0.25">
      <c r="A5" t="s">
        <v>94</v>
      </c>
    </row>
    <row r="6" spans="1:2" x14ac:dyDescent="0.25">
      <c r="A6" t="s">
        <v>95</v>
      </c>
    </row>
    <row r="7" spans="1:2" x14ac:dyDescent="0.25">
      <c r="A7" t="s">
        <v>102</v>
      </c>
    </row>
    <row r="8" spans="1:2" x14ac:dyDescent="0.25">
      <c r="A8" t="s">
        <v>99</v>
      </c>
    </row>
    <row r="9" spans="1:2" x14ac:dyDescent="0.25">
      <c r="A9" t="s">
        <v>60</v>
      </c>
    </row>
    <row r="10" spans="1:2" x14ac:dyDescent="0.25">
      <c r="A10" s="83" t="s">
        <v>90</v>
      </c>
    </row>
    <row r="11" spans="1:2" x14ac:dyDescent="0.25">
      <c r="A11" t="s">
        <v>61</v>
      </c>
    </row>
    <row r="12" spans="1:2" x14ac:dyDescent="0.25">
      <c r="A12" t="s">
        <v>62</v>
      </c>
    </row>
    <row r="14" spans="1:2" x14ac:dyDescent="0.25">
      <c r="A14" t="s">
        <v>93</v>
      </c>
    </row>
    <row r="15" spans="1:2" x14ac:dyDescent="0.25">
      <c r="A15" t="s">
        <v>107</v>
      </c>
    </row>
    <row r="16" spans="1:2" x14ac:dyDescent="0.25">
      <c r="A16" t="s">
        <v>111</v>
      </c>
    </row>
    <row r="18" spans="1:3" x14ac:dyDescent="0.25">
      <c r="A18" s="85" t="s">
        <v>63</v>
      </c>
      <c r="B18" s="83" t="s">
        <v>97</v>
      </c>
      <c r="C18" s="83"/>
    </row>
    <row r="20" spans="1:3" x14ac:dyDescent="0.25">
      <c r="A20" t="s">
        <v>108</v>
      </c>
    </row>
    <row r="21" spans="1:3" x14ac:dyDescent="0.25">
      <c r="A21" t="s">
        <v>127</v>
      </c>
    </row>
    <row r="23" spans="1:3" x14ac:dyDescent="0.25">
      <c r="A23" s="85" t="s">
        <v>65</v>
      </c>
      <c r="B23" s="83" t="s">
        <v>66</v>
      </c>
    </row>
    <row r="25" spans="1:3" x14ac:dyDescent="0.25">
      <c r="A25" t="s">
        <v>119</v>
      </c>
    </row>
    <row r="26" spans="1:3" x14ac:dyDescent="0.25">
      <c r="A26" t="s">
        <v>72</v>
      </c>
    </row>
    <row r="27" spans="1:3" x14ac:dyDescent="0.25">
      <c r="A27" t="s">
        <v>67</v>
      </c>
    </row>
    <row r="28" spans="1:3" x14ac:dyDescent="0.25">
      <c r="A28" t="s">
        <v>103</v>
      </c>
    </row>
    <row r="29" spans="1:3" x14ac:dyDescent="0.25">
      <c r="A29" t="s">
        <v>100</v>
      </c>
    </row>
    <row r="30" spans="1:3" x14ac:dyDescent="0.25">
      <c r="A30" t="s">
        <v>68</v>
      </c>
    </row>
    <row r="31" spans="1:3" x14ac:dyDescent="0.25">
      <c r="A31" s="83" t="s">
        <v>90</v>
      </c>
    </row>
    <row r="32" spans="1:3" x14ac:dyDescent="0.25">
      <c r="A32" t="s">
        <v>101</v>
      </c>
    </row>
    <row r="33" spans="1:2" x14ac:dyDescent="0.25">
      <c r="A33" t="s">
        <v>104</v>
      </c>
    </row>
    <row r="35" spans="1:2" x14ac:dyDescent="0.25">
      <c r="A35" t="s">
        <v>105</v>
      </c>
    </row>
    <row r="36" spans="1:2" x14ac:dyDescent="0.25">
      <c r="A36" t="s">
        <v>106</v>
      </c>
    </row>
    <row r="37" spans="1:2" x14ac:dyDescent="0.25">
      <c r="A37" t="s">
        <v>112</v>
      </c>
    </row>
    <row r="39" spans="1:2" x14ac:dyDescent="0.25">
      <c r="A39" s="85" t="s">
        <v>69</v>
      </c>
      <c r="B39" s="83" t="s">
        <v>64</v>
      </c>
    </row>
    <row r="41" spans="1:2" x14ac:dyDescent="0.25">
      <c r="A41" t="s">
        <v>117</v>
      </c>
    </row>
    <row r="42" spans="1:2" x14ac:dyDescent="0.25">
      <c r="A42" t="s">
        <v>118</v>
      </c>
    </row>
    <row r="43" spans="1:2" x14ac:dyDescent="0.25">
      <c r="A43" t="s">
        <v>96</v>
      </c>
    </row>
    <row r="45" spans="1:2" x14ac:dyDescent="0.25">
      <c r="A45" s="85" t="s">
        <v>70</v>
      </c>
      <c r="B45" s="83" t="s">
        <v>87</v>
      </c>
    </row>
    <row r="47" spans="1:2" x14ac:dyDescent="0.25">
      <c r="A47" t="s">
        <v>120</v>
      </c>
    </row>
    <row r="48" spans="1:2" x14ac:dyDescent="0.25">
      <c r="A48" t="s">
        <v>88</v>
      </c>
    </row>
    <row r="49" spans="1:2" x14ac:dyDescent="0.25">
      <c r="A49" t="s">
        <v>89</v>
      </c>
    </row>
    <row r="50" spans="1:2" x14ac:dyDescent="0.25">
      <c r="A50" t="s">
        <v>109</v>
      </c>
    </row>
    <row r="51" spans="1:2" x14ac:dyDescent="0.25">
      <c r="A51" t="s">
        <v>121</v>
      </c>
    </row>
    <row r="52" spans="1:2" x14ac:dyDescent="0.25">
      <c r="A52" t="s">
        <v>122</v>
      </c>
    </row>
    <row r="53" spans="1:2" x14ac:dyDescent="0.25">
      <c r="A53" t="s">
        <v>91</v>
      </c>
    </row>
    <row r="55" spans="1:2" x14ac:dyDescent="0.25">
      <c r="A55" t="s">
        <v>113</v>
      </c>
    </row>
    <row r="57" spans="1:2" x14ac:dyDescent="0.25">
      <c r="A57" s="85" t="s">
        <v>74</v>
      </c>
      <c r="B57" s="83" t="s">
        <v>71</v>
      </c>
    </row>
    <row r="59" spans="1:2" x14ac:dyDescent="0.25">
      <c r="A59" t="s">
        <v>73</v>
      </c>
    </row>
    <row r="60" spans="1:2" x14ac:dyDescent="0.25">
      <c r="A60" t="s">
        <v>114</v>
      </c>
    </row>
    <row r="61" spans="1:2" x14ac:dyDescent="0.25">
      <c r="A61" t="s">
        <v>110</v>
      </c>
    </row>
    <row r="63" spans="1:2" x14ac:dyDescent="0.25">
      <c r="A63" s="85" t="s">
        <v>86</v>
      </c>
      <c r="B63" s="83" t="s">
        <v>75</v>
      </c>
    </row>
    <row r="65" spans="1:1" x14ac:dyDescent="0.25">
      <c r="A65" t="s">
        <v>76</v>
      </c>
    </row>
    <row r="66" spans="1:1" x14ac:dyDescent="0.25">
      <c r="A66" t="s">
        <v>78</v>
      </c>
    </row>
    <row r="67" spans="1:1" x14ac:dyDescent="0.25">
      <c r="A67" t="s">
        <v>77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115</v>
      </c>
    </row>
    <row r="72" spans="1:1" x14ac:dyDescent="0.25">
      <c r="A72" t="s">
        <v>116</v>
      </c>
    </row>
    <row r="74" spans="1:1" x14ac:dyDescent="0.25">
      <c r="A74" t="s">
        <v>123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115</v>
      </c>
    </row>
    <row r="78" spans="1:1" x14ac:dyDescent="0.25">
      <c r="A78" t="s">
        <v>116</v>
      </c>
    </row>
    <row r="80" spans="1:1" x14ac:dyDescent="0.25">
      <c r="A80" s="83" t="s">
        <v>92</v>
      </c>
    </row>
    <row r="82" spans="1:1" x14ac:dyDescent="0.25">
      <c r="A82" s="86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P21"/>
  <sheetViews>
    <sheetView zoomScale="90" zoomScaleNormal="90" workbookViewId="0">
      <selection activeCell="B4" sqref="B4"/>
    </sheetView>
  </sheetViews>
  <sheetFormatPr baseColWidth="10" defaultColWidth="9.140625" defaultRowHeight="15" x14ac:dyDescent="0.25"/>
  <cols>
    <col min="3" max="3" width="13.42578125" customWidth="1"/>
    <col min="14" max="14" width="12.5703125" bestFit="1" customWidth="1"/>
    <col min="15" max="15" width="3.140625" customWidth="1"/>
  </cols>
  <sheetData>
    <row r="1" spans="1:16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6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WT_0200_004_m+WT_0200_004_p</f>
        <v>3.9037398677120008</v>
      </c>
      <c r="O2" s="62"/>
    </row>
    <row r="3" spans="1:16" x14ac:dyDescent="0.25">
      <c r="A3" s="97" t="s">
        <v>3</v>
      </c>
      <c r="B3" s="16" t="str">
        <f>'WT A0300'!B3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6" x14ac:dyDescent="0.25">
      <c r="A4" s="97" t="s">
        <v>5</v>
      </c>
      <c r="B4" s="132" t="str">
        <f>'WT A0300'!B4</f>
        <v>Rear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6" x14ac:dyDescent="0.25">
      <c r="A5" s="97" t="s">
        <v>15</v>
      </c>
      <c r="B5" s="18" t="s">
        <v>182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3.9037398677120008</v>
      </c>
      <c r="O5" s="62"/>
    </row>
    <row r="6" spans="1:16" x14ac:dyDescent="0.25">
      <c r="A6" s="97" t="s">
        <v>7</v>
      </c>
      <c r="B6" s="27" t="s">
        <v>181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6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6" x14ac:dyDescent="0.25">
      <c r="A8" s="97" t="s">
        <v>13</v>
      </c>
      <c r="B8" s="16" t="s">
        <v>183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6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6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6" s="23" customFormat="1" x14ac:dyDescent="0.25">
      <c r="A11" s="80">
        <v>10</v>
      </c>
      <c r="B11" s="29" t="s">
        <v>131</v>
      </c>
      <c r="C11" s="20"/>
      <c r="D11" s="31">
        <v>4.2</v>
      </c>
      <c r="E11" s="128">
        <f>J11*K11*L11</f>
        <v>0.15755711136000003</v>
      </c>
      <c r="F11" s="20" t="s">
        <v>132</v>
      </c>
      <c r="G11" s="20"/>
      <c r="H11" s="19"/>
      <c r="I11" s="21" t="s">
        <v>133</v>
      </c>
      <c r="J11" s="92">
        <f>(58/2*10^-3)^2*3.14</f>
        <v>2.6407400000000004E-3</v>
      </c>
      <c r="K11" s="22">
        <v>2.1999999999999999E-2</v>
      </c>
      <c r="L11" s="30">
        <v>2712</v>
      </c>
      <c r="M11" s="24">
        <v>1</v>
      </c>
      <c r="N11" s="31">
        <f>D11*E11</f>
        <v>0.66173986771200011</v>
      </c>
      <c r="O11" s="66"/>
    </row>
    <row r="12" spans="1:16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0.66173986771200011</v>
      </c>
      <c r="O12" s="62"/>
    </row>
    <row r="13" spans="1:16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6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56"/>
      <c r="K14" s="56"/>
      <c r="L14" s="56"/>
      <c r="M14" s="56"/>
      <c r="N14" s="56"/>
      <c r="O14" s="62"/>
    </row>
    <row r="15" spans="1:16" s="26" customFormat="1" x14ac:dyDescent="0.25">
      <c r="A15" s="129">
        <v>10</v>
      </c>
      <c r="B15" s="130" t="s">
        <v>134</v>
      </c>
      <c r="C15" s="130" t="s">
        <v>142</v>
      </c>
      <c r="D15" s="138">
        <v>1.3</v>
      </c>
      <c r="E15" s="129" t="s">
        <v>32</v>
      </c>
      <c r="F15" s="129">
        <v>1</v>
      </c>
      <c r="G15" s="129"/>
      <c r="H15" s="129">
        <v>1</v>
      </c>
      <c r="I15" s="32">
        <f>IF(H15="",D15*F15,D15*F15*H15)</f>
        <v>1.3</v>
      </c>
      <c r="J15" s="56"/>
      <c r="K15" s="56"/>
      <c r="L15" s="56"/>
      <c r="M15" s="56"/>
      <c r="N15" s="56"/>
      <c r="O15" s="62"/>
      <c r="P15"/>
    </row>
    <row r="16" spans="1:16" x14ac:dyDescent="0.25">
      <c r="A16" s="129">
        <v>20</v>
      </c>
      <c r="B16" s="130" t="s">
        <v>135</v>
      </c>
      <c r="C16" s="130" t="s">
        <v>136</v>
      </c>
      <c r="D16" s="138">
        <v>0.04</v>
      </c>
      <c r="E16" s="129" t="s">
        <v>137</v>
      </c>
      <c r="F16" s="129">
        <v>27.7</v>
      </c>
      <c r="G16" s="129" t="s">
        <v>144</v>
      </c>
      <c r="H16" s="129">
        <v>1</v>
      </c>
      <c r="I16" s="31">
        <f>IF(H16="",D16*F16,D16*F16*H16)</f>
        <v>1.1080000000000001</v>
      </c>
      <c r="J16" s="25"/>
      <c r="K16" s="25"/>
      <c r="L16" s="25"/>
      <c r="M16" s="25"/>
      <c r="N16" s="25"/>
      <c r="O16" s="62"/>
    </row>
    <row r="17" spans="1:16" x14ac:dyDescent="0.25">
      <c r="A17" s="129">
        <v>30</v>
      </c>
      <c r="B17" s="130" t="s">
        <v>138</v>
      </c>
      <c r="C17" s="130" t="s">
        <v>143</v>
      </c>
      <c r="D17" s="138">
        <v>0.65</v>
      </c>
      <c r="E17" s="129" t="s">
        <v>32</v>
      </c>
      <c r="F17" s="129">
        <v>1</v>
      </c>
      <c r="G17" s="129"/>
      <c r="H17" s="129">
        <v>1</v>
      </c>
      <c r="I17" s="31">
        <f>IF(H17="",D17*F17,D17*F17*H17)</f>
        <v>0.65</v>
      </c>
      <c r="J17" s="58"/>
      <c r="K17" s="58"/>
      <c r="L17" s="58"/>
      <c r="M17" s="58"/>
      <c r="N17" s="58"/>
      <c r="O17" s="68"/>
      <c r="P17" s="26"/>
    </row>
    <row r="18" spans="1:16" x14ac:dyDescent="0.25">
      <c r="A18" s="129">
        <v>40</v>
      </c>
      <c r="B18" s="130" t="s">
        <v>135</v>
      </c>
      <c r="C18" s="130" t="s">
        <v>136</v>
      </c>
      <c r="D18" s="138">
        <v>0.04</v>
      </c>
      <c r="E18" s="129" t="s">
        <v>137</v>
      </c>
      <c r="F18" s="129">
        <v>4.5999999999999996</v>
      </c>
      <c r="G18" s="129" t="s">
        <v>144</v>
      </c>
      <c r="H18" s="129">
        <v>1</v>
      </c>
      <c r="I18" s="31">
        <f>IF(H18="",D18*F18,D18*F18*H18)</f>
        <v>0.184</v>
      </c>
      <c r="J18" s="56"/>
      <c r="K18" s="56"/>
      <c r="L18" s="56"/>
      <c r="M18" s="56"/>
      <c r="N18" s="56"/>
      <c r="O18" s="62"/>
    </row>
    <row r="19" spans="1:16" x14ac:dyDescent="0.25">
      <c r="A19" s="67"/>
      <c r="B19" s="25"/>
      <c r="C19" s="25"/>
      <c r="D19" s="25"/>
      <c r="E19" s="25"/>
      <c r="F19" s="25"/>
      <c r="G19" s="25"/>
      <c r="H19" s="106" t="s">
        <v>18</v>
      </c>
      <c r="I19" s="104">
        <f>SUM(I15:I18)</f>
        <v>3.2420000000000004</v>
      </c>
      <c r="J19" s="25"/>
      <c r="K19" s="25"/>
      <c r="L19" s="25"/>
      <c r="M19" s="25"/>
      <c r="N19" s="25"/>
      <c r="O19" s="62"/>
    </row>
    <row r="20" spans="1:16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6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3004 Drawing'!A1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A6" workbookViewId="0">
      <selection activeCell="A3" sqref="A3"/>
    </sheetView>
  </sheetViews>
  <sheetFormatPr baseColWidth="10" defaultRowHeight="15" x14ac:dyDescent="0.25"/>
  <cols>
    <col min="1" max="1" width="14" customWidth="1"/>
  </cols>
  <sheetData>
    <row r="1" spans="1:2" x14ac:dyDescent="0.25">
      <c r="A1" s="132" t="s">
        <v>84</v>
      </c>
      <c r="B1" s="132" t="str">
        <f>WT_0200_004</f>
        <v>WT 03004</v>
      </c>
    </row>
  </sheetData>
  <hyperlinks>
    <hyperlink ref="B1" location="'WT 03004'!A1" display="'WT 03004'!A1"/>
    <hyperlink ref="A1" location="'WT 03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/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WT_0200_006_m+WT_0200_006_p</f>
        <v>3.2261850000000001</v>
      </c>
      <c r="O2" s="62"/>
    </row>
    <row r="3" spans="1:15" x14ac:dyDescent="0.25">
      <c r="A3" s="97" t="s">
        <v>3</v>
      </c>
      <c r="B3" s="16" t="str">
        <f>'WT A0300'!B3</f>
        <v>Wheels &amp; Tires</v>
      </c>
      <c r="C3" s="56"/>
      <c r="D3" s="97" t="s">
        <v>6</v>
      </c>
      <c r="E3" s="132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2" t="str">
        <f>'WT A0300'!B4</f>
        <v>Rear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146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3.2261850000000001</v>
      </c>
      <c r="O5" s="62"/>
    </row>
    <row r="6" spans="1:15" x14ac:dyDescent="0.25">
      <c r="A6" s="97" t="s">
        <v>7</v>
      </c>
      <c r="B6" s="27" t="s">
        <v>185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168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ht="30" x14ac:dyDescent="0.25">
      <c r="A11" s="80">
        <v>10</v>
      </c>
      <c r="B11" s="134" t="s">
        <v>147</v>
      </c>
      <c r="C11" s="129"/>
      <c r="D11" s="131">
        <v>2.25</v>
      </c>
      <c r="E11" s="128">
        <f>J11*K11*L11</f>
        <v>0.15386000000000002</v>
      </c>
      <c r="F11" s="20" t="s">
        <v>132</v>
      </c>
      <c r="G11" s="20"/>
      <c r="H11" s="19"/>
      <c r="I11" s="21" t="s">
        <v>148</v>
      </c>
      <c r="J11" s="92">
        <f>0.14*0.14</f>
        <v>1.9600000000000003E-2</v>
      </c>
      <c r="K11" s="22">
        <v>1E-3</v>
      </c>
      <c r="L11" s="30">
        <v>7850</v>
      </c>
      <c r="M11" s="24">
        <v>1</v>
      </c>
      <c r="N11" s="31">
        <f>D11*E11</f>
        <v>0.34618500000000008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0.34618500000000008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134</v>
      </c>
      <c r="C15" s="130" t="s">
        <v>142</v>
      </c>
      <c r="D15" s="131">
        <v>1.3</v>
      </c>
      <c r="E15" s="129" t="s">
        <v>32</v>
      </c>
      <c r="F15" s="129">
        <v>1</v>
      </c>
      <c r="G15" s="129" t="s">
        <v>150</v>
      </c>
      <c r="H15" s="129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149</v>
      </c>
      <c r="C16" s="130"/>
      <c r="D16" s="131">
        <v>0.01</v>
      </c>
      <c r="E16" s="129" t="s">
        <v>38</v>
      </c>
      <c r="F16" s="129">
        <v>223</v>
      </c>
      <c r="G16" s="129"/>
      <c r="H16" s="129">
        <v>1</v>
      </c>
      <c r="I16" s="31">
        <f>F16*D16</f>
        <v>2.23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06" t="s">
        <v>18</v>
      </c>
      <c r="I17" s="104">
        <f>SUM(I15:I16)</f>
        <v>2.88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WT A0300'!A1" display="'WT A0300'!A1"/>
    <hyperlink ref="E3" location="'WT 03005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32" t="s">
        <v>84</v>
      </c>
      <c r="B1" s="132" t="str">
        <f>WT_0200_006</f>
        <v>WT 03005</v>
      </c>
    </row>
  </sheetData>
  <hyperlinks>
    <hyperlink ref="A1" location="'WT 03005'!A1" display="Drawing part :"/>
    <hyperlink ref="B1" location="'WT 03005'!A1" display="'WT 03005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7" sqref="F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89" t="s">
        <v>37</v>
      </c>
      <c r="D1" s="43"/>
      <c r="M1" s="55" t="s">
        <v>39</v>
      </c>
      <c r="N1" s="44"/>
      <c r="O1" s="54" t="e">
        <f>#REF!</f>
        <v>#REF!</v>
      </c>
    </row>
    <row r="2" spans="1:15" s="15" customFormat="1" ht="15.75" thickBot="1" x14ac:dyDescent="0.3">
      <c r="A2" s="50" t="s">
        <v>40</v>
      </c>
      <c r="B2" s="88" t="s">
        <v>124</v>
      </c>
      <c r="C2" s="14"/>
      <c r="F2" s="38"/>
    </row>
    <row r="3" spans="1:15" s="15" customFormat="1" ht="16.5" thickTop="1" thickBot="1" x14ac:dyDescent="0.3">
      <c r="A3" s="51" t="s">
        <v>41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87">
        <v>81</v>
      </c>
      <c r="C4" s="14"/>
      <c r="D4" s="43" t="s">
        <v>42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43</v>
      </c>
      <c r="B6" s="46" t="s">
        <v>44</v>
      </c>
      <c r="C6" s="46" t="s">
        <v>45</v>
      </c>
      <c r="D6" s="46" t="s">
        <v>46</v>
      </c>
      <c r="E6" s="46" t="s">
        <v>47</v>
      </c>
      <c r="F6" s="46" t="s">
        <v>48</v>
      </c>
      <c r="G6" s="46" t="s">
        <v>49</v>
      </c>
      <c r="H6" s="48" t="s">
        <v>50</v>
      </c>
      <c r="I6" s="46" t="s">
        <v>17</v>
      </c>
      <c r="J6" s="46" t="s">
        <v>51</v>
      </c>
      <c r="K6" s="46" t="s">
        <v>52</v>
      </c>
      <c r="L6" s="46" t="s">
        <v>53</v>
      </c>
      <c r="M6" s="46" t="s">
        <v>54</v>
      </c>
      <c r="N6" s="47" t="s">
        <v>55</v>
      </c>
      <c r="O6" s="46" t="s">
        <v>56</v>
      </c>
    </row>
    <row r="7" spans="1:15" ht="15" x14ac:dyDescent="0.25">
      <c r="A7" s="107"/>
      <c r="B7" s="108" t="str">
        <f>'WT A0300'!B3</f>
        <v>Wheels &amp; Tires</v>
      </c>
      <c r="C7" s="109" t="e">
        <f>EL_A0001</f>
        <v>#NAME?</v>
      </c>
      <c r="D7" s="109" t="s">
        <v>11</v>
      </c>
      <c r="E7" s="109"/>
      <c r="F7" s="110" t="str">
        <f>'WT A0300'!B4</f>
        <v>Rear Hubs</v>
      </c>
      <c r="G7" s="109"/>
      <c r="H7" s="111" t="e">
        <f t="shared" ref="H7:H17" si="0">SUM(J7:M7)</f>
        <v>#NAME?</v>
      </c>
      <c r="I7" s="112" t="e">
        <f>BR_A0001_q</f>
        <v>#NAME?</v>
      </c>
      <c r="J7" s="113" t="e">
        <f>BR_A0001_m</f>
        <v>#NAME?</v>
      </c>
      <c r="K7" s="113" t="e">
        <f>BR_A0001_p</f>
        <v>#NAME?</v>
      </c>
      <c r="L7" s="113" t="e">
        <f>BR_A0001_f</f>
        <v>#NAME?</v>
      </c>
      <c r="M7" s="113" t="e">
        <f>BR_A0001_t</f>
        <v>#NAME?</v>
      </c>
      <c r="N7" s="114" t="e">
        <f t="shared" ref="N7:N17" si="1">H7*I7</f>
        <v>#NAME?</v>
      </c>
      <c r="O7" s="115"/>
    </row>
    <row r="8" spans="1:15" ht="15" x14ac:dyDescent="0.25">
      <c r="A8" s="116"/>
      <c r="B8" s="117" t="str">
        <f>'WT A0300'!B3</f>
        <v>Wheels &amp; Tires</v>
      </c>
      <c r="C8" s="125" t="e">
        <f>EL_01001</f>
        <v>#NAME?</v>
      </c>
      <c r="D8" s="118" t="s">
        <v>11</v>
      </c>
      <c r="E8" s="118" t="str">
        <f>F7</f>
        <v>Rear Hubs</v>
      </c>
      <c r="F8" s="119" t="str">
        <f>'WT 03001'!B5</f>
        <v>Rear Hub</v>
      </c>
      <c r="G8" s="118"/>
      <c r="H8" s="120" t="e">
        <f t="shared" si="0"/>
        <v>#NAME?</v>
      </c>
      <c r="I8" s="121" t="e">
        <f>BR_A0001_q*BR_01001_q</f>
        <v>#NAME?</v>
      </c>
      <c r="J8" s="122" t="e">
        <f>BR_01001_m</f>
        <v>#NAME?</v>
      </c>
      <c r="K8" s="122" t="e">
        <f>BR_01001_p</f>
        <v>#NAME?</v>
      </c>
      <c r="L8" s="122" t="e">
        <f>BR_01001_f</f>
        <v>#NAME?</v>
      </c>
      <c r="M8" s="122" t="e">
        <f>BR_01001_t</f>
        <v>#NAME?</v>
      </c>
      <c r="N8" s="123" t="e">
        <f t="shared" si="1"/>
        <v>#NAME?</v>
      </c>
      <c r="O8" s="124"/>
    </row>
    <row r="9" spans="1:15" ht="14.25" x14ac:dyDescent="0.2">
      <c r="A9" s="116"/>
      <c r="B9" s="117" t="str">
        <f>'WT A0300'!$B$3</f>
        <v>Wheels &amp; Tires</v>
      </c>
      <c r="C9" s="118"/>
      <c r="D9" s="118" t="s">
        <v>11</v>
      </c>
      <c r="E9" s="118"/>
      <c r="F9" s="117"/>
      <c r="G9" s="118"/>
      <c r="H9" s="120">
        <f t="shared" si="0"/>
        <v>0</v>
      </c>
      <c r="I9" s="126"/>
      <c r="J9" s="122"/>
      <c r="K9" s="122"/>
      <c r="L9" s="122"/>
      <c r="M9" s="122"/>
      <c r="N9" s="123">
        <f t="shared" si="1"/>
        <v>0</v>
      </c>
      <c r="O9" s="124"/>
    </row>
    <row r="10" spans="1:15" ht="14.25" x14ac:dyDescent="0.2">
      <c r="A10" s="116"/>
      <c r="B10" s="117" t="str">
        <f>'WT A0300'!$B$3</f>
        <v>Wheels &amp; Tires</v>
      </c>
      <c r="C10" s="118"/>
      <c r="D10" s="118" t="s">
        <v>11</v>
      </c>
      <c r="E10" s="118"/>
      <c r="F10" s="117"/>
      <c r="G10" s="118"/>
      <c r="H10" s="120">
        <f t="shared" si="0"/>
        <v>0</v>
      </c>
      <c r="I10" s="126"/>
      <c r="J10" s="122"/>
      <c r="K10" s="122"/>
      <c r="L10" s="122"/>
      <c r="M10" s="122"/>
      <c r="N10" s="123">
        <f t="shared" si="1"/>
        <v>0</v>
      </c>
      <c r="O10" s="124"/>
    </row>
    <row r="11" spans="1:15" ht="14.25" x14ac:dyDescent="0.2">
      <c r="A11" s="116"/>
      <c r="B11" s="117" t="str">
        <f>'WT A0300'!$B$3</f>
        <v>Wheels &amp; Tires</v>
      </c>
      <c r="C11" s="118"/>
      <c r="D11" s="118" t="s">
        <v>11</v>
      </c>
      <c r="E11" s="118"/>
      <c r="F11" s="117"/>
      <c r="G11" s="118"/>
      <c r="H11" s="120">
        <f t="shared" si="0"/>
        <v>0</v>
      </c>
      <c r="I11" s="126"/>
      <c r="J11" s="122"/>
      <c r="K11" s="122"/>
      <c r="L11" s="122"/>
      <c r="M11" s="122"/>
      <c r="N11" s="123">
        <f t="shared" si="1"/>
        <v>0</v>
      </c>
      <c r="O11" s="124"/>
    </row>
    <row r="12" spans="1:15" ht="14.25" x14ac:dyDescent="0.2">
      <c r="A12" s="116"/>
      <c r="B12" s="117" t="str">
        <f>'WT A0300'!$B$3</f>
        <v>Wheels &amp; Tires</v>
      </c>
      <c r="C12" s="118"/>
      <c r="D12" s="118" t="s">
        <v>11</v>
      </c>
      <c r="E12" s="118"/>
      <c r="F12" s="117"/>
      <c r="G12" s="118"/>
      <c r="H12" s="120">
        <f t="shared" si="0"/>
        <v>0</v>
      </c>
      <c r="I12" s="126"/>
      <c r="J12" s="122"/>
      <c r="K12" s="122"/>
      <c r="L12" s="122"/>
      <c r="M12" s="122"/>
      <c r="N12" s="123">
        <f t="shared" si="1"/>
        <v>0</v>
      </c>
      <c r="O12" s="124"/>
    </row>
    <row r="13" spans="1:15" ht="14.25" x14ac:dyDescent="0.2">
      <c r="A13" s="116"/>
      <c r="B13" s="117" t="str">
        <f>'WT A0300'!$B$3</f>
        <v>Wheels &amp; Tires</v>
      </c>
      <c r="C13" s="118"/>
      <c r="D13" s="118" t="s">
        <v>11</v>
      </c>
      <c r="E13" s="118"/>
      <c r="F13" s="117"/>
      <c r="G13" s="118"/>
      <c r="H13" s="120">
        <f t="shared" si="0"/>
        <v>0</v>
      </c>
      <c r="I13" s="126"/>
      <c r="J13" s="122"/>
      <c r="K13" s="122"/>
      <c r="L13" s="122"/>
      <c r="M13" s="122"/>
      <c r="N13" s="123">
        <f t="shared" si="1"/>
        <v>0</v>
      </c>
      <c r="O13" s="124"/>
    </row>
    <row r="14" spans="1:15" ht="14.25" x14ac:dyDescent="0.2">
      <c r="A14" s="116"/>
      <c r="B14" s="117" t="str">
        <f>'WT A0300'!$B$3</f>
        <v>Wheels &amp; Tires</v>
      </c>
      <c r="C14" s="118"/>
      <c r="D14" s="118" t="s">
        <v>11</v>
      </c>
      <c r="E14" s="118"/>
      <c r="F14" s="117"/>
      <c r="G14" s="118"/>
      <c r="H14" s="120">
        <f t="shared" si="0"/>
        <v>0</v>
      </c>
      <c r="I14" s="126"/>
      <c r="J14" s="122"/>
      <c r="K14" s="122"/>
      <c r="L14" s="122"/>
      <c r="M14" s="122"/>
      <c r="N14" s="123">
        <f t="shared" si="1"/>
        <v>0</v>
      </c>
      <c r="O14" s="124"/>
    </row>
    <row r="15" spans="1:15" ht="14.25" x14ac:dyDescent="0.2">
      <c r="A15" s="116"/>
      <c r="B15" s="117" t="str">
        <f>'WT A0300'!$B$3</f>
        <v>Wheels &amp; Tires</v>
      </c>
      <c r="C15" s="118"/>
      <c r="D15" s="118" t="s">
        <v>11</v>
      </c>
      <c r="E15" s="118"/>
      <c r="F15" s="117"/>
      <c r="G15" s="127"/>
      <c r="H15" s="120">
        <f t="shared" si="0"/>
        <v>0</v>
      </c>
      <c r="I15" s="126"/>
      <c r="J15" s="122"/>
      <c r="K15" s="122"/>
      <c r="L15" s="122"/>
      <c r="M15" s="122"/>
      <c r="N15" s="123">
        <f t="shared" si="1"/>
        <v>0</v>
      </c>
      <c r="O15" s="124"/>
    </row>
    <row r="16" spans="1:15" ht="14.25" x14ac:dyDescent="0.2">
      <c r="A16" s="116"/>
      <c r="B16" s="117" t="str">
        <f>'WT A0300'!$B$3</f>
        <v>Wheels &amp; Tires</v>
      </c>
      <c r="C16" s="118"/>
      <c r="D16" s="118" t="s">
        <v>11</v>
      </c>
      <c r="E16" s="118"/>
      <c r="F16" s="117"/>
      <c r="G16" s="118"/>
      <c r="H16" s="120">
        <f t="shared" si="0"/>
        <v>0</v>
      </c>
      <c r="I16" s="126"/>
      <c r="J16" s="122"/>
      <c r="K16" s="122"/>
      <c r="L16" s="122"/>
      <c r="M16" s="122"/>
      <c r="N16" s="123">
        <f t="shared" si="1"/>
        <v>0</v>
      </c>
      <c r="O16" s="124"/>
    </row>
    <row r="17" spans="1:15" ht="15" thickBot="1" x14ac:dyDescent="0.25">
      <c r="A17" s="116"/>
      <c r="B17" s="117" t="str">
        <f>'WT A0300'!$B$3</f>
        <v>Wheels &amp; Tires</v>
      </c>
      <c r="C17" s="118"/>
      <c r="D17" s="118" t="s">
        <v>11</v>
      </c>
      <c r="E17" s="118"/>
      <c r="F17" s="117"/>
      <c r="G17" s="118"/>
      <c r="H17" s="120">
        <f t="shared" si="0"/>
        <v>0</v>
      </c>
      <c r="I17" s="126"/>
      <c r="J17" s="122"/>
      <c r="K17" s="122"/>
      <c r="L17" s="122"/>
      <c r="M17" s="122"/>
      <c r="N17" s="123">
        <f t="shared" si="1"/>
        <v>0</v>
      </c>
      <c r="O17" s="124"/>
    </row>
    <row r="18" spans="1:15" s="12" customFormat="1" ht="15.75" thickTop="1" thickBot="1" x14ac:dyDescent="0.25">
      <c r="A18" s="5"/>
      <c r="B18" s="41" t="str">
        <f>'WT A0300'!B3</f>
        <v>Wheels &amp; Tires</v>
      </c>
      <c r="C18" s="1"/>
      <c r="D18" s="1"/>
      <c r="E18" s="1"/>
      <c r="F18" s="41" t="s">
        <v>57</v>
      </c>
      <c r="G18" s="1"/>
      <c r="H18" s="3"/>
      <c r="I18" s="4"/>
      <c r="J18" s="91" t="e">
        <f>SUMPRODUCT($I7:$I17,J7:J17)</f>
        <v>#NAME?</v>
      </c>
      <c r="K18" s="91" t="e">
        <f>SUMPRODUCT($I7:$I17,K7:K17)</f>
        <v>#NAME?</v>
      </c>
      <c r="L18" s="91" t="e">
        <f>SUMPRODUCT($I7:$I17,L7:L17)</f>
        <v>#NAME?</v>
      </c>
      <c r="M18" s="91" t="e">
        <f>SUMPRODUCT($I7:$I17,M7:M17)</f>
        <v>#NAME?</v>
      </c>
      <c r="N18" s="91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P39"/>
  <sheetViews>
    <sheetView zoomScale="75" zoomScaleNormal="75" zoomScaleSheetLayoutView="80" workbookViewId="0">
      <selection activeCell="M26" sqref="M26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3" t="s">
        <v>0</v>
      </c>
      <c r="B2" s="16" t="s">
        <v>37</v>
      </c>
      <c r="C2" s="56"/>
      <c r="D2" s="56"/>
      <c r="E2" s="56" t="s">
        <v>125</v>
      </c>
      <c r="F2" s="56"/>
      <c r="G2" s="56"/>
      <c r="H2" s="56"/>
      <c r="I2" s="56"/>
      <c r="J2" s="93" t="s">
        <v>1</v>
      </c>
      <c r="K2" s="78">
        <v>81</v>
      </c>
      <c r="L2" s="56"/>
      <c r="M2" s="93" t="s">
        <v>2</v>
      </c>
      <c r="N2" s="90">
        <f>WT_A0200_pa+WT_A0200_m+WT_A0200_p+WT_A0200_f</f>
        <v>291.38204545916187</v>
      </c>
      <c r="O2" s="62"/>
    </row>
    <row r="3" spans="1:15" x14ac:dyDescent="0.25">
      <c r="A3" s="93" t="s">
        <v>3</v>
      </c>
      <c r="B3" s="16" t="s">
        <v>128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93" t="s">
        <v>4</v>
      </c>
      <c r="N3" s="77">
        <v>2</v>
      </c>
      <c r="O3" s="62"/>
    </row>
    <row r="4" spans="1:15" x14ac:dyDescent="0.25">
      <c r="A4" s="93" t="s">
        <v>5</v>
      </c>
      <c r="B4" s="57" t="s">
        <v>169</v>
      </c>
      <c r="C4" s="56"/>
      <c r="D4" s="56"/>
      <c r="E4" s="56"/>
      <c r="F4" s="56"/>
      <c r="G4" s="56"/>
      <c r="H4" s="56"/>
      <c r="I4" s="56"/>
      <c r="J4" s="94" t="s">
        <v>6</v>
      </c>
      <c r="K4" s="56"/>
      <c r="L4" s="56"/>
      <c r="M4" s="56"/>
      <c r="N4" s="56"/>
      <c r="O4" s="62"/>
    </row>
    <row r="5" spans="1:15" x14ac:dyDescent="0.25">
      <c r="A5" s="93" t="s">
        <v>7</v>
      </c>
      <c r="B5" s="18" t="s">
        <v>172</v>
      </c>
      <c r="C5" s="56"/>
      <c r="D5" s="56"/>
      <c r="E5" s="56"/>
      <c r="F5" s="56"/>
      <c r="G5" s="56"/>
      <c r="H5" s="56"/>
      <c r="I5" s="56"/>
      <c r="J5" s="94" t="s">
        <v>8</v>
      </c>
      <c r="K5" s="56"/>
      <c r="L5" s="56"/>
      <c r="M5" s="93" t="s">
        <v>9</v>
      </c>
      <c r="N5" s="73">
        <f>N2*N3</f>
        <v>582.76409091832375</v>
      </c>
      <c r="O5" s="62"/>
    </row>
    <row r="6" spans="1:15" x14ac:dyDescent="0.25">
      <c r="A6" s="93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94" t="s">
        <v>12</v>
      </c>
      <c r="K6" s="56"/>
      <c r="L6" s="56"/>
      <c r="M6" s="56"/>
      <c r="N6" s="56"/>
      <c r="O6" s="62"/>
    </row>
    <row r="7" spans="1:15" x14ac:dyDescent="0.25">
      <c r="A7" s="93" t="s">
        <v>13</v>
      </c>
      <c r="B7" s="16" t="s">
        <v>129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3" t="s">
        <v>14</v>
      </c>
      <c r="B9" s="93" t="s">
        <v>15</v>
      </c>
      <c r="C9" s="93" t="s">
        <v>16</v>
      </c>
      <c r="D9" s="93" t="s">
        <v>17</v>
      </c>
      <c r="E9" s="93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82" t="str">
        <f>'WT 03001'!B5</f>
        <v>Rear Hub</v>
      </c>
      <c r="C10" s="73">
        <f>'WT 03001'!N2</f>
        <v>52.730637179680002</v>
      </c>
      <c r="D10" s="81">
        <f>'WT 03001'!N3</f>
        <v>1</v>
      </c>
      <c r="E10" s="73">
        <f>C10*D10</f>
        <v>52.730637179680002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133" t="s">
        <v>176</v>
      </c>
      <c r="C11" s="73">
        <f>'WT 03002'!N2</f>
        <v>3.9690868631840006</v>
      </c>
      <c r="D11" s="81">
        <f>'WT 03002'!N3</f>
        <v>1</v>
      </c>
      <c r="E11" s="73">
        <f>C11*D11</f>
        <v>3.9690868631840006</v>
      </c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25">
      <c r="A12" s="72">
        <v>30</v>
      </c>
      <c r="B12" s="84" t="s">
        <v>179</v>
      </c>
      <c r="C12" s="73">
        <f>'WT 03003'!N2</f>
        <v>22.316657798400001</v>
      </c>
      <c r="D12" s="81">
        <f>'WT 03003'!N3</f>
        <v>1</v>
      </c>
      <c r="E12" s="73">
        <f>C12*D12</f>
        <v>22.316657798400001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82" t="s">
        <v>184</v>
      </c>
      <c r="C13" s="73">
        <f>'WT 03004'!N2</f>
        <v>3.9037398677120008</v>
      </c>
      <c r="D13" s="81">
        <f>'WT 03004'!N3</f>
        <v>1</v>
      </c>
      <c r="E13" s="73">
        <f>C13*D13</f>
        <v>3.9037398677120008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25">
      <c r="A14" s="72">
        <v>50</v>
      </c>
      <c r="B14" s="82" t="s">
        <v>146</v>
      </c>
      <c r="C14" s="73">
        <f>'WT 03005'!N2</f>
        <v>3.2261850000000001</v>
      </c>
      <c r="D14" s="81">
        <f>'WT 03005'!N3</f>
        <v>1</v>
      </c>
      <c r="E14" s="73">
        <f>C14*D14</f>
        <v>3.2261850000000001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x14ac:dyDescent="0.25">
      <c r="A15" s="63"/>
      <c r="B15" s="56"/>
      <c r="C15" s="56"/>
      <c r="D15" s="96" t="s">
        <v>18</v>
      </c>
      <c r="E15" s="95">
        <f>SUM(E10:E14)</f>
        <v>86.146306708976013</v>
      </c>
      <c r="F15" s="57"/>
      <c r="G15" s="57"/>
      <c r="H15" s="57"/>
      <c r="I15" s="57"/>
      <c r="J15" s="57"/>
      <c r="K15" s="57"/>
      <c r="L15" s="57"/>
      <c r="M15" s="57"/>
      <c r="N15" s="57"/>
      <c r="O15" s="62"/>
    </row>
    <row r="16" spans="1:15" x14ac:dyDescent="0.25">
      <c r="A16" s="63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62"/>
    </row>
    <row r="17" spans="1:16" x14ac:dyDescent="0.25">
      <c r="A17" s="93" t="s">
        <v>14</v>
      </c>
      <c r="B17" s="93" t="s">
        <v>19</v>
      </c>
      <c r="C17" s="93" t="s">
        <v>20</v>
      </c>
      <c r="D17" s="93" t="s">
        <v>21</v>
      </c>
      <c r="E17" s="93" t="s">
        <v>22</v>
      </c>
      <c r="F17" s="93" t="s">
        <v>23</v>
      </c>
      <c r="G17" s="93" t="s">
        <v>24</v>
      </c>
      <c r="H17" s="93" t="s">
        <v>25</v>
      </c>
      <c r="I17" s="93" t="s">
        <v>26</v>
      </c>
      <c r="J17" s="93" t="s">
        <v>27</v>
      </c>
      <c r="K17" s="93" t="s">
        <v>28</v>
      </c>
      <c r="L17" s="93" t="s">
        <v>29</v>
      </c>
      <c r="M17" s="93" t="s">
        <v>17</v>
      </c>
      <c r="N17" s="93" t="s">
        <v>18</v>
      </c>
      <c r="O17" s="62"/>
    </row>
    <row r="18" spans="1:16" ht="30" x14ac:dyDescent="0.25">
      <c r="A18" s="72">
        <v>10</v>
      </c>
      <c r="B18" s="135" t="s">
        <v>152</v>
      </c>
      <c r="C18" s="72"/>
      <c r="D18" s="73">
        <f>0.4*((E18^2*G18))^0.5</f>
        <v>99.766126515967343</v>
      </c>
      <c r="E18" s="72">
        <v>72</v>
      </c>
      <c r="F18" s="72" t="s">
        <v>30</v>
      </c>
      <c r="G18" s="72">
        <v>12</v>
      </c>
      <c r="H18" s="74" t="s">
        <v>30</v>
      </c>
      <c r="I18" s="75"/>
      <c r="J18" s="76"/>
      <c r="K18" s="74"/>
      <c r="L18" s="74"/>
      <c r="M18" s="74">
        <v>2</v>
      </c>
      <c r="N18" s="73">
        <f>M18*D18</f>
        <v>199.53225303193469</v>
      </c>
      <c r="O18" s="62"/>
    </row>
    <row r="19" spans="1:16" s="23" customFormat="1" ht="30" x14ac:dyDescent="0.25">
      <c r="A19" s="139">
        <v>20</v>
      </c>
      <c r="B19" s="140" t="s">
        <v>153</v>
      </c>
      <c r="C19" s="149" t="s">
        <v>154</v>
      </c>
      <c r="D19" s="138">
        <v>0</v>
      </c>
      <c r="E19" s="139"/>
      <c r="F19" s="139"/>
      <c r="G19" s="139"/>
      <c r="H19" s="141"/>
      <c r="I19" s="143"/>
      <c r="J19" s="142"/>
      <c r="K19" s="141"/>
      <c r="L19" s="141"/>
      <c r="M19" s="144"/>
      <c r="N19" s="73">
        <f>M19*D19</f>
        <v>0</v>
      </c>
      <c r="O19" s="62"/>
      <c r="P19"/>
    </row>
    <row r="20" spans="1:16" x14ac:dyDescent="0.25">
      <c r="A20" s="6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93" t="s">
        <v>18</v>
      </c>
      <c r="N20" s="95">
        <f>SUM(N18:N19)</f>
        <v>199.53225303193469</v>
      </c>
      <c r="O20" s="62"/>
    </row>
    <row r="21" spans="1:16" x14ac:dyDescent="0.25">
      <c r="A21" s="63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62"/>
    </row>
    <row r="22" spans="1:16" x14ac:dyDescent="0.25">
      <c r="A22" s="93" t="s">
        <v>14</v>
      </c>
      <c r="B22" s="93" t="s">
        <v>31</v>
      </c>
      <c r="C22" s="93" t="s">
        <v>20</v>
      </c>
      <c r="D22" s="93" t="s">
        <v>21</v>
      </c>
      <c r="E22" s="93" t="s">
        <v>32</v>
      </c>
      <c r="F22" s="93" t="s">
        <v>17</v>
      </c>
      <c r="G22" s="93" t="s">
        <v>33</v>
      </c>
      <c r="H22" s="93" t="s">
        <v>34</v>
      </c>
      <c r="I22" s="93" t="s">
        <v>18</v>
      </c>
      <c r="J22" s="25"/>
      <c r="K22" s="25"/>
      <c r="L22" s="25"/>
      <c r="M22" s="25"/>
      <c r="N22" s="25"/>
      <c r="O22" s="68"/>
      <c r="P22" s="26"/>
    </row>
    <row r="23" spans="1:16" s="26" customFormat="1" x14ac:dyDescent="0.25">
      <c r="A23" s="137">
        <v>10</v>
      </c>
      <c r="B23" s="130" t="s">
        <v>157</v>
      </c>
      <c r="C23" s="130" t="s">
        <v>161</v>
      </c>
      <c r="D23" s="136">
        <v>0.06</v>
      </c>
      <c r="E23" s="129" t="s">
        <v>35</v>
      </c>
      <c r="F23" s="129">
        <v>1</v>
      </c>
      <c r="G23" s="129"/>
      <c r="H23" s="129">
        <v>1</v>
      </c>
      <c r="I23" s="73">
        <f t="shared" ref="I23" si="0">IF(H23="",D23*F23,D23*F23*H23)</f>
        <v>0.06</v>
      </c>
      <c r="J23" s="56"/>
      <c r="K23" s="56"/>
      <c r="L23" s="56"/>
      <c r="M23" s="56"/>
      <c r="N23" s="56"/>
      <c r="O23" s="62"/>
      <c r="P23"/>
    </row>
    <row r="24" spans="1:16" x14ac:dyDescent="0.25">
      <c r="A24" s="129">
        <v>20</v>
      </c>
      <c r="B24" s="130" t="s">
        <v>155</v>
      </c>
      <c r="C24" s="130" t="s">
        <v>156</v>
      </c>
      <c r="D24" s="150">
        <v>0.19</v>
      </c>
      <c r="E24" s="129" t="s">
        <v>35</v>
      </c>
      <c r="F24" s="129">
        <v>2</v>
      </c>
      <c r="G24" s="129"/>
      <c r="H24" s="129">
        <v>1</v>
      </c>
      <c r="I24" s="73">
        <f t="shared" ref="I24:I26" si="1">IF(H24="",D24*F24,D24*F24*H24)</f>
        <v>0.38</v>
      </c>
      <c r="J24" s="56"/>
      <c r="K24" s="56"/>
      <c r="L24" s="56"/>
      <c r="M24" s="56"/>
      <c r="N24" s="56"/>
      <c r="O24" s="62"/>
    </row>
    <row r="25" spans="1:16" x14ac:dyDescent="0.25">
      <c r="A25" s="137">
        <v>30</v>
      </c>
      <c r="B25" s="130" t="s">
        <v>157</v>
      </c>
      <c r="C25" s="130" t="s">
        <v>186</v>
      </c>
      <c r="D25" s="136">
        <v>0.06</v>
      </c>
      <c r="E25" s="129" t="s">
        <v>35</v>
      </c>
      <c r="F25" s="129">
        <v>1</v>
      </c>
      <c r="G25" s="129"/>
      <c r="H25" s="129">
        <v>1</v>
      </c>
      <c r="I25" s="73">
        <f t="shared" si="1"/>
        <v>0.06</v>
      </c>
      <c r="J25" s="56"/>
      <c r="K25" s="56"/>
      <c r="L25" s="56"/>
      <c r="M25" s="56"/>
      <c r="N25" s="56"/>
      <c r="O25" s="62"/>
    </row>
    <row r="26" spans="1:16" x14ac:dyDescent="0.25">
      <c r="A26" s="137">
        <v>40</v>
      </c>
      <c r="B26" s="130" t="s">
        <v>157</v>
      </c>
      <c r="C26" s="130" t="s">
        <v>162</v>
      </c>
      <c r="D26" s="136">
        <v>0.06</v>
      </c>
      <c r="E26" s="129" t="s">
        <v>35</v>
      </c>
      <c r="F26" s="129">
        <v>1</v>
      </c>
      <c r="G26" s="129"/>
      <c r="H26" s="129">
        <v>1</v>
      </c>
      <c r="I26" s="73">
        <f t="shared" si="1"/>
        <v>0.06</v>
      </c>
      <c r="J26" s="57"/>
      <c r="K26" s="57"/>
      <c r="L26" s="57"/>
      <c r="M26" s="57"/>
      <c r="N26" s="57"/>
      <c r="O26" s="65"/>
      <c r="P26" s="17"/>
    </row>
    <row r="27" spans="1:16" s="17" customFormat="1" x14ac:dyDescent="0.25">
      <c r="A27" s="137">
        <v>50</v>
      </c>
      <c r="B27" s="130"/>
      <c r="C27" s="130"/>
      <c r="D27" s="136"/>
      <c r="E27" s="129"/>
      <c r="F27" s="129"/>
      <c r="G27" s="129"/>
      <c r="H27" s="129"/>
      <c r="I27" s="73"/>
      <c r="J27" s="57"/>
      <c r="K27" s="57"/>
      <c r="L27" s="57"/>
      <c r="M27" s="57"/>
      <c r="N27" s="57"/>
      <c r="O27" s="68"/>
      <c r="P27" s="26"/>
    </row>
    <row r="28" spans="1:16" s="26" customFormat="1" x14ac:dyDescent="0.25">
      <c r="A28" s="129">
        <v>80</v>
      </c>
      <c r="B28" s="130"/>
      <c r="C28" s="147"/>
      <c r="D28" s="148"/>
      <c r="E28" s="147"/>
      <c r="F28" s="146"/>
      <c r="G28" s="129"/>
      <c r="H28" s="129"/>
      <c r="I28" s="73"/>
      <c r="J28" s="57"/>
      <c r="K28" s="57"/>
      <c r="L28" s="57"/>
      <c r="M28" s="57"/>
      <c r="N28" s="57"/>
      <c r="O28" s="68"/>
      <c r="P28" s="17"/>
    </row>
    <row r="29" spans="1:16" s="17" customFormat="1" x14ac:dyDescent="0.25">
      <c r="A29" s="129">
        <v>60</v>
      </c>
      <c r="B29" s="145" t="s">
        <v>158</v>
      </c>
      <c r="C29" s="149" t="s">
        <v>159</v>
      </c>
      <c r="D29" s="136">
        <v>0.02</v>
      </c>
      <c r="E29" s="129" t="s">
        <v>38</v>
      </c>
      <c r="F29" s="129">
        <v>15.07</v>
      </c>
      <c r="G29" s="129"/>
      <c r="H29" s="129">
        <v>1</v>
      </c>
      <c r="I29" s="73">
        <f>IF(H29="",D29*F29,D29*F29*H29)</f>
        <v>0.3014</v>
      </c>
      <c r="J29" s="57"/>
      <c r="K29" s="57"/>
      <c r="L29" s="57"/>
      <c r="M29" s="57"/>
      <c r="N29" s="57"/>
      <c r="O29" s="65"/>
      <c r="P29"/>
    </row>
    <row r="30" spans="1:16" x14ac:dyDescent="0.25">
      <c r="A30" s="137">
        <v>70</v>
      </c>
      <c r="B30" s="130" t="s">
        <v>160</v>
      </c>
      <c r="C30" s="149" t="s">
        <v>159</v>
      </c>
      <c r="D30" s="136">
        <v>0.13</v>
      </c>
      <c r="E30" s="129" t="s">
        <v>35</v>
      </c>
      <c r="F30" s="129">
        <v>4</v>
      </c>
      <c r="G30" s="129"/>
      <c r="H30" s="129">
        <v>1</v>
      </c>
      <c r="I30" s="73">
        <f>IF(H30="",D30*F30,D30*F30*H30)</f>
        <v>0.52</v>
      </c>
      <c r="J30" s="56"/>
      <c r="K30" s="56"/>
      <c r="L30" s="56"/>
      <c r="M30" s="56"/>
      <c r="N30" s="56"/>
      <c r="O30" s="62"/>
    </row>
    <row r="31" spans="1:16" x14ac:dyDescent="0.25">
      <c r="A31" s="129">
        <v>80</v>
      </c>
      <c r="B31" s="130" t="s">
        <v>166</v>
      </c>
      <c r="C31" s="147" t="s">
        <v>167</v>
      </c>
      <c r="D31" s="148">
        <v>0.06</v>
      </c>
      <c r="E31" s="147" t="s">
        <v>32</v>
      </c>
      <c r="F31" s="146">
        <v>1</v>
      </c>
      <c r="G31" s="129"/>
      <c r="H31" s="129">
        <v>1</v>
      </c>
      <c r="I31" s="73">
        <f>IF(H31="",D31*F31,D31*F31*H31)</f>
        <v>0.06</v>
      </c>
      <c r="J31" s="56"/>
      <c r="K31" s="56"/>
      <c r="L31" s="56"/>
      <c r="M31" s="56"/>
      <c r="N31" s="56"/>
      <c r="O31" s="62"/>
    </row>
    <row r="32" spans="1:16" x14ac:dyDescent="0.25">
      <c r="A32" s="67"/>
      <c r="B32" s="25"/>
      <c r="C32" s="25"/>
      <c r="D32" s="25"/>
      <c r="E32" s="25"/>
      <c r="F32" s="25"/>
      <c r="G32" s="25"/>
      <c r="H32" s="96" t="s">
        <v>18</v>
      </c>
      <c r="I32" s="95">
        <f>SUM(I23:I31)</f>
        <v>1.4414000000000002</v>
      </c>
      <c r="K32" s="56"/>
      <c r="L32" s="56"/>
      <c r="M32" s="56"/>
      <c r="N32" s="56"/>
      <c r="O32" s="62"/>
    </row>
    <row r="33" spans="1:15" x14ac:dyDescent="0.25">
      <c r="A33" s="63"/>
      <c r="B33" s="56"/>
      <c r="C33" s="56"/>
      <c r="D33" s="56"/>
      <c r="E33" s="56"/>
      <c r="F33" s="56"/>
      <c r="G33" s="56"/>
      <c r="H33" s="56"/>
      <c r="I33" s="56"/>
      <c r="K33" s="56"/>
      <c r="L33" s="56"/>
      <c r="M33" s="56"/>
      <c r="N33" s="56"/>
      <c r="O33" s="62"/>
    </row>
    <row r="34" spans="1:15" x14ac:dyDescent="0.25">
      <c r="A34" s="93" t="s">
        <v>14</v>
      </c>
      <c r="B34" s="93" t="s">
        <v>36</v>
      </c>
      <c r="C34" s="93" t="s">
        <v>20</v>
      </c>
      <c r="D34" s="93" t="s">
        <v>21</v>
      </c>
      <c r="E34" s="93" t="s">
        <v>22</v>
      </c>
      <c r="F34" s="93" t="s">
        <v>23</v>
      </c>
      <c r="G34" s="93" t="s">
        <v>24</v>
      </c>
      <c r="H34" s="93" t="s">
        <v>25</v>
      </c>
      <c r="I34" s="93" t="s">
        <v>17</v>
      </c>
      <c r="J34" s="93" t="s">
        <v>18</v>
      </c>
      <c r="K34" s="56"/>
      <c r="L34" s="56"/>
      <c r="M34" s="56"/>
      <c r="N34" s="56"/>
      <c r="O34" s="62"/>
    </row>
    <row r="35" spans="1:15" x14ac:dyDescent="0.25">
      <c r="A35" s="129">
        <v>10</v>
      </c>
      <c r="B35" s="134" t="s">
        <v>163</v>
      </c>
      <c r="C35" s="129" t="s">
        <v>164</v>
      </c>
      <c r="D35" s="150">
        <f>1.25/105154*E35^2*G35*SQRT(G35)+(0.005*EXP(0.319*E35))</f>
        <v>1.0655214295627982</v>
      </c>
      <c r="E35" s="129">
        <v>12</v>
      </c>
      <c r="F35" s="151" t="s">
        <v>30</v>
      </c>
      <c r="G35" s="129">
        <v>62</v>
      </c>
      <c r="H35" s="130" t="s">
        <v>30</v>
      </c>
      <c r="I35" s="152">
        <v>4</v>
      </c>
      <c r="J35" s="150">
        <f>D35*I35</f>
        <v>4.2620857182511926</v>
      </c>
      <c r="K35" s="56"/>
      <c r="L35" s="56"/>
      <c r="M35" s="56"/>
      <c r="N35" s="56"/>
      <c r="O35" s="62"/>
    </row>
    <row r="36" spans="1:15" x14ac:dyDescent="0.25">
      <c r="A36" s="67"/>
      <c r="B36" s="25"/>
      <c r="C36" s="25"/>
      <c r="D36" s="25"/>
      <c r="E36" s="25"/>
      <c r="F36" s="25"/>
      <c r="G36" s="25"/>
      <c r="H36" s="25"/>
      <c r="I36" s="96" t="s">
        <v>18</v>
      </c>
      <c r="J36" s="95">
        <f>SUM(J35:J35)</f>
        <v>4.2620857182511926</v>
      </c>
      <c r="K36" s="56"/>
      <c r="L36" s="56"/>
      <c r="M36" s="56"/>
      <c r="N36" s="56"/>
      <c r="O36" s="62"/>
    </row>
    <row r="37" spans="1:15" x14ac:dyDescent="0.25">
      <c r="A37" s="63"/>
      <c r="B37" s="56"/>
      <c r="C37" s="56"/>
      <c r="D37" s="56"/>
      <c r="E37" s="56"/>
      <c r="F37" s="56"/>
      <c r="G37" s="56"/>
      <c r="H37" s="56"/>
      <c r="I37" s="56"/>
      <c r="J37" s="25"/>
      <c r="K37" s="56"/>
      <c r="L37" s="56"/>
      <c r="M37" s="56"/>
      <c r="N37" s="56"/>
      <c r="O37" s="62"/>
    </row>
    <row r="38" spans="1:15" ht="15.75" thickBot="1" x14ac:dyDescent="0.3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1"/>
    </row>
    <row r="39" spans="1:15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</sheetData>
  <hyperlinks>
    <hyperlink ref="B10" location="'WT 03001'!A1" display="'WT 03001'!A1"/>
    <hyperlink ref="B11" location="'WT 03002'!A1" display="Rear Bearing Spacer"/>
    <hyperlink ref="B13" location="'WT 03004'!A1" display="Tripod Housing Spacer"/>
    <hyperlink ref="B14" location="'WT 03005'!A1" display="Speed Sensor Disc"/>
    <hyperlink ref="B12" location="'WT 03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6"/>
  <sheetViews>
    <sheetView tabSelected="1" zoomScale="115" zoomScaleNormal="115" workbookViewId="0">
      <selection activeCell="C32" sqref="C3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WT_0200_001_m+WT_0200_001_p</f>
        <v>52.730637179680002</v>
      </c>
      <c r="O2" s="62"/>
    </row>
    <row r="3" spans="1:15" x14ac:dyDescent="0.25">
      <c r="A3" s="97" t="s">
        <v>3</v>
      </c>
      <c r="B3" s="16" t="str">
        <f>'WT A0300'!B3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2" t="str">
        <f>'WT A0300'!B4</f>
        <v>Rear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170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52.730637179680002</v>
      </c>
      <c r="O5" s="62"/>
    </row>
    <row r="6" spans="1:15" x14ac:dyDescent="0.25">
      <c r="A6" s="97" t="s">
        <v>7</v>
      </c>
      <c r="B6" s="27" t="s">
        <v>171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130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131</v>
      </c>
      <c r="C11" s="20"/>
      <c r="D11" s="31">
        <v>4.2</v>
      </c>
      <c r="E11" s="128">
        <f>J11*K11*L11</f>
        <v>2.8711040904000007</v>
      </c>
      <c r="F11" s="20" t="s">
        <v>132</v>
      </c>
      <c r="G11" s="20"/>
      <c r="H11" s="19"/>
      <c r="I11" s="21" t="s">
        <v>133</v>
      </c>
      <c r="J11" s="92">
        <f>(65*10^-3)^2*3.14</f>
        <v>1.3266500000000002E-2</v>
      </c>
      <c r="K11" s="22">
        <f>(55.7+8.1+14+2)*10^-3</f>
        <v>7.980000000000001E-2</v>
      </c>
      <c r="L11" s="30">
        <v>2712</v>
      </c>
      <c r="M11" s="24">
        <v>1</v>
      </c>
      <c r="N11" s="31">
        <f>D11*E11</f>
        <v>12.058637179680003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12.058637179680003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134</v>
      </c>
      <c r="C15" s="130" t="s">
        <v>142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 t="shared" ref="I15:I23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135</v>
      </c>
      <c r="C16" s="130" t="s">
        <v>136</v>
      </c>
      <c r="D16" s="131">
        <v>0.04</v>
      </c>
      <c r="E16" s="129" t="s">
        <v>137</v>
      </c>
      <c r="F16" s="129">
        <v>652.29999999999995</v>
      </c>
      <c r="G16" s="129" t="s">
        <v>144</v>
      </c>
      <c r="H16" s="129">
        <v>1</v>
      </c>
      <c r="I16" s="31">
        <f t="shared" si="0"/>
        <v>26.091999999999999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138</v>
      </c>
      <c r="C17" s="130" t="s">
        <v>143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135</v>
      </c>
      <c r="C18" s="130" t="s">
        <v>136</v>
      </c>
      <c r="D18" s="131">
        <v>0.04</v>
      </c>
      <c r="E18" s="129" t="s">
        <v>137</v>
      </c>
      <c r="F18" s="129">
        <f>13.2+53.1-2.8</f>
        <v>63.5</v>
      </c>
      <c r="G18" s="129" t="s">
        <v>144</v>
      </c>
      <c r="H18" s="129">
        <v>1</v>
      </c>
      <c r="I18" s="31">
        <f t="shared" si="0"/>
        <v>2.54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29">
        <v>50</v>
      </c>
      <c r="B19" s="130" t="s">
        <v>134</v>
      </c>
      <c r="C19" s="130"/>
      <c r="D19" s="131">
        <v>1.3</v>
      </c>
      <c r="E19" s="129" t="s">
        <v>32</v>
      </c>
      <c r="F19" s="129">
        <v>1</v>
      </c>
      <c r="G19" s="129"/>
      <c r="H19" s="129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29">
        <v>60</v>
      </c>
      <c r="B20" s="130" t="s">
        <v>135</v>
      </c>
      <c r="C20" s="130" t="s">
        <v>139</v>
      </c>
      <c r="D20" s="131">
        <v>0.04</v>
      </c>
      <c r="E20" s="129" t="s">
        <v>137</v>
      </c>
      <c r="F20" s="129">
        <v>149</v>
      </c>
      <c r="G20" s="129" t="s">
        <v>144</v>
      </c>
      <c r="H20" s="129">
        <v>1</v>
      </c>
      <c r="I20" s="31">
        <f t="shared" si="0"/>
        <v>5.96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129">
        <v>70</v>
      </c>
      <c r="B21" s="130" t="s">
        <v>138</v>
      </c>
      <c r="C21" s="130"/>
      <c r="D21" s="131">
        <v>0.65</v>
      </c>
      <c r="E21" s="129" t="s">
        <v>32</v>
      </c>
      <c r="F21" s="129">
        <v>1</v>
      </c>
      <c r="G21" s="129"/>
      <c r="H21" s="129">
        <v>1</v>
      </c>
      <c r="I21" s="31">
        <f t="shared" si="0"/>
        <v>0.65</v>
      </c>
      <c r="J21" s="57"/>
      <c r="K21" s="57"/>
      <c r="L21" s="57"/>
      <c r="M21" s="57"/>
      <c r="N21" s="57"/>
      <c r="O21" s="65"/>
    </row>
    <row r="22" spans="1:15" x14ac:dyDescent="0.25">
      <c r="A22" s="129">
        <v>80</v>
      </c>
      <c r="B22" s="155" t="s">
        <v>140</v>
      </c>
      <c r="C22" s="130" t="s">
        <v>141</v>
      </c>
      <c r="D22" s="131">
        <v>0.1</v>
      </c>
      <c r="E22" s="129" t="s">
        <v>38</v>
      </c>
      <c r="F22" s="129">
        <v>6</v>
      </c>
      <c r="G22" s="129" t="s">
        <v>144</v>
      </c>
      <c r="H22" s="129">
        <v>1</v>
      </c>
      <c r="I22" s="31">
        <f t="shared" si="0"/>
        <v>0.60000000000000009</v>
      </c>
      <c r="J22" s="56"/>
      <c r="K22" s="56"/>
      <c r="L22" s="56"/>
      <c r="M22" s="56"/>
      <c r="N22" s="56"/>
      <c r="O22" s="62"/>
    </row>
    <row r="23" spans="1:15" x14ac:dyDescent="0.25">
      <c r="A23" s="129">
        <v>100</v>
      </c>
      <c r="B23" s="156" t="s">
        <v>174</v>
      </c>
      <c r="C23" s="153" t="s">
        <v>175</v>
      </c>
      <c r="D23" s="154">
        <v>0.2</v>
      </c>
      <c r="E23" s="153" t="s">
        <v>38</v>
      </c>
      <c r="F23" s="153">
        <v>7.9</v>
      </c>
      <c r="G23" s="153" t="s">
        <v>144</v>
      </c>
      <c r="H23" s="153">
        <v>1</v>
      </c>
      <c r="I23" s="31">
        <f t="shared" si="0"/>
        <v>1.58</v>
      </c>
      <c r="J23" s="56"/>
      <c r="K23" s="56"/>
      <c r="L23" s="56"/>
      <c r="M23" s="56"/>
      <c r="N23" s="56"/>
      <c r="O23" s="62"/>
    </row>
    <row r="24" spans="1:15" x14ac:dyDescent="0.25">
      <c r="A24" s="67"/>
      <c r="B24" s="25"/>
      <c r="C24" s="25"/>
      <c r="D24" s="25"/>
      <c r="E24" s="25"/>
      <c r="F24" s="25"/>
      <c r="G24" s="25"/>
      <c r="H24" s="106" t="s">
        <v>18</v>
      </c>
      <c r="I24" s="104">
        <f>SUM(I15:I23)</f>
        <v>40.671999999999997</v>
      </c>
      <c r="J24" s="56"/>
      <c r="K24" s="56"/>
      <c r="L24" s="56"/>
      <c r="M24" s="56"/>
      <c r="N24" s="56"/>
      <c r="O24" s="62"/>
    </row>
    <row r="25" spans="1:15" x14ac:dyDescent="0.25">
      <c r="A25" s="63"/>
      <c r="B25" s="56"/>
      <c r="C25" s="56"/>
      <c r="D25" s="56"/>
      <c r="E25" s="56"/>
      <c r="F25" s="56"/>
      <c r="G25" s="56"/>
      <c r="H25" s="56"/>
      <c r="I25" s="57"/>
      <c r="J25" s="25"/>
      <c r="K25" s="25"/>
      <c r="L25" s="25"/>
      <c r="M25" s="25"/>
      <c r="N25" s="25"/>
      <c r="O25" s="62"/>
    </row>
    <row r="26" spans="1:15" ht="15.75" thickBot="1" x14ac:dyDescent="0.3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1"/>
    </row>
  </sheetData>
  <hyperlinks>
    <hyperlink ref="E3" location="'WT 03001 Drawing'!A1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49"/>
  <sheetViews>
    <sheetView workbookViewId="0">
      <selection activeCell="A50" sqref="A50"/>
    </sheetView>
  </sheetViews>
  <sheetFormatPr baseColWidth="10" defaultRowHeight="15" x14ac:dyDescent="0.25"/>
  <cols>
    <col min="1" max="1" width="14" customWidth="1"/>
  </cols>
  <sheetData>
    <row r="1" spans="1:2" x14ac:dyDescent="0.25">
      <c r="A1" s="132" t="s">
        <v>84</v>
      </c>
      <c r="B1" s="132" t="str">
        <f>WT_0200_001</f>
        <v>WT 03001</v>
      </c>
    </row>
    <row r="49" spans="1:1" x14ac:dyDescent="0.25">
      <c r="A49" t="s">
        <v>173</v>
      </c>
    </row>
  </sheetData>
  <hyperlinks>
    <hyperlink ref="A1" location="'WT 03001'!A1" display="Drawing part :"/>
    <hyperlink ref="B1" location="'WT 03001'!A1" display="'WT 03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115" zoomScaleNormal="115" workbookViewId="0">
      <selection activeCell="I18" sqref="A15:I18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WT_0200_005_m+WT_0200_005_p</f>
        <v>3.9690868631840006</v>
      </c>
      <c r="O2" s="62"/>
    </row>
    <row r="3" spans="1:15" x14ac:dyDescent="0.25">
      <c r="A3" s="97" t="s">
        <v>3</v>
      </c>
      <c r="B3" s="16" t="str">
        <f>'WT A0300'!B3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2" t="str">
        <f>'WT A0300'!B4</f>
        <v>Rear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145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3.9690868631840006</v>
      </c>
      <c r="O5" s="62"/>
    </row>
    <row r="6" spans="1:15" x14ac:dyDescent="0.25">
      <c r="A6" s="97" t="s">
        <v>7</v>
      </c>
      <c r="B6" s="27" t="s">
        <v>177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178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131</v>
      </c>
      <c r="C11" s="20"/>
      <c r="D11" s="31">
        <v>4.2</v>
      </c>
      <c r="E11" s="128">
        <f>J11*K11*L11</f>
        <v>0.15883020551999999</v>
      </c>
      <c r="F11" s="20" t="s">
        <v>132</v>
      </c>
      <c r="G11" s="20"/>
      <c r="H11" s="19"/>
      <c r="I11" s="21" t="s">
        <v>151</v>
      </c>
      <c r="J11" s="92">
        <f>(73/2*10^-3)^2*3.14</f>
        <v>4.1832649999999994E-3</v>
      </c>
      <c r="K11" s="22">
        <v>1.4E-2</v>
      </c>
      <c r="L11" s="30">
        <v>2712</v>
      </c>
      <c r="M11" s="24">
        <v>1</v>
      </c>
      <c r="N11" s="31">
        <f>D11*E11</f>
        <v>0.66708686318400001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0.66708686318400001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134</v>
      </c>
      <c r="C15" s="130" t="s">
        <v>142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135</v>
      </c>
      <c r="C16" s="130" t="s">
        <v>136</v>
      </c>
      <c r="D16" s="131">
        <v>0.04</v>
      </c>
      <c r="E16" s="129" t="s">
        <v>137</v>
      </c>
      <c r="F16" s="129">
        <v>28.3</v>
      </c>
      <c r="G16" s="129" t="s">
        <v>144</v>
      </c>
      <c r="H16" s="129">
        <v>1</v>
      </c>
      <c r="I16" s="31">
        <f>IF(H16="",D16*F16,D16*F16*H16)</f>
        <v>1.1320000000000001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138</v>
      </c>
      <c r="C17" s="130" t="s">
        <v>143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>IF(H17="",D17*F17,D17*F17*H17)</f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135</v>
      </c>
      <c r="C18" s="130" t="s">
        <v>136</v>
      </c>
      <c r="D18" s="131">
        <v>0.04</v>
      </c>
      <c r="E18" s="129" t="s">
        <v>137</v>
      </c>
      <c r="F18" s="129">
        <v>5.5</v>
      </c>
      <c r="G18" s="129" t="s">
        <v>144</v>
      </c>
      <c r="H18" s="129">
        <v>1</v>
      </c>
      <c r="I18" s="31">
        <f>IF(H18="",D18*F18,D18*F18*H18)</f>
        <v>0.22</v>
      </c>
      <c r="J18" s="57"/>
      <c r="K18" s="57"/>
      <c r="L18" s="57"/>
      <c r="M18" s="57"/>
      <c r="N18" s="57"/>
      <c r="O18" s="65"/>
    </row>
    <row r="19" spans="1:15" x14ac:dyDescent="0.25">
      <c r="A19" s="67"/>
      <c r="B19" s="25"/>
      <c r="C19" s="25"/>
      <c r="D19" s="25"/>
      <c r="E19" s="25"/>
      <c r="F19" s="25"/>
      <c r="G19" s="25"/>
      <c r="H19" s="106" t="s">
        <v>18</v>
      </c>
      <c r="I19" s="104">
        <f>SUM(I15:I18)</f>
        <v>3.3020000000000005</v>
      </c>
      <c r="J19" s="25"/>
      <c r="K19" s="25"/>
      <c r="L19" s="25"/>
      <c r="M19" s="25"/>
      <c r="N19" s="25"/>
      <c r="O19" s="62"/>
    </row>
    <row r="20" spans="1:15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5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3002 Drawing'!A1" display="Drawing"/>
    <hyperlink ref="B4" location="'WT A0300'!A1" display="'WT A03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2" t="s">
        <v>84</v>
      </c>
      <c r="B1" s="132" t="str">
        <f>WT_0200_005</f>
        <v>WT 03002</v>
      </c>
    </row>
  </sheetData>
  <hyperlinks>
    <hyperlink ref="B1" location="'WT 03002'!A1" display="'WT 03002'!A1"/>
    <hyperlink ref="A1" location="'WT 03002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115" zoomScaleNormal="115" workbookViewId="0">
      <selection activeCell="A11" sqref="A11:N11"/>
    </sheetView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WT_0200_003_m+WT_0200_003_p</f>
        <v>22.316657798400001</v>
      </c>
      <c r="O2" s="62"/>
    </row>
    <row r="3" spans="1:15" x14ac:dyDescent="0.25">
      <c r="A3" s="97" t="s">
        <v>3</v>
      </c>
      <c r="B3" s="16" t="str">
        <f>'WT A0300'!B3</f>
        <v>Wheels &amp; Tires</v>
      </c>
      <c r="C3" s="56"/>
      <c r="D3" s="97" t="s">
        <v>6</v>
      </c>
      <c r="E3" s="132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2" t="str">
        <f>'WT A0300'!B4</f>
        <v>Rear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179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22.316657798400001</v>
      </c>
      <c r="O5" s="62"/>
    </row>
    <row r="6" spans="1:15" x14ac:dyDescent="0.25">
      <c r="A6" s="97" t="s">
        <v>7</v>
      </c>
      <c r="B6" s="27" t="s">
        <v>180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165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131</v>
      </c>
      <c r="C11" s="20"/>
      <c r="D11" s="31">
        <v>4.2</v>
      </c>
      <c r="E11" s="128">
        <f>J11*K11*L11</f>
        <v>0.86348995200000023</v>
      </c>
      <c r="F11" s="20" t="s">
        <v>132</v>
      </c>
      <c r="G11" s="20"/>
      <c r="H11" s="19"/>
      <c r="I11" s="21" t="s">
        <v>133</v>
      </c>
      <c r="J11" s="92">
        <f>(65*10^-3)^2*3.14</f>
        <v>1.3266500000000002E-2</v>
      </c>
      <c r="K11" s="22">
        <v>2.4E-2</v>
      </c>
      <c r="L11" s="30">
        <v>2712</v>
      </c>
      <c r="M11" s="24">
        <v>1</v>
      </c>
      <c r="N11" s="31">
        <f>D11*E11</f>
        <v>3.626657798400001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3.626657798400001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134</v>
      </c>
      <c r="C15" s="130" t="s">
        <v>142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 t="shared" ref="I15:I19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135</v>
      </c>
      <c r="C16" s="130" t="s">
        <v>136</v>
      </c>
      <c r="D16" s="131">
        <v>0.04</v>
      </c>
      <c r="E16" s="129" t="s">
        <v>137</v>
      </c>
      <c r="F16" s="129">
        <v>135</v>
      </c>
      <c r="G16" s="129" t="s">
        <v>144</v>
      </c>
      <c r="H16" s="129">
        <v>1</v>
      </c>
      <c r="I16" s="31">
        <f>IF(H16="",D16*F16,D16*F16*H16)</f>
        <v>5.4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138</v>
      </c>
      <c r="C17" s="130" t="s">
        <v>143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135</v>
      </c>
      <c r="C18" s="130" t="s">
        <v>136</v>
      </c>
      <c r="D18" s="131">
        <v>0.04</v>
      </c>
      <c r="E18" s="129" t="s">
        <v>137</v>
      </c>
      <c r="F18" s="129">
        <v>102</v>
      </c>
      <c r="G18" s="129" t="s">
        <v>144</v>
      </c>
      <c r="H18" s="129">
        <v>1</v>
      </c>
      <c r="I18" s="31">
        <f>IF(H18="",D18*F18,D18*F18*H18)</f>
        <v>4.08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29">
        <v>50</v>
      </c>
      <c r="B19" s="130" t="s">
        <v>134</v>
      </c>
      <c r="C19" s="130"/>
      <c r="D19" s="131">
        <v>1.3</v>
      </c>
      <c r="E19" s="129" t="s">
        <v>32</v>
      </c>
      <c r="F19" s="129">
        <v>1</v>
      </c>
      <c r="G19" s="129"/>
      <c r="H19" s="129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29">
        <v>60</v>
      </c>
      <c r="B20" s="130" t="s">
        <v>135</v>
      </c>
      <c r="C20" s="130" t="s">
        <v>139</v>
      </c>
      <c r="D20" s="131">
        <v>0.04</v>
      </c>
      <c r="E20" s="129" t="s">
        <v>137</v>
      </c>
      <c r="F20" s="129">
        <v>149</v>
      </c>
      <c r="G20" s="129" t="s">
        <v>144</v>
      </c>
      <c r="H20" s="129">
        <v>1</v>
      </c>
      <c r="I20" s="31">
        <f>IF(H20="",D20*F20,D20*F20*H20)</f>
        <v>5.96</v>
      </c>
      <c r="J20" s="57"/>
      <c r="K20" s="57"/>
      <c r="L20" s="57"/>
      <c r="M20" s="57"/>
      <c r="N20" s="57"/>
      <c r="O20" s="65"/>
    </row>
    <row r="21" spans="1:15" x14ac:dyDescent="0.25">
      <c r="A21" s="67"/>
      <c r="B21" s="25"/>
      <c r="C21" s="25"/>
      <c r="D21" s="25"/>
      <c r="E21" s="25"/>
      <c r="F21" s="25"/>
      <c r="G21" s="25"/>
      <c r="H21" s="106" t="s">
        <v>18</v>
      </c>
      <c r="I21" s="104">
        <f>SUM(I15:I20)</f>
        <v>18.690000000000001</v>
      </c>
      <c r="J21" s="25"/>
      <c r="K21" s="25"/>
      <c r="L21" s="25"/>
      <c r="M21" s="25"/>
      <c r="N21" s="25"/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7"/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WT A0300'!A1" display="'WT A0300'!A1"/>
    <hyperlink ref="E3" location="'WT 03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32" t="s">
        <v>84</v>
      </c>
      <c r="B1" s="132" t="str">
        <f>WT_0200_003</f>
        <v>WT 03003</v>
      </c>
    </row>
  </sheetData>
  <hyperlinks>
    <hyperlink ref="A1" location="'WT 03003'!A1" display="Drawing part :"/>
    <hyperlink ref="B1" location="'WT 03003'!A1" display="'WT 03003'!A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29</vt:i4>
      </vt:variant>
    </vt:vector>
  </HeadingPairs>
  <TitlesOfParts>
    <vt:vector size="42" baseType="lpstr">
      <vt:lpstr>Instructions</vt:lpstr>
      <vt:lpstr>BOM</vt:lpstr>
      <vt:lpstr>WT A0300</vt:lpstr>
      <vt:lpstr>WT 03001</vt:lpstr>
      <vt:lpstr>WT 03001 Drawing</vt:lpstr>
      <vt:lpstr>WT 03002</vt:lpstr>
      <vt:lpstr>WT 03002 Drawing</vt:lpstr>
      <vt:lpstr>WT 03003</vt:lpstr>
      <vt:lpstr>WT 03003 Drawing</vt:lpstr>
      <vt:lpstr>WT 03004</vt:lpstr>
      <vt:lpstr>WT 03004 Drawing</vt:lpstr>
      <vt:lpstr>WT 03005</vt:lpstr>
      <vt:lpstr>WT 03005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WT_A0200_f</vt:lpstr>
      <vt:lpstr>WT_A0200_m</vt:lpstr>
      <vt:lpstr>WT_A0200_p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2018-05-03T19:19:19Z</dcterms:modified>
  <dc:language>fr-FR</dc:language>
</cp:coreProperties>
</file>