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6" windowHeight="7548" firstSheet="15" activeTab="23"/>
  </bookViews>
  <sheets>
    <sheet name="BOM" sheetId="20" r:id="rId1"/>
    <sheet name="BR A0001" sheetId="21" r:id="rId2"/>
    <sheet name="BR 01001" sheetId="22" r:id="rId3"/>
    <sheet name="BR 01002" sheetId="23" r:id="rId4"/>
    <sheet name="dBR 01002" sheetId="26" r:id="rId5"/>
    <sheet name="BR 01003" sheetId="24" r:id="rId6"/>
    <sheet name="BR 01004" sheetId="25" r:id="rId7"/>
    <sheet name="dBR 01004" sheetId="27" r:id="rId8"/>
    <sheet name="BR A0002" sheetId="13" r:id="rId9"/>
    <sheet name="BR 02001" sheetId="14" r:id="rId10"/>
    <sheet name="BR 02002" sheetId="15" r:id="rId11"/>
    <sheet name="dBR 02002" sheetId="18" r:id="rId12"/>
    <sheet name="BR 02003" sheetId="16" r:id="rId13"/>
    <sheet name="BR 02004" sheetId="17" r:id="rId14"/>
    <sheet name="dBR 02004" sheetId="19" r:id="rId15"/>
    <sheet name="BR A0003" sheetId="3" r:id="rId16"/>
    <sheet name="BR 03001" sheetId="4" r:id="rId17"/>
    <sheet name="dBR 03001" sheetId="5" r:id="rId18"/>
    <sheet name="BR 03002" sheetId="6" r:id="rId19"/>
    <sheet name="dBR 03002" sheetId="7" r:id="rId20"/>
    <sheet name="BR 03003" sheetId="8" r:id="rId21"/>
    <sheet name="dBR 03003" sheetId="9" r:id="rId22"/>
    <sheet name="BR 03004" sheetId="10" r:id="rId23"/>
    <sheet name="dBR 03004" sheetId="11" r:id="rId24"/>
  </sheets>
  <definedNames>
    <definedName name="BR_01001">'BR 01001'!$B$6</definedName>
    <definedName name="BR_01001_m">'BR 01001'!$N$12</definedName>
    <definedName name="BR_01001_p">'BR 01001'!$I$17</definedName>
    <definedName name="BR_01001_q">'BR 01001'!$N$3</definedName>
    <definedName name="BR_01002">'BR 01002'!$B$6</definedName>
    <definedName name="BR_01002_m">'BR 01002'!$N$12</definedName>
    <definedName name="BR_01002_p">'BR 01002'!$I$17</definedName>
    <definedName name="BR_01002_q">'BR 01002'!$N$3</definedName>
    <definedName name="BR_01003">'BR 01003'!$B$6</definedName>
    <definedName name="BR_01003_m">'BR 01003'!$N$12</definedName>
    <definedName name="BR_01003_p">'BR 01003'!$I$17</definedName>
    <definedName name="BR_01003_q">'BR 01003'!$N$3</definedName>
    <definedName name="BR_01004">'BR 01004'!$B$6</definedName>
    <definedName name="BR_01004_m">'BR 01004'!$N$12</definedName>
    <definedName name="BR_01004_p">'BR 01004'!$I$17</definedName>
    <definedName name="BR_01004_q">'BR 01004'!$N$3</definedName>
    <definedName name="BR_02001">'BR 02001'!$B$6</definedName>
    <definedName name="BR_02001_m">'BR 02001'!$N$12</definedName>
    <definedName name="BR_02001_p">'BR 02001'!$I$17</definedName>
    <definedName name="BR_02001_q">'BR 02001'!$N$3</definedName>
    <definedName name="BR_02002">'BR 02002'!$B$6</definedName>
    <definedName name="BR_02002_m">'BR 02002'!$N$12</definedName>
    <definedName name="BR_02002_p">'BR 02002'!$I$17</definedName>
    <definedName name="BR_02002_q">'BR 02002'!$N$3</definedName>
    <definedName name="BR_02003">'BR 02003'!$B$6</definedName>
    <definedName name="BR_02003_m">'BR 02003'!$N$12</definedName>
    <definedName name="BR_02003_p">'BR 02003'!$I$17</definedName>
    <definedName name="BR_02003_q">'BR 02003'!$N$3</definedName>
    <definedName name="BR_02004">'BR 02004'!$B$6</definedName>
    <definedName name="BR_02004_m">'BR 02004'!$N$12</definedName>
    <definedName name="BR_02004_p">'BR 02004'!$I$17</definedName>
    <definedName name="BR_02004_q">'BR 02004'!$N$3</definedName>
    <definedName name="BR_03001">'BR 03001'!$B$6</definedName>
    <definedName name="BR_03001_m">'BR 03001'!$N$12</definedName>
    <definedName name="BR_03001_p">'BR 03001'!$I$17</definedName>
    <definedName name="BR_03001_q">'BR 03001'!$N$3</definedName>
    <definedName name="BR_03002">'BR 03002'!$B$6</definedName>
    <definedName name="BR_03002_m">'BR 03002'!$N$12</definedName>
    <definedName name="BR_03002_p">'BR 03002'!$I$17</definedName>
    <definedName name="BR_03002_q">'BR 03002'!$N$3</definedName>
    <definedName name="BR_03003">'BR 03003'!$B$6</definedName>
    <definedName name="BR_03003_m">'BR 03003'!$N$12</definedName>
    <definedName name="BR_03003_p">'BR 03003'!$I$17</definedName>
    <definedName name="BR_03003_q">'BR 03003'!$N$3</definedName>
    <definedName name="BR_03004">'BR 03004'!$B$6</definedName>
    <definedName name="BR_03004_m">'BR 03004'!$N$12</definedName>
    <definedName name="BR_03004_p">'BR 03004'!$I$17</definedName>
    <definedName name="BR_03004_q">'BR 03004'!$N$3</definedName>
    <definedName name="BR_A0001">'BR A0001'!$B$5</definedName>
    <definedName name="BR_A0001_BOM">BOM!$C$7</definedName>
    <definedName name="BR_A0001_f">'BR A0001'!$J$37</definedName>
    <definedName name="BR_A0001_m">'BR A0001'!$N$19</definedName>
    <definedName name="BR_A0001_p">'BR A0001'!$I$30</definedName>
    <definedName name="BR_A0001_pa">'BR A0001'!$E$14</definedName>
    <definedName name="BR_A0001_q">'BR A0001'!$N$3</definedName>
    <definedName name="BR_A0002">'BR A0002'!$B$5</definedName>
    <definedName name="BR_A0002_BOM">BOM!$C$12</definedName>
    <definedName name="BR_A0002_f">'BR A0002'!$J$37</definedName>
    <definedName name="BR_A0002_m">'BR A0002'!$N$19</definedName>
    <definedName name="BR_A0002_p">'BR A0002'!$I$30</definedName>
    <definedName name="BR_A0002_pa">'BR A0002'!$E$14</definedName>
    <definedName name="BR_A0002_q">'BR A0002'!$N$3</definedName>
    <definedName name="BR_A0003">'BR A0003'!$B$5</definedName>
    <definedName name="BR_A0003_BOM">BOM!$C$17</definedName>
    <definedName name="BR_A0003_f">'BR A0003'!$J$77</definedName>
    <definedName name="BR_A0003_m">'BR A0003'!$N$34</definedName>
    <definedName name="BR_A0003_p">'BR A0003'!$I$64</definedName>
    <definedName name="BR_A0003_pa">'BR A0003'!$E$14</definedName>
    <definedName name="BR_A0003_q">'BR A0003'!$N$3</definedName>
    <definedName name="BR_A0003_t">'BR A0003'!$I$81</definedName>
    <definedName name="dBR_01002">'dBR 01002'!$B$1</definedName>
    <definedName name="dBR_01004">'dBR 01004'!$B$1</definedName>
    <definedName name="dBR_02002">'dBR 02002'!$B$1</definedName>
    <definedName name="dBR_02004">'dBR 02004'!$B$1</definedName>
  </definedNames>
  <calcPr calcId="17901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0" l="1"/>
  <c r="D21" i="3" l="1"/>
  <c r="H15" i="16" l="1"/>
  <c r="H15" i="24"/>
  <c r="F21" i="20" l="1"/>
  <c r="F20" i="20"/>
  <c r="F19" i="20"/>
  <c r="F18" i="20"/>
  <c r="F16" i="20"/>
  <c r="F15" i="20"/>
  <c r="F14" i="20"/>
  <c r="F17" i="20"/>
  <c r="E19" i="20" s="1"/>
  <c r="F12" i="20"/>
  <c r="E14" i="20" s="1"/>
  <c r="B17" i="20"/>
  <c r="I21" i="20"/>
  <c r="C21" i="20"/>
  <c r="B21" i="20"/>
  <c r="I20" i="20"/>
  <c r="C20" i="20"/>
  <c r="B20" i="20"/>
  <c r="I19" i="20"/>
  <c r="C19" i="20"/>
  <c r="B19" i="20"/>
  <c r="I18" i="20"/>
  <c r="C18" i="20"/>
  <c r="I17" i="20"/>
  <c r="C17" i="20"/>
  <c r="B12" i="20"/>
  <c r="I16" i="20"/>
  <c r="C16" i="20"/>
  <c r="B16" i="20"/>
  <c r="I15" i="20"/>
  <c r="C15" i="20"/>
  <c r="B15" i="20"/>
  <c r="I14" i="20"/>
  <c r="C14" i="20"/>
  <c r="B14" i="20"/>
  <c r="I13" i="20"/>
  <c r="C13" i="20"/>
  <c r="I12" i="20"/>
  <c r="C12" i="20"/>
  <c r="B3" i="25"/>
  <c r="B4" i="25"/>
  <c r="J11" i="25"/>
  <c r="E11" i="25" s="1"/>
  <c r="H15" i="25"/>
  <c r="I15" i="25" s="1"/>
  <c r="I17" i="25" s="1"/>
  <c r="K11" i="20" s="1"/>
  <c r="I16" i="25"/>
  <c r="B3" i="24"/>
  <c r="B4" i="24"/>
  <c r="E11" i="24"/>
  <c r="N11" i="24"/>
  <c r="N12" i="24" s="1"/>
  <c r="I15" i="24"/>
  <c r="I17" i="24" s="1"/>
  <c r="K10" i="20" s="1"/>
  <c r="I16" i="24"/>
  <c r="B3" i="23"/>
  <c r="B4" i="23"/>
  <c r="J11" i="23"/>
  <c r="E11" i="23" s="1"/>
  <c r="H15" i="23"/>
  <c r="I15" i="23" s="1"/>
  <c r="I17" i="23" s="1"/>
  <c r="K9" i="20" s="1"/>
  <c r="I16" i="23"/>
  <c r="B3" i="22"/>
  <c r="B4" i="22"/>
  <c r="J11" i="22"/>
  <c r="E11" i="22" s="1"/>
  <c r="H15" i="22"/>
  <c r="I15" i="22" s="1"/>
  <c r="I17" i="22" s="1"/>
  <c r="K8" i="20" s="1"/>
  <c r="I16" i="22"/>
  <c r="B10" i="21"/>
  <c r="D10" i="21"/>
  <c r="B11" i="21"/>
  <c r="D11" i="21"/>
  <c r="B12" i="21"/>
  <c r="D12" i="21"/>
  <c r="B13" i="21"/>
  <c r="D13" i="21"/>
  <c r="N17" i="21"/>
  <c r="N19" i="21" s="1"/>
  <c r="J7" i="20" s="1"/>
  <c r="E18" i="21"/>
  <c r="N18" i="21" s="1"/>
  <c r="I22" i="21"/>
  <c r="I23" i="21"/>
  <c r="I30" i="21" s="1"/>
  <c r="K7" i="20" s="1"/>
  <c r="I24" i="21"/>
  <c r="I25" i="21"/>
  <c r="I26" i="21"/>
  <c r="I27" i="21"/>
  <c r="I28" i="21"/>
  <c r="I29" i="21"/>
  <c r="D33" i="21"/>
  <c r="J33" i="21" s="1"/>
  <c r="J34" i="21"/>
  <c r="D35" i="21"/>
  <c r="J35" i="21" s="1"/>
  <c r="J36" i="21"/>
  <c r="O1" i="20"/>
  <c r="B7" i="20"/>
  <c r="C7" i="20"/>
  <c r="F7" i="20"/>
  <c r="E8" i="20" s="1"/>
  <c r="I7" i="20"/>
  <c r="B8" i="20"/>
  <c r="C8" i="20"/>
  <c r="F8" i="20"/>
  <c r="I8" i="20"/>
  <c r="B9" i="20"/>
  <c r="C9" i="20"/>
  <c r="F9" i="20"/>
  <c r="I9" i="20"/>
  <c r="B10" i="20"/>
  <c r="C10" i="20"/>
  <c r="F10" i="20"/>
  <c r="I10" i="20"/>
  <c r="B11" i="20"/>
  <c r="C11" i="20"/>
  <c r="F11" i="20"/>
  <c r="I11" i="20"/>
  <c r="B22" i="20"/>
  <c r="J37" i="21" l="1"/>
  <c r="L7" i="20" s="1"/>
  <c r="E20" i="20"/>
  <c r="E21" i="20"/>
  <c r="E18" i="20"/>
  <c r="E13" i="20"/>
  <c r="E11" i="20"/>
  <c r="E15" i="20"/>
  <c r="E16" i="20"/>
  <c r="N11" i="25"/>
  <c r="N12" i="25" s="1"/>
  <c r="N2" i="24"/>
  <c r="J10" i="20"/>
  <c r="H10" i="20" s="1"/>
  <c r="N10" i="20" s="1"/>
  <c r="N11" i="23"/>
  <c r="N12" i="23" s="1"/>
  <c r="N11" i="22"/>
  <c r="N12" i="22" s="1"/>
  <c r="H7" i="20"/>
  <c r="N7" i="20" s="1"/>
  <c r="E10" i="20"/>
  <c r="E9" i="20"/>
  <c r="B3" i="17"/>
  <c r="B4" i="17"/>
  <c r="J11" i="17"/>
  <c r="E11" i="17" s="1"/>
  <c r="H15" i="17"/>
  <c r="I15" i="17"/>
  <c r="I17" i="17" s="1"/>
  <c r="K16" i="20" s="1"/>
  <c r="I16" i="17"/>
  <c r="B3" i="16"/>
  <c r="B4" i="16"/>
  <c r="E11" i="16"/>
  <c r="N11" i="16"/>
  <c r="N12" i="16" s="1"/>
  <c r="J15" i="20" s="1"/>
  <c r="I15" i="16"/>
  <c r="I16" i="16"/>
  <c r="B3" i="15"/>
  <c r="B4" i="15"/>
  <c r="J11" i="15"/>
  <c r="E11" i="15" s="1"/>
  <c r="H15" i="15"/>
  <c r="I15" i="15" s="1"/>
  <c r="I17" i="15" s="1"/>
  <c r="K14" i="20" s="1"/>
  <c r="I16" i="15"/>
  <c r="B3" i="14"/>
  <c r="B13" i="20" s="1"/>
  <c r="B4" i="14"/>
  <c r="J11" i="14"/>
  <c r="E11" i="14" s="1"/>
  <c r="H15" i="14"/>
  <c r="I15" i="14"/>
  <c r="I17" i="14" s="1"/>
  <c r="K13" i="20" s="1"/>
  <c r="I16" i="14"/>
  <c r="B10" i="13"/>
  <c r="D10" i="13"/>
  <c r="B11" i="13"/>
  <c r="D11" i="13"/>
  <c r="B12" i="13"/>
  <c r="D12" i="13"/>
  <c r="B13" i="13"/>
  <c r="D13" i="13"/>
  <c r="N17" i="13"/>
  <c r="E18" i="13"/>
  <c r="N18" i="13" s="1"/>
  <c r="I22" i="13"/>
  <c r="I23" i="13"/>
  <c r="I24" i="13"/>
  <c r="I25" i="13"/>
  <c r="I26" i="13"/>
  <c r="I27" i="13"/>
  <c r="I28" i="13"/>
  <c r="I29" i="13"/>
  <c r="D33" i="13"/>
  <c r="J33" i="13" s="1"/>
  <c r="J34" i="13"/>
  <c r="D35" i="13"/>
  <c r="J35" i="13" s="1"/>
  <c r="J36" i="13"/>
  <c r="I17" i="16" l="1"/>
  <c r="K15" i="20" s="1"/>
  <c r="J37" i="13"/>
  <c r="L12" i="20" s="1"/>
  <c r="I30" i="13"/>
  <c r="K12" i="20" s="1"/>
  <c r="N11" i="17"/>
  <c r="N12" i="17" s="1"/>
  <c r="H15" i="20"/>
  <c r="N15" i="20" s="1"/>
  <c r="N2" i="25"/>
  <c r="J11" i="20"/>
  <c r="H11" i="20" s="1"/>
  <c r="N11" i="20" s="1"/>
  <c r="C12" i="21"/>
  <c r="E12" i="21" s="1"/>
  <c r="N5" i="24"/>
  <c r="N2" i="23"/>
  <c r="J9" i="20"/>
  <c r="H9" i="20" s="1"/>
  <c r="N9" i="20" s="1"/>
  <c r="N2" i="22"/>
  <c r="J8" i="20"/>
  <c r="N2" i="16"/>
  <c r="N11" i="15"/>
  <c r="N12" i="15" s="1"/>
  <c r="J14" i="20" s="1"/>
  <c r="H14" i="20" s="1"/>
  <c r="N14" i="20" s="1"/>
  <c r="N11" i="14"/>
  <c r="N12" i="14" s="1"/>
  <c r="J13" i="20" s="1"/>
  <c r="H13" i="20" s="1"/>
  <c r="N13" i="20" s="1"/>
  <c r="N19" i="13"/>
  <c r="J12" i="20" s="1"/>
  <c r="H12" i="20" s="1"/>
  <c r="N12" i="20" s="1"/>
  <c r="N2" i="17" l="1"/>
  <c r="J16" i="20"/>
  <c r="H16" i="20" s="1"/>
  <c r="N16" i="20" s="1"/>
  <c r="N5" i="25"/>
  <c r="C13" i="21"/>
  <c r="E13" i="21" s="1"/>
  <c r="N5" i="23"/>
  <c r="C11" i="21"/>
  <c r="E11" i="21" s="1"/>
  <c r="H8" i="20"/>
  <c r="N8" i="20" s="1"/>
  <c r="C10" i="21"/>
  <c r="E10" i="21" s="1"/>
  <c r="N5" i="22"/>
  <c r="C12" i="13"/>
  <c r="E12" i="13" s="1"/>
  <c r="N5" i="16"/>
  <c r="N2" i="15"/>
  <c r="N2" i="14"/>
  <c r="N5" i="17" l="1"/>
  <c r="C13" i="13"/>
  <c r="E13" i="13" s="1"/>
  <c r="E14" i="21"/>
  <c r="N2" i="21" s="1"/>
  <c r="N5" i="21" s="1"/>
  <c r="N5" i="15"/>
  <c r="C11" i="13"/>
  <c r="E11" i="13" s="1"/>
  <c r="C10" i="13"/>
  <c r="E10" i="13" s="1"/>
  <c r="N5" i="14"/>
  <c r="E14" i="13" l="1"/>
  <c r="N2" i="13" s="1"/>
  <c r="N5" i="13" s="1"/>
  <c r="B1" i="11" l="1"/>
  <c r="B3" i="10"/>
  <c r="B4" i="10"/>
  <c r="N11" i="10"/>
  <c r="N12" i="10" s="1"/>
  <c r="J21" i="20" s="1"/>
  <c r="I15" i="10"/>
  <c r="I17" i="10" s="1"/>
  <c r="K21" i="20" s="1"/>
  <c r="B1" i="9"/>
  <c r="B3" i="8"/>
  <c r="B4" i="8"/>
  <c r="N11" i="8"/>
  <c r="N12" i="8"/>
  <c r="I15" i="8"/>
  <c r="I17" i="8" s="1"/>
  <c r="K20" i="20" s="1"/>
  <c r="I16" i="8"/>
  <c r="B3" i="6"/>
  <c r="B4" i="6"/>
  <c r="J11" i="6"/>
  <c r="E11" i="6" s="1"/>
  <c r="I15" i="6"/>
  <c r="I16" i="6"/>
  <c r="B3" i="4"/>
  <c r="B18" i="20" s="1"/>
  <c r="B4" i="4"/>
  <c r="J11" i="4"/>
  <c r="E11" i="4" s="1"/>
  <c r="N11" i="4"/>
  <c r="N12" i="4" s="1"/>
  <c r="J18" i="20" s="1"/>
  <c r="I15" i="4"/>
  <c r="I16" i="4"/>
  <c r="B10" i="3"/>
  <c r="D10" i="3"/>
  <c r="B11" i="3"/>
  <c r="D11" i="3"/>
  <c r="B12" i="3"/>
  <c r="D12" i="3"/>
  <c r="B13" i="3"/>
  <c r="D13" i="3"/>
  <c r="N17" i="3"/>
  <c r="N18" i="3"/>
  <c r="N19" i="3"/>
  <c r="N20" i="3"/>
  <c r="N21" i="3"/>
  <c r="D22" i="3"/>
  <c r="N22" i="3" s="1"/>
  <c r="D23" i="3"/>
  <c r="N23" i="3" s="1"/>
  <c r="D24" i="3"/>
  <c r="N24" i="3" s="1"/>
  <c r="D25" i="3"/>
  <c r="N25" i="3" s="1"/>
  <c r="D26" i="3"/>
  <c r="N26" i="3"/>
  <c r="D27" i="3"/>
  <c r="N27" i="3" s="1"/>
  <c r="D28" i="3"/>
  <c r="N28" i="3" s="1"/>
  <c r="D29" i="3"/>
  <c r="N29" i="3" s="1"/>
  <c r="D30" i="3"/>
  <c r="N30" i="3" s="1"/>
  <c r="D31" i="3"/>
  <c r="N31" i="3" s="1"/>
  <c r="D32" i="3"/>
  <c r="N32" i="3" s="1"/>
  <c r="N33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D67" i="3"/>
  <c r="J67" i="3"/>
  <c r="J68" i="3"/>
  <c r="D69" i="3"/>
  <c r="J69" i="3"/>
  <c r="D70" i="3"/>
  <c r="J70" i="3" s="1"/>
  <c r="D71" i="3"/>
  <c r="J71" i="3" s="1"/>
  <c r="D72" i="3"/>
  <c r="J72" i="3" s="1"/>
  <c r="J73" i="3"/>
  <c r="D74" i="3"/>
  <c r="J74" i="3" s="1"/>
  <c r="D75" i="3"/>
  <c r="J75" i="3"/>
  <c r="J76" i="3"/>
  <c r="I80" i="3"/>
  <c r="I81" i="3"/>
  <c r="M17" i="20" s="1"/>
  <c r="M22" i="20" s="1"/>
  <c r="I17" i="6" l="1"/>
  <c r="K19" i="20" s="1"/>
  <c r="N2" i="8"/>
  <c r="J20" i="20"/>
  <c r="H20" i="20" s="1"/>
  <c r="N20" i="20" s="1"/>
  <c r="H21" i="20"/>
  <c r="N21" i="20" s="1"/>
  <c r="I17" i="4"/>
  <c r="K18" i="20" s="1"/>
  <c r="H18" i="20" s="1"/>
  <c r="N18" i="20" s="1"/>
  <c r="J77" i="3"/>
  <c r="L17" i="20" s="1"/>
  <c r="L22" i="20" s="1"/>
  <c r="N11" i="6"/>
  <c r="N12" i="6" s="1"/>
  <c r="J19" i="20" s="1"/>
  <c r="N2" i="6"/>
  <c r="C11" i="3" s="1"/>
  <c r="E11" i="3" s="1"/>
  <c r="N2" i="4"/>
  <c r="N5" i="4" s="1"/>
  <c r="I64" i="3"/>
  <c r="K17" i="20" s="1"/>
  <c r="K22" i="20" s="1"/>
  <c r="N2" i="10"/>
  <c r="C12" i="3"/>
  <c r="E12" i="3" s="1"/>
  <c r="N5" i="8"/>
  <c r="N34" i="3"/>
  <c r="J17" i="20" s="1"/>
  <c r="H19" i="20" l="1"/>
  <c r="N19" i="20" s="1"/>
  <c r="N5" i="6"/>
  <c r="C10" i="3"/>
  <c r="E10" i="3" s="1"/>
  <c r="J22" i="20"/>
  <c r="H17" i="20"/>
  <c r="N17" i="20" s="1"/>
  <c r="N22" i="20" s="1"/>
  <c r="C13" i="3"/>
  <c r="E13" i="3" s="1"/>
  <c r="N5" i="10"/>
  <c r="E14" i="3" l="1"/>
  <c r="N2" i="3" s="1"/>
  <c r="N5" i="3" s="1"/>
</calcChain>
</file>

<file path=xl/sharedStrings.xml><?xml version="1.0" encoding="utf-8"?>
<sst xmlns="http://schemas.openxmlformats.org/spreadsheetml/2006/main" count="1216" uniqueCount="242">
  <si>
    <t>Area Total</t>
  </si>
  <si>
    <t>AA</t>
  </si>
  <si>
    <t>Details Page Number</t>
  </si>
  <si>
    <t>Total Cost</t>
  </si>
  <si>
    <t>Tooling Cost</t>
  </si>
  <si>
    <t>Fastener Cost</t>
  </si>
  <si>
    <t>Process Cost</t>
  </si>
  <si>
    <t>Material Cost</t>
  </si>
  <si>
    <t>Quantity</t>
  </si>
  <si>
    <t>Unit Cost</t>
  </si>
  <si>
    <t>Description</t>
  </si>
  <si>
    <t>Component</t>
  </si>
  <si>
    <t>Asm</t>
  </si>
  <si>
    <t>Rev. Lvl.</t>
  </si>
  <si>
    <t>Asm/Prt #</t>
  </si>
  <si>
    <t>Area of Commodity</t>
  </si>
  <si>
    <t>Line Num.</t>
  </si>
  <si>
    <t>The cost of assemlies on this chart should not include the cost of the parts in the assembly but only the materials, processes, fasteners and tooling in the assembly level.</t>
  </si>
  <si>
    <t>Car #</t>
  </si>
  <si>
    <t>Year</t>
  </si>
  <si>
    <t>FSAEI</t>
  </si>
  <si>
    <t>Competition Code</t>
  </si>
  <si>
    <t>Total Vehicle Cost</t>
  </si>
  <si>
    <t>Ecole Centrale de Lyon</t>
  </si>
  <si>
    <t>University</t>
  </si>
  <si>
    <t>Sub Total</t>
  </si>
  <si>
    <t>point</t>
  </si>
  <si>
    <t>Weld the Hydraulic Fluid Reservoir Mount and the Distribution Tee Mount to the frame</t>
  </si>
  <si>
    <t>Welds - Welding Fixture</t>
  </si>
  <si>
    <t>FractionIncluded</t>
  </si>
  <si>
    <t>PVF</t>
  </si>
  <si>
    <t>Unit</t>
  </si>
  <si>
    <t>UnitCost</t>
  </si>
  <si>
    <t>Use</t>
  </si>
  <si>
    <t>Tooling</t>
  </si>
  <si>
    <t>ItemOrder</t>
  </si>
  <si>
    <t>Fix the brake line and the Distribution Tee on the frame</t>
  </si>
  <si>
    <t>Tie Wrap</t>
  </si>
  <si>
    <t>mm</t>
  </si>
  <si>
    <t>Between Hydraulic Fluid Reservoir and Rubber Hose</t>
  </si>
  <si>
    <t>Hose Clamp, Worm Drive</t>
  </si>
  <si>
    <t>Fixing Distribution Tee to Distribution Tee Mount</t>
  </si>
  <si>
    <t>Nut, Grade 8.8 (SAE 5)</t>
  </si>
  <si>
    <t>Washer, Grade 8.8 (SAE 5)</t>
  </si>
  <si>
    <t>Bolt, Grade 8.8 (SAE 5)</t>
  </si>
  <si>
    <t>Fixing Hydraulic Fluid Reservoir to Hydraulic Fluid Reservoir Mount</t>
  </si>
  <si>
    <t>Bolt, Grade 8,8 (SAE 5)</t>
  </si>
  <si>
    <t>Fixing the M6 Bolt to the Master Cylinder Bearings (through the Brake Pedal)</t>
  </si>
  <si>
    <t>Nut, Grade 12.9</t>
  </si>
  <si>
    <t>Washer, Grade 12.9</t>
  </si>
  <si>
    <t>Bolt, Grade 12.9</t>
  </si>
  <si>
    <t>Unit2</t>
  </si>
  <si>
    <t>Size2</t>
  </si>
  <si>
    <t>Unit1</t>
  </si>
  <si>
    <t>Size1</t>
  </si>
  <si>
    <t>Fastener</t>
  </si>
  <si>
    <t>unit</t>
  </si>
  <si>
    <t>Install clamps on the frame and the A-Arms</t>
  </si>
  <si>
    <t>Install Tie Wrap (Zip Tie, Cable Clamp)</t>
  </si>
  <si>
    <t>Put Hose between Hydraulic Fluid Reservoir and Master Cylinder</t>
  </si>
  <si>
    <t>Hand, Loose &lt;= 25.4mm</t>
  </si>
  <si>
    <t>Tighten the Banjos and the Adapters</t>
  </si>
  <si>
    <t>Reaction Tool &lt;= 25.4mm</t>
  </si>
  <si>
    <t>Wrench &lt;= 25.4mm</t>
  </si>
  <si>
    <t>Put the hose in the Banjos and in the Adapters</t>
  </si>
  <si>
    <t>Hand, Tight &lt;= 6.35mm</t>
  </si>
  <si>
    <t>cm</t>
  </si>
  <si>
    <t>Cut Steel Hose between Distribution Tees</t>
  </si>
  <si>
    <t>Saw or tubing cuts</t>
  </si>
  <si>
    <t>Repeat - 4</t>
  </si>
  <si>
    <t>Cut Steel Hose between Distribution Tee and Caliper</t>
  </si>
  <si>
    <t>Repeat - 2</t>
  </si>
  <si>
    <t>Cut Steel Hose between Master Cylinder and Distribution Tee</t>
  </si>
  <si>
    <t>Cut Rubber Hose between Hydraulic Fluid Reservoir and Master Cylinder</t>
  </si>
  <si>
    <t>Cut (scissors, knife)</t>
  </si>
  <si>
    <t>Fixing Adapter (AN6 right to AN6 left) on Master Cylinder</t>
  </si>
  <si>
    <t>Ratchet &lt;= 25.4mm</t>
  </si>
  <si>
    <t>Positioning Adapter (AN6 right to AN6 left) on Master Cylinder</t>
  </si>
  <si>
    <t>Assemble, 1kg, Line-on-Line</t>
  </si>
  <si>
    <t>Fixing Adapter (AN7 to AN6)  on Master Cylinder</t>
  </si>
  <si>
    <t>Positioning Adapter (AN7 to AN6) on Master Cylinders</t>
  </si>
  <si>
    <t>Fixing Distribution Tee and Washer  on Distribution Tee Mount</t>
  </si>
  <si>
    <t>Reaction Tool &lt;= 6.35mm</t>
  </si>
  <si>
    <t>Ratchet &lt;= 6.35mm</t>
  </si>
  <si>
    <t>Positioning Distribution Tee and Washer  on Distribution Tee Mount</t>
  </si>
  <si>
    <t>Assemble, 1kg, Loose</t>
  </si>
  <si>
    <t>Fixing the Hydraulic Fluid Reservoir on the Hydraulic Fluid Reservoir Mount</t>
  </si>
  <si>
    <t>Positioning the Hydraulic Fluid Reservoirs on the Hydraulic Fluid Reservoir Mount</t>
  </si>
  <si>
    <t>Fixing the Bolt to the Master Cylinder Bearings (through the Brake Pedal)</t>
  </si>
  <si>
    <t>Ratchet &lt;= 6,35mm</t>
  </si>
  <si>
    <t>Positioning the M6 Bolt through the Master Cylinder bearings, the Internal Spacers, the External Spacers and the Brake Pedal</t>
  </si>
  <si>
    <t>Fixing the Master Cylinder on the Balance Bar</t>
  </si>
  <si>
    <t>Hand, Loose &lt;= 6.35mm</t>
  </si>
  <si>
    <t>Positioning the Balance Bar on the Brake Pedal Supports</t>
  </si>
  <si>
    <t>m^2</t>
  </si>
  <si>
    <t>Painting for the Mounts</t>
  </si>
  <si>
    <t>Aerosol Apply</t>
  </si>
  <si>
    <t>Welding the Distribution Tee Mount</t>
  </si>
  <si>
    <t>Weld</t>
  </si>
  <si>
    <t>Welding the Hydraulic Fluid Reservoir Mount</t>
  </si>
  <si>
    <t>Mult. Val.</t>
  </si>
  <si>
    <t>Multiplier</t>
  </si>
  <si>
    <t>Process</t>
  </si>
  <si>
    <t>Protect steel tab from rust</t>
  </si>
  <si>
    <t>Paint</t>
  </si>
  <si>
    <t>L</t>
  </si>
  <si>
    <t>Braking fluid</t>
  </si>
  <si>
    <t>Fluid, Oil</t>
  </si>
  <si>
    <t>Brake line</t>
  </si>
  <si>
    <t>Crush Washer</t>
  </si>
  <si>
    <t>Banjo Bolt, Steel</t>
  </si>
  <si>
    <t>Banjo Fitting, 45 Deg., Steel</t>
  </si>
  <si>
    <t>Adapter/L.P./Female Flare Tee//Brass</t>
  </si>
  <si>
    <t>Brake line - AN6 to 10mm</t>
  </si>
  <si>
    <t>Adapter/L.P./Union//Aluminum/Anodized</t>
  </si>
  <si>
    <t>Brake line - GOODRIDGE's braking hose AN6 end</t>
  </si>
  <si>
    <t>Fitting/L.P./Elbow/45 deg./Aluminum/Anodized</t>
  </si>
  <si>
    <t>Fitting/L.P./Straight/Aluminum/Anodized</t>
  </si>
  <si>
    <t>Brake line - AN6 right to AN6 left</t>
  </si>
  <si>
    <t>Brake line - AN7 to AN6</t>
  </si>
  <si>
    <t>Brake line - Hose between Master Cylinder and Fluid Reservoir</t>
  </si>
  <si>
    <t>Hose, Rubber (per m)</t>
  </si>
  <si>
    <t>Brake line - GOODRIDGE's braking hose 6003 serie</t>
  </si>
  <si>
    <t>Brake light switch</t>
  </si>
  <si>
    <t>Brake Light Pressure Switch Banjo Bolt</t>
  </si>
  <si>
    <t>Fluid reservoir</t>
  </si>
  <si>
    <t>Hydraulic Fluid Reservoir, Remote (Plastic)</t>
  </si>
  <si>
    <t>Balance bar</t>
  </si>
  <si>
    <t>Balance Bar, Tilton 72-250</t>
  </si>
  <si>
    <t>Master cylinder</t>
  </si>
  <si>
    <t>Master Cylinder, AP, CP7855</t>
  </si>
  <si>
    <t>Density</t>
  </si>
  <si>
    <t>Length</t>
  </si>
  <si>
    <t>Area</t>
  </si>
  <si>
    <t>Area Name</t>
  </si>
  <si>
    <t>Material</t>
  </si>
  <si>
    <t>Part Cost</t>
  </si>
  <si>
    <t>Part</t>
  </si>
  <si>
    <t>Brake line assembly</t>
  </si>
  <si>
    <t>Details</t>
  </si>
  <si>
    <t>FileLink3</t>
  </si>
  <si>
    <t>Suffix</t>
  </si>
  <si>
    <t>Extended Cost</t>
  </si>
  <si>
    <t>FileLink2</t>
  </si>
  <si>
    <t>P/N Base</t>
  </si>
  <si>
    <t>FileLink1</t>
  </si>
  <si>
    <t>Brake Circuit Assembly</t>
  </si>
  <si>
    <t>Assembly</t>
  </si>
  <si>
    <t>Qty</t>
  </si>
  <si>
    <t>Brake System</t>
  </si>
  <si>
    <t>System</t>
  </si>
  <si>
    <t>Asm Cost</t>
  </si>
  <si>
    <t>Back to BOM</t>
  </si>
  <si>
    <t>Material - Steel</t>
  </si>
  <si>
    <t>Laser Cut</t>
  </si>
  <si>
    <t>Setup for laser cut</t>
  </si>
  <si>
    <t>Machining Setup, Install and remove</t>
  </si>
  <si>
    <t>Rectangular area, 40x30mm</t>
  </si>
  <si>
    <t>kg</t>
  </si>
  <si>
    <t>Steel, Mild</t>
  </si>
  <si>
    <t>BR 03001</t>
  </si>
  <si>
    <t>Hydraulic Fluid Reservoir Mount</t>
  </si>
  <si>
    <t>Drawing</t>
  </si>
  <si>
    <t>Drawing part :</t>
  </si>
  <si>
    <t>Rectangular area, 40x25mm</t>
  </si>
  <si>
    <t>BR 03002</t>
  </si>
  <si>
    <t>Distribution Tee Mount</t>
  </si>
  <si>
    <t>cm^3</t>
  </si>
  <si>
    <t>Machining</t>
  </si>
  <si>
    <t>2 parts cut from a single machine setup</t>
  </si>
  <si>
    <t>Steel, Alloy</t>
  </si>
  <si>
    <t>Internal Spacer next to the Master Cylinders</t>
  </si>
  <si>
    <t>BR 03003</t>
  </si>
  <si>
    <t>Internal Spacer</t>
  </si>
  <si>
    <t>Drawing Part :</t>
  </si>
  <si>
    <t>External Spacer next to the Master Cylinders</t>
  </si>
  <si>
    <t>BR 03004</t>
  </si>
  <si>
    <t>External Spacer</t>
  </si>
  <si>
    <t>Shim between Brake Bobbin and Brake Rotor</t>
  </si>
  <si>
    <t>Secure Brake Bobbin on Brake Rotor</t>
  </si>
  <si>
    <t>Retaining Ring, External</t>
  </si>
  <si>
    <t>Bolt Caliper on Upright</t>
  </si>
  <si>
    <t>Bolt,Grade 8.8 (SAE)</t>
  </si>
  <si>
    <t>For Caliper Bolts locking device</t>
  </si>
  <si>
    <t>Safety Wire, Install</t>
  </si>
  <si>
    <t>Bolt Caliper and Spacer on Upright</t>
  </si>
  <si>
    <t>Ratchet &lt;= 25.4 mm</t>
  </si>
  <si>
    <t>Put Caliper and Spacer in place</t>
  </si>
  <si>
    <t>Assemble Brake Rotor onto Hub</t>
  </si>
  <si>
    <t>Assemble, 1kg, Line on Line</t>
  </si>
  <si>
    <t>Insert Retaining Ring</t>
  </si>
  <si>
    <t>Assemble Brake Rotor and Shrink Disc</t>
  </si>
  <si>
    <t>Insert Bobbins and Washer</t>
  </si>
  <si>
    <t>Line up Pad</t>
  </si>
  <si>
    <t>Circular sector</t>
  </si>
  <si>
    <t>mm^3</t>
  </si>
  <si>
    <t>Brake Pad</t>
  </si>
  <si>
    <t>Brake Pad, Iron or Steel Rotor</t>
  </si>
  <si>
    <t>Brake Caliper (in reality Beringer 2P1A is used)</t>
  </si>
  <si>
    <t>Brake Caliper, Beringer 2D1</t>
  </si>
  <si>
    <t>Rear Brake Rotor assembly</t>
  </si>
  <si>
    <t>Rear Brake Rotor</t>
  </si>
  <si>
    <t>Material - Cast Iron</t>
  </si>
  <si>
    <t>Cutout shape</t>
  </si>
  <si>
    <t>4 parts cut from a single machine setup</t>
  </si>
  <si>
    <t>Circle area, 230mm diameter</t>
  </si>
  <si>
    <t>Stock material for part</t>
  </si>
  <si>
    <t>Cast Iron (per kg)</t>
  </si>
  <si>
    <t>Bought, cost as made</t>
  </si>
  <si>
    <t>BR 02001</t>
  </si>
  <si>
    <t>Brake Rotor</t>
  </si>
  <si>
    <t>Setup for laser cutting</t>
  </si>
  <si>
    <t>Circle Area, 164.95mm diameter</t>
  </si>
  <si>
    <t>Steel, Mild (per kg)</t>
  </si>
  <si>
    <t>Allows brake rotor to be mounted floating</t>
  </si>
  <si>
    <t>BR 02002</t>
  </si>
  <si>
    <t>Brake Shrink Disc</t>
  </si>
  <si>
    <t>Setup for machining</t>
  </si>
  <si>
    <t>Circle Area, 17mm diameter</t>
  </si>
  <si>
    <t>Material for Bobbin</t>
  </si>
  <si>
    <t>Bobbins between Brake Rotor and Brake Shrink Disc</t>
  </si>
  <si>
    <t>BR 02003</t>
  </si>
  <si>
    <t>Brake Bobbin</t>
  </si>
  <si>
    <t>8 parts cut from a single machine setup</t>
  </si>
  <si>
    <t>Circular, 17mm diameter</t>
  </si>
  <si>
    <t>Stock material for caliper spacer</t>
  </si>
  <si>
    <t>Spacer between Caliper and Upright</t>
  </si>
  <si>
    <t>BR 02004</t>
  </si>
  <si>
    <t>Brake Caliper Spacer</t>
  </si>
  <si>
    <t>Front Brake Rotor assembly</t>
  </si>
  <si>
    <t>Front Brake Rotor</t>
  </si>
  <si>
    <t>BR 01001</t>
  </si>
  <si>
    <t>BR 01002</t>
  </si>
  <si>
    <t>BR 01003</t>
  </si>
  <si>
    <t>BR 01004</t>
  </si>
  <si>
    <t>BR A0300</t>
  </si>
  <si>
    <t>BR A0200</t>
  </si>
  <si>
    <t>BR A0100</t>
  </si>
  <si>
    <t>&gt;</t>
  </si>
  <si>
    <t>24 parts made from one machining setup</t>
  </si>
  <si>
    <t>Hose, High Pressure, Stainless Steel Braided Outer</t>
  </si>
  <si>
    <t>Brake line - Splitter 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</si>
</sst>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-* #,##0.00\ _€_-;\-* #,##0.00\ _€_-;_-* &quot;-&quot;??\ _€_-;_-@_-"/>
    <numFmt numFmtId="164" formatCode="_-&quot;£&quot;* #,##0.00_-;\-&quot;£&quot;* #,##0.00_-;_-&quot;£&quot;* &quot;-&quot;??_-;_-@_-"/>
    <numFmt numFmtId="165" formatCode="_(* #,##0.00_);_(* \(#,##0.00\);_(* &quot;-&quot;??_);_(@_)"/>
    <numFmt numFmtId="166" formatCode="_-[$$-409]* #,##0.00_ ;_-[$$-409]* \-#,##0.00\ ;_-[$$-409]* &quot;-&quot;??_ ;_-@_ "/>
    <numFmt numFmtId="167" formatCode="_(\$* #,##0.00_);_(\$* \(#,##0.00\);_(\$* \-??_);_(@_)"/>
    <numFmt numFmtId="168" formatCode="\$#,##0.00_);&quot;($&quot;#,##0.00\)"/>
    <numFmt numFmtId="169" formatCode="_-[$$-409]* #,##0.00_ ;_-[$$-409]* \-#,##0.00,;_-[$$-409]* \-??_ ;_-@_ "/>
    <numFmt numFmtId="170" formatCode="_(* #,##0.00_);_(* \(#,##0.00\);_(* \-??_);_(@_)"/>
    <numFmt numFmtId="171" formatCode="#,##0.0000"/>
    <numFmt numFmtId="172" formatCode="0.000"/>
    <numFmt numFmtId="173" formatCode="_-* #,##0.000\ _€_-;\-* #,##0.000\ _€_-;_-* &quot;-&quot;???\ _€_-;_-@_-"/>
    <numFmt numFmtId="174" formatCode="_(* #,##0.000_);_(* \(#,##0.000\);_(* \-??_);_(@_)"/>
    <numFmt numFmtId="175" formatCode="0.000E+00"/>
    <numFmt numFmtId="176" formatCode="0.0"/>
    <numFmt numFmtId="177" formatCode="_(* #,##0_);_(* \(#,##0\);_(* \-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charset val="1"/>
    </font>
    <font>
      <sz val="7"/>
      <name val="Arial"/>
      <family val="2"/>
    </font>
    <font>
      <b/>
      <sz val="11"/>
      <name val="Arial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66CCFF"/>
        <bgColor theme="0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theme="3" tint="0.59999389629810485"/>
        <bgColor rgb="FFFCD5B5"/>
      </patternFill>
    </fill>
    <fill>
      <patternFill patternType="solid">
        <fgColor theme="3" tint="0.59999389629810485"/>
        <bgColor rgb="FFFAC09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</borders>
  <cellStyleXfs count="9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3" fillId="0" borderId="0"/>
    <xf numFmtId="168" fontId="13" fillId="0" borderId="15">
      <alignment vertical="center" wrapText="1"/>
    </xf>
    <xf numFmtId="0" fontId="17" fillId="0" borderId="0"/>
    <xf numFmtId="164" fontId="1" fillId="0" borderId="0" applyFont="0" applyFill="0" applyBorder="0" applyAlignment="0" applyProtection="0"/>
  </cellStyleXfs>
  <cellXfs count="228">
    <xf numFmtId="0" fontId="0" fillId="0" borderId="0" xfId="0"/>
    <xf numFmtId="0" fontId="2" fillId="0" borderId="0" xfId="1" applyFont="1"/>
    <xf numFmtId="0" fontId="3" fillId="0" borderId="0" xfId="1" applyFont="1"/>
    <xf numFmtId="165" fontId="3" fillId="0" borderId="0" xfId="2" applyFont="1"/>
    <xf numFmtId="0" fontId="4" fillId="0" borderId="0" xfId="1" applyFont="1"/>
    <xf numFmtId="0" fontId="5" fillId="0" borderId="0" xfId="1" applyFont="1"/>
    <xf numFmtId="0" fontId="2" fillId="0" borderId="0" xfId="1" applyFont="1" applyProtection="1">
      <protection locked="0"/>
    </xf>
    <xf numFmtId="0" fontId="3" fillId="0" borderId="0" xfId="1" applyFont="1" applyProtection="1">
      <protection locked="0"/>
    </xf>
    <xf numFmtId="165" fontId="2" fillId="0" borderId="0" xfId="2" applyFont="1"/>
    <xf numFmtId="165" fontId="2" fillId="0" borderId="0" xfId="1" applyNumberFormat="1" applyFont="1"/>
    <xf numFmtId="0" fontId="2" fillId="0" borderId="0" xfId="1" applyFont="1" applyFill="1"/>
    <xf numFmtId="0" fontId="6" fillId="0" borderId="1" xfId="1" applyFont="1" applyFill="1" applyBorder="1" applyAlignment="1">
      <alignment horizontal="center"/>
    </xf>
    <xf numFmtId="166" fontId="6" fillId="0" borderId="1" xfId="1" applyNumberFormat="1" applyFont="1" applyFill="1" applyBorder="1" applyAlignment="1">
      <alignment horizontal="right"/>
    </xf>
    <xf numFmtId="0" fontId="6" fillId="0" borderId="1" xfId="1" applyFont="1" applyFill="1" applyBorder="1" applyAlignment="1" applyProtection="1">
      <alignment horizontal="center"/>
      <protection locked="0"/>
    </xf>
    <xf numFmtId="165" fontId="6" fillId="0" borderId="1" xfId="2" applyFont="1" applyFill="1" applyBorder="1" applyProtection="1">
      <protection locked="0"/>
    </xf>
    <xf numFmtId="18" fontId="6" fillId="0" borderId="1" xfId="1" applyNumberFormat="1" applyFont="1" applyFill="1" applyBorder="1" applyAlignment="1" applyProtection="1">
      <protection locked="0"/>
    </xf>
    <xf numFmtId="0" fontId="6" fillId="0" borderId="1" xfId="1" applyFont="1" applyFill="1" applyBorder="1" applyAlignment="1">
      <alignment horizontal="left"/>
    </xf>
    <xf numFmtId="0" fontId="6" fillId="0" borderId="1" xfId="1" applyFont="1" applyFill="1" applyBorder="1" applyProtection="1">
      <protection locked="0"/>
    </xf>
    <xf numFmtId="0" fontId="6" fillId="2" borderId="2" xfId="1" applyFont="1" applyFill="1" applyBorder="1" applyAlignment="1">
      <alignment horizontal="center"/>
    </xf>
    <xf numFmtId="166" fontId="6" fillId="2" borderId="2" xfId="1" applyNumberFormat="1" applyFont="1" applyFill="1" applyBorder="1" applyAlignment="1">
      <alignment horizontal="right"/>
    </xf>
    <xf numFmtId="166" fontId="6" fillId="2" borderId="2" xfId="1" applyNumberFormat="1" applyFont="1" applyFill="1" applyBorder="1" applyAlignment="1" applyProtection="1">
      <alignment horizontal="center"/>
      <protection locked="0"/>
    </xf>
    <xf numFmtId="166" fontId="6" fillId="2" borderId="2" xfId="2" applyNumberFormat="1" applyFont="1" applyFill="1" applyBorder="1" applyProtection="1">
      <protection locked="0"/>
    </xf>
    <xf numFmtId="18" fontId="6" fillId="2" borderId="2" xfId="1" applyNumberFormat="1" applyFont="1" applyFill="1" applyBorder="1" applyAlignment="1" applyProtection="1">
      <protection locked="0"/>
    </xf>
    <xf numFmtId="0" fontId="6" fillId="2" borderId="2" xfId="1" applyFont="1" applyFill="1" applyBorder="1" applyAlignment="1">
      <alignment horizontal="left"/>
    </xf>
    <xf numFmtId="0" fontId="6" fillId="2" borderId="2" xfId="1" applyFont="1" applyFill="1" applyBorder="1" applyProtection="1">
      <protection locked="0"/>
    </xf>
    <xf numFmtId="37" fontId="6" fillId="2" borderId="2" xfId="1" applyNumberFormat="1" applyFont="1" applyFill="1" applyBorder="1" applyAlignment="1" applyProtection="1">
      <alignment horizontal="center"/>
      <protection locked="0"/>
    </xf>
    <xf numFmtId="0" fontId="7" fillId="2" borderId="2" xfId="3" applyFill="1" applyBorder="1"/>
    <xf numFmtId="0" fontId="6" fillId="3" borderId="2" xfId="1" applyFont="1" applyFill="1" applyBorder="1" applyAlignment="1">
      <alignment horizontal="center"/>
    </xf>
    <xf numFmtId="166" fontId="6" fillId="3" borderId="2" xfId="1" applyNumberFormat="1" applyFont="1" applyFill="1" applyBorder="1" applyAlignment="1">
      <alignment horizontal="right"/>
    </xf>
    <xf numFmtId="166" fontId="6" fillId="3" borderId="2" xfId="1" applyNumberFormat="1" applyFont="1" applyFill="1" applyBorder="1" applyAlignment="1" applyProtection="1">
      <alignment horizontal="center"/>
      <protection locked="0"/>
    </xf>
    <xf numFmtId="37" fontId="6" fillId="3" borderId="2" xfId="1" applyNumberFormat="1" applyFont="1" applyFill="1" applyBorder="1" applyAlignment="1" applyProtection="1">
      <alignment horizontal="center"/>
      <protection locked="0"/>
    </xf>
    <xf numFmtId="166" fontId="6" fillId="3" borderId="2" xfId="2" applyNumberFormat="1" applyFont="1" applyFill="1" applyBorder="1" applyProtection="1">
      <protection locked="0"/>
    </xf>
    <xf numFmtId="18" fontId="6" fillId="3" borderId="2" xfId="1" applyNumberFormat="1" applyFont="1" applyFill="1" applyBorder="1" applyAlignment="1" applyProtection="1">
      <protection locked="0"/>
    </xf>
    <xf numFmtId="0" fontId="7" fillId="3" borderId="0" xfId="3" applyFill="1"/>
    <xf numFmtId="0" fontId="6" fillId="3" borderId="2" xfId="1" applyFont="1" applyFill="1" applyBorder="1" applyAlignment="1">
      <alignment horizontal="left"/>
    </xf>
    <xf numFmtId="0" fontId="6" fillId="3" borderId="2" xfId="1" applyFont="1" applyFill="1" applyBorder="1" applyProtection="1">
      <protection locked="0"/>
    </xf>
    <xf numFmtId="0" fontId="8" fillId="0" borderId="0" xfId="1" applyFont="1"/>
    <xf numFmtId="0" fontId="9" fillId="0" borderId="3" xfId="1" applyFont="1" applyBorder="1" applyAlignment="1">
      <alignment horizontal="center" wrapText="1"/>
    </xf>
    <xf numFmtId="2" fontId="9" fillId="0" borderId="3" xfId="1" applyNumberFormat="1" applyFont="1" applyBorder="1" applyAlignment="1">
      <alignment horizontal="center" wrapText="1"/>
    </xf>
    <xf numFmtId="165" fontId="9" fillId="0" borderId="3" xfId="2" applyFont="1" applyBorder="1" applyAlignment="1">
      <alignment horizontal="center" wrapText="1"/>
    </xf>
    <xf numFmtId="0" fontId="9" fillId="0" borderId="0" xfId="1" applyFont="1" applyAlignment="1">
      <alignment horizontal="center"/>
    </xf>
    <xf numFmtId="0" fontId="1" fillId="0" borderId="0" xfId="4" applyFill="1"/>
    <xf numFmtId="0" fontId="1" fillId="0" borderId="0" xfId="4" applyFont="1" applyFill="1"/>
    <xf numFmtId="0" fontId="1" fillId="0" borderId="0" xfId="4" applyFill="1" applyBorder="1"/>
    <xf numFmtId="0" fontId="1" fillId="0" borderId="0" xfId="4" applyFont="1" applyFill="1" applyBorder="1"/>
    <xf numFmtId="0" fontId="10" fillId="0" borderId="0" xfId="4" applyFont="1" applyFill="1" applyBorder="1"/>
    <xf numFmtId="0" fontId="1" fillId="0" borderId="0" xfId="4"/>
    <xf numFmtId="0" fontId="1" fillId="0" borderId="0" xfId="4" applyFont="1"/>
    <xf numFmtId="0" fontId="11" fillId="0" borderId="0" xfId="1" applyFont="1"/>
    <xf numFmtId="0" fontId="1" fillId="0" borderId="0" xfId="4" applyBorder="1"/>
    <xf numFmtId="0" fontId="1" fillId="4" borderId="4" xfId="4" quotePrefix="1" applyFont="1" applyFill="1" applyBorder="1" applyAlignment="1">
      <alignment horizontal="left"/>
    </xf>
    <xf numFmtId="0" fontId="12" fillId="5" borderId="5" xfId="4" applyFont="1" applyFill="1" applyBorder="1"/>
    <xf numFmtId="0" fontId="1" fillId="4" borderId="4" xfId="4" quotePrefix="1" applyFill="1" applyBorder="1" applyAlignment="1">
      <alignment horizontal="left"/>
    </xf>
    <xf numFmtId="0" fontId="12" fillId="5" borderId="6" xfId="4" applyFont="1" applyFill="1" applyBorder="1"/>
    <xf numFmtId="0" fontId="1" fillId="4" borderId="4" xfId="4" applyFont="1" applyFill="1" applyBorder="1"/>
    <xf numFmtId="0" fontId="12" fillId="5" borderId="7" xfId="4" applyFont="1" applyFill="1" applyBorder="1"/>
    <xf numFmtId="0" fontId="10" fillId="7" borderId="0" xfId="4" applyFont="1" applyFill="1" applyBorder="1" applyAlignment="1"/>
    <xf numFmtId="0" fontId="12" fillId="7" borderId="0" xfId="4" applyFont="1" applyFill="1" applyBorder="1" applyAlignment="1"/>
    <xf numFmtId="0" fontId="12" fillId="5" borderId="8" xfId="4" applyFont="1" applyFill="1" applyBorder="1"/>
    <xf numFmtId="0" fontId="13" fillId="0" borderId="0" xfId="5"/>
    <xf numFmtId="0" fontId="13" fillId="0" borderId="0" xfId="5" applyBorder="1"/>
    <xf numFmtId="0" fontId="13" fillId="0" borderId="9" xfId="5" applyBorder="1"/>
    <xf numFmtId="0" fontId="13" fillId="0" borderId="10" xfId="5" applyBorder="1"/>
    <xf numFmtId="0" fontId="13" fillId="0" borderId="11" xfId="5" applyBorder="1"/>
    <xf numFmtId="0" fontId="13" fillId="0" borderId="12" xfId="5" applyBorder="1"/>
    <xf numFmtId="167" fontId="14" fillId="0" borderId="0" xfId="5" applyNumberFormat="1" applyFont="1" applyFill="1" applyBorder="1"/>
    <xf numFmtId="0" fontId="14" fillId="0" borderId="0" xfId="5" applyFont="1" applyFill="1" applyBorder="1" applyAlignment="1">
      <alignment horizontal="right"/>
    </xf>
    <xf numFmtId="0" fontId="14" fillId="0" borderId="0" xfId="5" applyFont="1" applyBorder="1"/>
    <xf numFmtId="0" fontId="14" fillId="0" borderId="13" xfId="5" applyFont="1" applyBorder="1"/>
    <xf numFmtId="167" fontId="14" fillId="8" borderId="14" xfId="5" applyNumberFormat="1" applyFont="1" applyFill="1" applyBorder="1"/>
    <xf numFmtId="0" fontId="14" fillId="8" borderId="14" xfId="5" applyFont="1" applyFill="1" applyBorder="1" applyAlignment="1">
      <alignment horizontal="right"/>
    </xf>
    <xf numFmtId="167" fontId="15" fillId="0" borderId="14" xfId="6" applyNumberFormat="1" applyFont="1" applyBorder="1" applyAlignment="1" applyProtection="1"/>
    <xf numFmtId="37" fontId="15" fillId="0" borderId="14" xfId="6" applyNumberFormat="1" applyFont="1" applyBorder="1" applyAlignment="1" applyProtection="1"/>
    <xf numFmtId="0" fontId="15" fillId="0" borderId="14" xfId="5" applyFont="1" applyBorder="1"/>
    <xf numFmtId="39" fontId="15" fillId="0" borderId="14" xfId="6" applyNumberFormat="1" applyFont="1" applyBorder="1" applyAlignment="1" applyProtection="1"/>
    <xf numFmtId="169" fontId="15" fillId="0" borderId="14" xfId="5" applyNumberFormat="1" applyFont="1" applyBorder="1"/>
    <xf numFmtId="0" fontId="15" fillId="0" borderId="14" xfId="6" applyNumberFormat="1" applyFont="1" applyBorder="1" applyAlignment="1" applyProtection="1">
      <alignment vertical="center" wrapText="1"/>
    </xf>
    <xf numFmtId="0" fontId="14" fillId="8" borderId="14" xfId="5" applyFont="1" applyFill="1" applyBorder="1"/>
    <xf numFmtId="0" fontId="13" fillId="0" borderId="13" xfId="5" applyBorder="1"/>
    <xf numFmtId="0" fontId="13" fillId="0" borderId="14" xfId="5" applyBorder="1"/>
    <xf numFmtId="0" fontId="0" fillId="0" borderId="14" xfId="6" applyNumberFormat="1" applyFont="1" applyBorder="1" applyAlignment="1">
      <alignment wrapText="1"/>
    </xf>
    <xf numFmtId="0" fontId="15" fillId="0" borderId="14" xfId="5" applyFont="1" applyBorder="1" applyAlignment="1">
      <alignment wrapText="1"/>
    </xf>
    <xf numFmtId="0" fontId="13" fillId="0" borderId="0" xfId="5" applyAlignment="1">
      <alignment wrapText="1"/>
    </xf>
    <xf numFmtId="0" fontId="13" fillId="0" borderId="12" xfId="5" applyBorder="1" applyAlignment="1">
      <alignment wrapText="1"/>
    </xf>
    <xf numFmtId="170" fontId="15" fillId="0" borderId="14" xfId="6" applyNumberFormat="1" applyFont="1" applyBorder="1" applyAlignment="1" applyProtection="1"/>
    <xf numFmtId="171" fontId="15" fillId="0" borderId="14" xfId="6" applyNumberFormat="1" applyFont="1" applyBorder="1" applyAlignment="1" applyProtection="1"/>
    <xf numFmtId="11" fontId="15" fillId="0" borderId="14" xfId="5" applyNumberFormat="1" applyFont="1" applyBorder="1"/>
    <xf numFmtId="0" fontId="13" fillId="0" borderId="0" xfId="5" applyFont="1" applyBorder="1"/>
    <xf numFmtId="0" fontId="13" fillId="0" borderId="0" xfId="5" applyFont="1" applyFill="1" applyBorder="1"/>
    <xf numFmtId="37" fontId="15" fillId="0" borderId="14" xfId="5" applyNumberFormat="1" applyFont="1" applyBorder="1"/>
    <xf numFmtId="167" fontId="15" fillId="0" borderId="16" xfId="6" applyNumberFormat="1" applyFont="1" applyBorder="1" applyAlignment="1" applyProtection="1"/>
    <xf numFmtId="0" fontId="7" fillId="0" borderId="2" xfId="3" quotePrefix="1" applyBorder="1"/>
    <xf numFmtId="0" fontId="15" fillId="0" borderId="17" xfId="5" applyFont="1" applyBorder="1"/>
    <xf numFmtId="0" fontId="7" fillId="0" borderId="2" xfId="3" applyBorder="1"/>
    <xf numFmtId="0" fontId="14" fillId="8" borderId="18" xfId="5" applyFont="1" applyFill="1" applyBorder="1"/>
    <xf numFmtId="0" fontId="15" fillId="0" borderId="0" xfId="5" applyFont="1" applyBorder="1"/>
    <xf numFmtId="0" fontId="14" fillId="8" borderId="0" xfId="5" applyFont="1" applyFill="1" applyBorder="1"/>
    <xf numFmtId="0" fontId="15" fillId="0" borderId="0" xfId="5" applyFont="1" applyBorder="1" applyAlignment="1">
      <alignment horizontal="left"/>
    </xf>
    <xf numFmtId="166" fontId="15" fillId="0" borderId="14" xfId="6" applyNumberFormat="1" applyFont="1" applyBorder="1" applyAlignment="1" applyProtection="1"/>
    <xf numFmtId="0" fontId="15" fillId="0" borderId="14" xfId="5" applyFont="1" applyBorder="1" applyAlignment="1">
      <alignment horizontal="right"/>
    </xf>
    <xf numFmtId="0" fontId="13" fillId="0" borderId="19" xfId="5" applyBorder="1"/>
    <xf numFmtId="0" fontId="13" fillId="0" borderId="20" xfId="5" applyBorder="1"/>
    <xf numFmtId="0" fontId="13" fillId="0" borderId="21" xfId="5" applyBorder="1"/>
    <xf numFmtId="167" fontId="14" fillId="9" borderId="22" xfId="5" applyNumberFormat="1" applyFont="1" applyFill="1" applyBorder="1"/>
    <xf numFmtId="0" fontId="14" fillId="9" borderId="22" xfId="5" applyFont="1" applyFill="1" applyBorder="1" applyAlignment="1">
      <alignment horizontal="right"/>
    </xf>
    <xf numFmtId="167" fontId="15" fillId="0" borderId="2" xfId="6" applyNumberFormat="1" applyFont="1" applyBorder="1" applyAlignment="1" applyProtection="1"/>
    <xf numFmtId="0" fontId="13" fillId="0" borderId="2" xfId="5" applyBorder="1"/>
    <xf numFmtId="0" fontId="0" fillId="0" borderId="2" xfId="6" applyNumberFormat="1" applyFont="1" applyBorder="1" applyAlignment="1">
      <alignment wrapText="1"/>
    </xf>
    <xf numFmtId="172" fontId="15" fillId="0" borderId="2" xfId="5" applyNumberFormat="1" applyFont="1" applyBorder="1"/>
    <xf numFmtId="0" fontId="15" fillId="0" borderId="2" xfId="5" applyFont="1" applyBorder="1"/>
    <xf numFmtId="0" fontId="15" fillId="0" borderId="23" xfId="5" applyFont="1" applyBorder="1"/>
    <xf numFmtId="0" fontId="13" fillId="0" borderId="0" xfId="5" applyBorder="1" applyAlignment="1">
      <alignment wrapText="1"/>
    </xf>
    <xf numFmtId="167" fontId="15" fillId="0" borderId="2" xfId="6" applyNumberFormat="1" applyFont="1" applyBorder="1" applyAlignment="1" applyProtection="1">
      <alignment wrapText="1"/>
    </xf>
    <xf numFmtId="0" fontId="13" fillId="0" borderId="2" xfId="5" applyBorder="1" applyAlignment="1">
      <alignment wrapText="1"/>
    </xf>
    <xf numFmtId="0" fontId="13" fillId="0" borderId="23" xfId="5" applyBorder="1" applyAlignment="1">
      <alignment wrapText="1"/>
    </xf>
    <xf numFmtId="0" fontId="14" fillId="9" borderId="2" xfId="5" applyFont="1" applyFill="1" applyBorder="1"/>
    <xf numFmtId="0" fontId="14" fillId="9" borderId="23" xfId="5" applyFont="1" applyFill="1" applyBorder="1"/>
    <xf numFmtId="0" fontId="14" fillId="9" borderId="2" xfId="5" applyFont="1" applyFill="1" applyBorder="1" applyAlignment="1">
      <alignment horizontal="right"/>
    </xf>
    <xf numFmtId="0" fontId="13" fillId="0" borderId="0" xfId="5" applyAlignment="1"/>
    <xf numFmtId="0" fontId="13" fillId="0" borderId="12" xfId="5" applyBorder="1" applyAlignment="1"/>
    <xf numFmtId="2" fontId="15" fillId="0" borderId="2" xfId="6" applyNumberFormat="1" applyFont="1" applyBorder="1" applyAlignment="1" applyProtection="1"/>
    <xf numFmtId="11" fontId="15" fillId="0" borderId="2" xfId="6" applyNumberFormat="1" applyFont="1" applyBorder="1" applyAlignment="1" applyProtection="1"/>
    <xf numFmtId="172" fontId="15" fillId="0" borderId="2" xfId="6" applyNumberFormat="1" applyFont="1" applyBorder="1" applyAlignment="1" applyProtection="1"/>
    <xf numFmtId="11" fontId="15" fillId="0" borderId="2" xfId="5" applyNumberFormat="1" applyFont="1" applyBorder="1" applyAlignment="1"/>
    <xf numFmtId="170" fontId="15" fillId="0" borderId="2" xfId="6" applyNumberFormat="1" applyFont="1" applyBorder="1" applyAlignment="1" applyProtection="1"/>
    <xf numFmtId="0" fontId="15" fillId="0" borderId="2" xfId="5" applyFont="1" applyBorder="1" applyAlignment="1"/>
    <xf numFmtId="173" fontId="15" fillId="0" borderId="2" xfId="5" applyNumberFormat="1" applyFont="1" applyBorder="1" applyAlignment="1"/>
    <xf numFmtId="0" fontId="15" fillId="0" borderId="2" xfId="5" applyFont="1" applyBorder="1" applyAlignment="1" applyProtection="1"/>
    <xf numFmtId="0" fontId="15" fillId="0" borderId="23" xfId="5" applyFont="1" applyBorder="1" applyAlignment="1"/>
    <xf numFmtId="0" fontId="14" fillId="9" borderId="22" xfId="5" applyFont="1" applyFill="1" applyBorder="1"/>
    <xf numFmtId="0" fontId="14" fillId="9" borderId="24" xfId="5" applyFont="1" applyFill="1" applyBorder="1"/>
    <xf numFmtId="0" fontId="14" fillId="0" borderId="25" xfId="5" applyFont="1" applyBorder="1"/>
    <xf numFmtId="0" fontId="14" fillId="0" borderId="26" xfId="5" applyFont="1" applyBorder="1"/>
    <xf numFmtId="0" fontId="14" fillId="9" borderId="14" xfId="5" applyFont="1" applyFill="1" applyBorder="1"/>
    <xf numFmtId="0" fontId="14" fillId="9" borderId="27" xfId="5" applyFont="1" applyFill="1" applyBorder="1"/>
    <xf numFmtId="49" fontId="15" fillId="0" borderId="0" xfId="5" applyNumberFormat="1" applyFont="1" applyBorder="1" applyAlignment="1">
      <alignment horizontal="left"/>
    </xf>
    <xf numFmtId="0" fontId="7" fillId="0" borderId="0" xfId="3"/>
    <xf numFmtId="0" fontId="14" fillId="9" borderId="14" xfId="5" applyFont="1" applyFill="1" applyBorder="1" applyAlignment="1">
      <alignment horizontal="left"/>
    </xf>
    <xf numFmtId="0" fontId="15" fillId="0" borderId="0" xfId="3" applyFont="1"/>
    <xf numFmtId="0" fontId="13" fillId="0" borderId="10" xfId="5" applyFill="1" applyBorder="1"/>
    <xf numFmtId="0" fontId="14" fillId="0" borderId="0" xfId="5" applyFont="1" applyFill="1" applyBorder="1"/>
    <xf numFmtId="0" fontId="1" fillId="0" borderId="2" xfId="6" applyNumberFormat="1" applyFont="1" applyBorder="1" applyAlignment="1">
      <alignment wrapText="1"/>
    </xf>
    <xf numFmtId="172" fontId="15" fillId="0" borderId="2" xfId="5" applyNumberFormat="1" applyFont="1" applyBorder="1" applyAlignment="1">
      <alignment wrapText="1"/>
    </xf>
    <xf numFmtId="0" fontId="15" fillId="0" borderId="2" xfId="5" applyFont="1" applyBorder="1" applyAlignment="1">
      <alignment wrapText="1"/>
    </xf>
    <xf numFmtId="0" fontId="16" fillId="0" borderId="2" xfId="7" applyFont="1" applyFill="1" applyBorder="1" applyAlignment="1">
      <alignment wrapText="1"/>
    </xf>
    <xf numFmtId="0" fontId="15" fillId="0" borderId="23" xfId="5" applyFont="1" applyBorder="1" applyAlignment="1">
      <alignment wrapText="1"/>
    </xf>
    <xf numFmtId="0" fontId="13" fillId="0" borderId="0" xfId="5" applyBorder="1" applyAlignment="1"/>
    <xf numFmtId="0" fontId="13" fillId="0" borderId="2" xfId="5" applyBorder="1" applyAlignment="1"/>
    <xf numFmtId="1" fontId="13" fillId="0" borderId="2" xfId="5" applyNumberFormat="1" applyBorder="1" applyAlignment="1"/>
    <xf numFmtId="0" fontId="0" fillId="0" borderId="2" xfId="6" applyNumberFormat="1" applyFont="1" applyBorder="1" applyAlignment="1"/>
    <xf numFmtId="0" fontId="16" fillId="0" borderId="28" xfId="7" applyFont="1" applyFill="1" applyBorder="1" applyAlignment="1"/>
    <xf numFmtId="0" fontId="13" fillId="0" borderId="23" xfId="5" applyBorder="1" applyAlignment="1"/>
    <xf numFmtId="174" fontId="15" fillId="0" borderId="2" xfId="6" applyNumberFormat="1" applyFont="1" applyBorder="1" applyAlignment="1" applyProtection="1"/>
    <xf numFmtId="172" fontId="15" fillId="0" borderId="2" xfId="5" applyNumberFormat="1" applyFont="1" applyBorder="1" applyAlignment="1"/>
    <xf numFmtId="37" fontId="15" fillId="0" borderId="14" xfId="6" applyNumberFormat="1" applyFont="1" applyBorder="1" applyAlignment="1" applyProtection="1">
      <alignment wrapText="1"/>
    </xf>
    <xf numFmtId="39" fontId="15" fillId="0" borderId="14" xfId="6" applyNumberFormat="1" applyFont="1" applyBorder="1" applyAlignment="1" applyProtection="1">
      <alignment wrapText="1"/>
    </xf>
    <xf numFmtId="169" fontId="15" fillId="0" borderId="14" xfId="5" applyNumberFormat="1" applyFont="1" applyBorder="1" applyAlignment="1">
      <alignment wrapText="1"/>
    </xf>
    <xf numFmtId="0" fontId="15" fillId="0" borderId="14" xfId="5" applyFont="1" applyBorder="1" applyAlignment="1" applyProtection="1">
      <alignment wrapText="1"/>
    </xf>
    <xf numFmtId="0" fontId="13" fillId="0" borderId="0" xfId="5" applyFont="1"/>
    <xf numFmtId="0" fontId="13" fillId="0" borderId="14" xfId="5" applyBorder="1" applyAlignment="1"/>
    <xf numFmtId="174" fontId="15" fillId="0" borderId="14" xfId="6" applyNumberFormat="1" applyFont="1" applyBorder="1" applyAlignment="1" applyProtection="1"/>
    <xf numFmtId="175" fontId="15" fillId="0" borderId="14" xfId="6" applyNumberFormat="1" applyFont="1" applyBorder="1" applyAlignment="1" applyProtection="1"/>
    <xf numFmtId="11" fontId="15" fillId="0" borderId="14" xfId="5" applyNumberFormat="1" applyFont="1" applyBorder="1" applyAlignment="1"/>
    <xf numFmtId="0" fontId="15" fillId="0" borderId="14" xfId="5" applyFont="1" applyBorder="1" applyAlignment="1"/>
    <xf numFmtId="43" fontId="15" fillId="0" borderId="14" xfId="5" applyNumberFormat="1" applyFont="1" applyBorder="1" applyAlignment="1"/>
    <xf numFmtId="0" fontId="15" fillId="0" borderId="12" xfId="6" applyNumberFormat="1" applyFont="1" applyBorder="1" applyAlignment="1"/>
    <xf numFmtId="2" fontId="15" fillId="0" borderId="2" xfId="5" applyNumberFormat="1" applyFont="1" applyBorder="1"/>
    <xf numFmtId="176" fontId="15" fillId="0" borderId="2" xfId="5" applyNumberFormat="1" applyFont="1" applyBorder="1"/>
    <xf numFmtId="175" fontId="15" fillId="0" borderId="2" xfId="6" applyNumberFormat="1" applyFont="1" applyBorder="1" applyAlignment="1" applyProtection="1"/>
    <xf numFmtId="0" fontId="7" fillId="2" borderId="2" xfId="3" applyFill="1" applyBorder="1" applyAlignment="1">
      <alignment horizontal="left"/>
    </xf>
    <xf numFmtId="0" fontId="7" fillId="2" borderId="0" xfId="3" applyFill="1"/>
    <xf numFmtId="0" fontId="7" fillId="3" borderId="2" xfId="3" applyFill="1" applyBorder="1" applyAlignment="1">
      <alignment horizontal="left"/>
    </xf>
    <xf numFmtId="2" fontId="1" fillId="6" borderId="29" xfId="4" quotePrefix="1" applyNumberFormat="1" applyFill="1" applyBorder="1" applyAlignment="1">
      <alignment horizontal="right"/>
    </xf>
    <xf numFmtId="0" fontId="1" fillId="4" borderId="30" xfId="4" applyFont="1" applyFill="1" applyBorder="1"/>
    <xf numFmtId="172" fontId="13" fillId="0" borderId="2" xfId="5" applyNumberFormat="1" applyBorder="1" applyAlignment="1">
      <alignment wrapText="1"/>
    </xf>
    <xf numFmtId="18" fontId="6" fillId="2" borderId="2" xfId="1" applyNumberFormat="1" applyFont="1" applyFill="1" applyBorder="1" applyAlignment="1" applyProtection="1">
      <alignment horizontal="right"/>
      <protection locked="0"/>
    </xf>
    <xf numFmtId="0" fontId="7" fillId="0" borderId="0" xfId="3" applyBorder="1"/>
    <xf numFmtId="0" fontId="16" fillId="0" borderId="2" xfId="5" applyFont="1" applyBorder="1" applyAlignment="1">
      <alignment wrapText="1"/>
    </xf>
    <xf numFmtId="167" fontId="15" fillId="0" borderId="14" xfId="6" applyNumberFormat="1" applyFont="1" applyBorder="1" applyAlignment="1" applyProtection="1">
      <alignment wrapText="1"/>
    </xf>
    <xf numFmtId="0" fontId="13" fillId="0" borderId="14" xfId="5" applyBorder="1" applyAlignment="1">
      <alignment wrapText="1"/>
    </xf>
    <xf numFmtId="0" fontId="13" fillId="0" borderId="0" xfId="5" applyFont="1" applyBorder="1" applyAlignment="1">
      <alignment wrapText="1"/>
    </xf>
    <xf numFmtId="0" fontId="13" fillId="0" borderId="12" xfId="5" applyFont="1" applyBorder="1" applyAlignment="1">
      <alignment wrapText="1"/>
    </xf>
    <xf numFmtId="0" fontId="13" fillId="0" borderId="0" xfId="5" applyFont="1" applyAlignment="1">
      <alignment wrapText="1"/>
    </xf>
    <xf numFmtId="0" fontId="15" fillId="0" borderId="14" xfId="5" applyFont="1" applyBorder="1" applyAlignment="1" applyProtection="1"/>
    <xf numFmtId="169" fontId="15" fillId="0" borderId="14" xfId="5" applyNumberFormat="1" applyFont="1" applyBorder="1" applyAlignment="1"/>
    <xf numFmtId="0" fontId="14" fillId="0" borderId="13" xfId="5" applyFont="1" applyBorder="1" applyAlignment="1">
      <alignment wrapText="1"/>
    </xf>
    <xf numFmtId="0" fontId="14" fillId="0" borderId="0" xfId="5" applyFont="1" applyBorder="1" applyAlignment="1">
      <alignment wrapText="1"/>
    </xf>
    <xf numFmtId="0" fontId="14" fillId="8" borderId="14" xfId="5" applyFont="1" applyFill="1" applyBorder="1" applyAlignment="1">
      <alignment horizontal="right" wrapText="1"/>
    </xf>
    <xf numFmtId="167" fontId="14" fillId="8" borderId="14" xfId="5" applyNumberFormat="1" applyFont="1" applyFill="1" applyBorder="1" applyAlignment="1">
      <alignment wrapText="1"/>
    </xf>
    <xf numFmtId="0" fontId="13" fillId="0" borderId="13" xfId="5" applyBorder="1" applyAlignment="1">
      <alignment wrapText="1"/>
    </xf>
    <xf numFmtId="0" fontId="14" fillId="8" borderId="14" xfId="5" applyFont="1" applyFill="1" applyBorder="1" applyAlignment="1">
      <alignment wrapText="1"/>
    </xf>
    <xf numFmtId="0" fontId="13" fillId="0" borderId="21" xfId="5" applyBorder="1" applyAlignment="1">
      <alignment wrapText="1"/>
    </xf>
    <xf numFmtId="0" fontId="13" fillId="0" borderId="20" xfId="5" applyBorder="1" applyAlignment="1">
      <alignment wrapText="1"/>
    </xf>
    <xf numFmtId="0" fontId="13" fillId="0" borderId="19" xfId="5" applyBorder="1" applyAlignment="1">
      <alignment wrapText="1"/>
    </xf>
    <xf numFmtId="0" fontId="15" fillId="0" borderId="0" xfId="5" applyFont="1" applyBorder="1" applyAlignment="1">
      <alignment wrapText="1"/>
    </xf>
    <xf numFmtId="0" fontId="7" fillId="0" borderId="0" xfId="3" applyBorder="1" applyAlignment="1">
      <alignment wrapText="1"/>
    </xf>
    <xf numFmtId="0" fontId="15" fillId="0" borderId="14" xfId="5" applyFont="1" applyBorder="1" applyAlignment="1">
      <alignment horizontal="right" wrapText="1"/>
    </xf>
    <xf numFmtId="166" fontId="15" fillId="0" borderId="14" xfId="6" applyNumberFormat="1" applyFont="1" applyBorder="1" applyAlignment="1" applyProtection="1">
      <alignment wrapText="1"/>
    </xf>
    <xf numFmtId="0" fontId="14" fillId="8" borderId="0" xfId="5" applyFont="1" applyFill="1" applyBorder="1" applyAlignment="1">
      <alignment wrapText="1"/>
    </xf>
    <xf numFmtId="0" fontId="15" fillId="0" borderId="0" xfId="5" applyFont="1" applyBorder="1" applyAlignment="1">
      <alignment horizontal="left" wrapText="1"/>
    </xf>
    <xf numFmtId="0" fontId="14" fillId="8" borderId="18" xfId="5" applyFont="1" applyFill="1" applyBorder="1" applyAlignment="1">
      <alignment wrapText="1"/>
    </xf>
    <xf numFmtId="0" fontId="15" fillId="0" borderId="17" xfId="5" applyFont="1" applyBorder="1" applyAlignment="1">
      <alignment wrapText="1"/>
    </xf>
    <xf numFmtId="0" fontId="7" fillId="0" borderId="2" xfId="3" applyBorder="1" applyAlignment="1">
      <alignment wrapText="1"/>
    </xf>
    <xf numFmtId="167" fontId="15" fillId="0" borderId="16" xfId="6" applyNumberFormat="1" applyFont="1" applyBorder="1" applyAlignment="1" applyProtection="1">
      <alignment wrapText="1"/>
    </xf>
    <xf numFmtId="37" fontId="15" fillId="0" borderId="14" xfId="5" applyNumberFormat="1" applyFont="1" applyBorder="1" applyAlignment="1">
      <alignment wrapText="1"/>
    </xf>
    <xf numFmtId="0" fontId="7" fillId="0" borderId="2" xfId="3" quotePrefix="1" applyBorder="1" applyAlignment="1">
      <alignment wrapText="1"/>
    </xf>
    <xf numFmtId="0" fontId="13" fillId="0" borderId="0" xfId="5" applyFont="1" applyFill="1" applyBorder="1" applyAlignment="1">
      <alignment wrapText="1"/>
    </xf>
    <xf numFmtId="170" fontId="15" fillId="0" borderId="14" xfId="6" applyNumberFormat="1" applyFont="1" applyBorder="1" applyAlignment="1" applyProtection="1">
      <alignment wrapText="1"/>
    </xf>
    <xf numFmtId="11" fontId="15" fillId="0" borderId="14" xfId="5" applyNumberFormat="1" applyFont="1" applyBorder="1" applyAlignment="1">
      <alignment wrapText="1"/>
    </xf>
    <xf numFmtId="171" fontId="15" fillId="0" borderId="14" xfId="6" applyNumberFormat="1" applyFont="1" applyBorder="1" applyAlignment="1" applyProtection="1">
      <alignment wrapText="1"/>
    </xf>
    <xf numFmtId="0" fontId="14" fillId="0" borderId="0" xfId="5" applyFont="1" applyFill="1" applyBorder="1" applyAlignment="1">
      <alignment horizontal="right" wrapText="1"/>
    </xf>
    <xf numFmtId="167" fontId="14" fillId="0" borderId="0" xfId="5" applyNumberFormat="1" applyFont="1" applyFill="1" applyBorder="1" applyAlignment="1">
      <alignment wrapText="1"/>
    </xf>
    <xf numFmtId="0" fontId="14" fillId="2" borderId="2" xfId="5" applyFont="1" applyFill="1" applyBorder="1" applyAlignment="1">
      <alignment wrapText="1"/>
    </xf>
    <xf numFmtId="0" fontId="14" fillId="2" borderId="2" xfId="5" applyFont="1" applyFill="1" applyBorder="1" applyAlignment="1">
      <alignment horizontal="left" wrapText="1"/>
    </xf>
    <xf numFmtId="0" fontId="13" fillId="0" borderId="11" xfId="5" applyBorder="1" applyAlignment="1">
      <alignment wrapText="1"/>
    </xf>
    <xf numFmtId="0" fontId="13" fillId="0" borderId="10" xfId="5" applyBorder="1" applyAlignment="1">
      <alignment wrapText="1"/>
    </xf>
    <xf numFmtId="0" fontId="13" fillId="0" borderId="9" xfId="5" applyBorder="1" applyAlignment="1">
      <alignment wrapText="1"/>
    </xf>
    <xf numFmtId="0" fontId="13" fillId="0" borderId="2" xfId="5" applyNumberFormat="1" applyBorder="1" applyAlignment="1"/>
    <xf numFmtId="1" fontId="15" fillId="0" borderId="2" xfId="6" applyNumberFormat="1" applyFont="1" applyBorder="1" applyAlignment="1" applyProtection="1"/>
    <xf numFmtId="0" fontId="15" fillId="0" borderId="2" xfId="6" applyNumberFormat="1" applyFont="1" applyBorder="1" applyAlignment="1" applyProtection="1"/>
    <xf numFmtId="2" fontId="13" fillId="0" borderId="2" xfId="5" applyNumberFormat="1" applyBorder="1" applyAlignment="1">
      <alignment wrapText="1"/>
    </xf>
    <xf numFmtId="177" fontId="15" fillId="0" borderId="14" xfId="6" applyNumberFormat="1" applyFont="1" applyBorder="1" applyAlignment="1" applyProtection="1"/>
    <xf numFmtId="0" fontId="15" fillId="0" borderId="14" xfId="6" applyNumberFormat="1" applyFont="1" applyBorder="1" applyAlignment="1" applyProtection="1">
      <alignment wrapText="1"/>
    </xf>
    <xf numFmtId="11" fontId="15" fillId="0" borderId="14" xfId="6" applyNumberFormat="1" applyFont="1" applyBorder="1" applyAlignment="1" applyProtection="1">
      <alignment wrapText="1"/>
    </xf>
    <xf numFmtId="11" fontId="13" fillId="0" borderId="14" xfId="5" applyNumberFormat="1" applyBorder="1" applyAlignment="1">
      <alignment wrapText="1"/>
    </xf>
    <xf numFmtId="0" fontId="16" fillId="0" borderId="2" xfId="0" applyFont="1" applyFill="1" applyBorder="1" applyAlignment="1" applyProtection="1">
      <alignment vertical="center" wrapText="1"/>
    </xf>
    <xf numFmtId="166" fontId="16" fillId="0" borderId="2" xfId="8" applyNumberFormat="1" applyFont="1" applyFill="1" applyBorder="1"/>
    <xf numFmtId="2" fontId="15" fillId="0" borderId="14" xfId="5" applyNumberFormat="1" applyFont="1" applyBorder="1" applyAlignment="1">
      <alignment wrapText="1"/>
    </xf>
  </cellXfs>
  <cellStyles count="9">
    <cellStyle name="Comma 2" xfId="2"/>
    <cellStyle name="Lien hypertexte" xfId="3" builtinId="8"/>
    <cellStyle name="Monétaire" xfId="8" builtinId="4"/>
    <cellStyle name="Normal" xfId="0" builtinId="0"/>
    <cellStyle name="Normal 2" xfId="1"/>
    <cellStyle name="Normal 3" xfId="4"/>
    <cellStyle name="Normal 4" xfId="5"/>
    <cellStyle name="Normal_Sheet1" xfId="7"/>
    <cellStyle name="TableStyleLight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#'BR 02004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hyperlink" Target="#BR_03003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hyperlink" Target="#BR_03004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'BR 01002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'BR 01004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'BR 02002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342901</xdr:colOff>
      <xdr:row>12</xdr:row>
      <xdr:rowOff>127001</xdr:rowOff>
    </xdr:from>
    <xdr:ext cx="2441292" cy="2438399"/>
    <xdr:pic>
      <xdr:nvPicPr>
        <xdr:cNvPr id="2" name="Image 1">
          <a:extLst>
            <a:ext uri="{FF2B5EF4-FFF2-40B4-BE49-F238E27FC236}">
              <a16:creationId xmlns:a16="http://schemas.microsoft.com/office/drawing/2014/main" id="{9C1B1A6D-DBC9-4A33-97EB-BF92E8ABF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29301" y="2413001"/>
          <a:ext cx="2441292" cy="2438399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12</xdr:row>
      <xdr:rowOff>63500</xdr:rowOff>
    </xdr:from>
    <xdr:ext cx="1189079" cy="1123019"/>
    <xdr:pic>
      <xdr:nvPicPr>
        <xdr:cNvPr id="2" name="Image 1">
          <a:extLst>
            <a:ext uri="{FF2B5EF4-FFF2-40B4-BE49-F238E27FC236}">
              <a16:creationId xmlns:a16="http://schemas.microsoft.com/office/drawing/2014/main" id="{0E973D55-596E-426C-8F65-718AB22D1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53100" y="2349500"/>
          <a:ext cx="1189079" cy="1123019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13</xdr:row>
      <xdr:rowOff>50800</xdr:rowOff>
    </xdr:from>
    <xdr:ext cx="1573814" cy="1587500"/>
    <xdr:pic>
      <xdr:nvPicPr>
        <xdr:cNvPr id="2" name="Image 1">
          <a:extLst>
            <a:ext uri="{FF2B5EF4-FFF2-40B4-BE49-F238E27FC236}">
              <a16:creationId xmlns:a16="http://schemas.microsoft.com/office/drawing/2014/main" id="{13EB7351-A39C-470F-B814-BDD652D5B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53100" y="2527300"/>
          <a:ext cx="1573814" cy="158750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104775</xdr:rowOff>
    </xdr:from>
    <xdr:ext cx="4486275" cy="635789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572B11-F17C-4CA2-985B-37791D671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8625" y="295275"/>
          <a:ext cx="4486275" cy="6357892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258536</xdr:colOff>
      <xdr:row>11</xdr:row>
      <xdr:rowOff>163286</xdr:rowOff>
    </xdr:from>
    <xdr:ext cx="1379791" cy="1896249"/>
    <xdr:pic>
      <xdr:nvPicPr>
        <xdr:cNvPr id="2" name="Image 1">
          <a:extLst>
            <a:ext uri="{FF2B5EF4-FFF2-40B4-BE49-F238E27FC236}">
              <a16:creationId xmlns:a16="http://schemas.microsoft.com/office/drawing/2014/main" id="{74FA1D44-8ED2-4D9D-837A-65680A657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44936" y="2258786"/>
          <a:ext cx="1379791" cy="1896249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57151</xdr:rowOff>
    </xdr:from>
    <xdr:to>
      <xdr:col>10</xdr:col>
      <xdr:colOff>579019</xdr:colOff>
      <xdr:row>31</xdr:row>
      <xdr:rowOff>114301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22D4222-BB72-4B95-8F73-51113F76A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925" y="247651"/>
          <a:ext cx="8160919" cy="57721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381000</xdr:colOff>
      <xdr:row>12</xdr:row>
      <xdr:rowOff>12700</xdr:rowOff>
    </xdr:from>
    <xdr:ext cx="1181100" cy="1823638"/>
    <xdr:pic>
      <xdr:nvPicPr>
        <xdr:cNvPr id="2" name="Image 1">
          <a:extLst>
            <a:ext uri="{FF2B5EF4-FFF2-40B4-BE49-F238E27FC236}">
              <a16:creationId xmlns:a16="http://schemas.microsoft.com/office/drawing/2014/main" id="{CA267694-2D85-4D30-8351-379D8C522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67400" y="2298700"/>
          <a:ext cx="1181100" cy="1823638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57150</xdr:rowOff>
    </xdr:from>
    <xdr:to>
      <xdr:col>9</xdr:col>
      <xdr:colOff>738988</xdr:colOff>
      <xdr:row>29</xdr:row>
      <xdr:rowOff>95250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2EEEDDF-E17D-4311-B324-A4AADE835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247650"/>
          <a:ext cx="7606513" cy="5372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444500</xdr:colOff>
      <xdr:row>13</xdr:row>
      <xdr:rowOff>31306</xdr:rowOff>
    </xdr:from>
    <xdr:ext cx="2222500" cy="1463699"/>
    <xdr:pic>
      <xdr:nvPicPr>
        <xdr:cNvPr id="2" name="Image 1">
          <a:extLst>
            <a:ext uri="{FF2B5EF4-FFF2-40B4-BE49-F238E27FC236}">
              <a16:creationId xmlns:a16="http://schemas.microsoft.com/office/drawing/2014/main" id="{6DA1BFD9-2060-4BED-ACDB-122E975D7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30900" y="2507806"/>
          <a:ext cx="2222500" cy="1463699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7332805" cy="562823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0103CA-71C2-456C-B257-9A885C5D4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7332805" cy="5628238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292100</xdr:colOff>
      <xdr:row>11</xdr:row>
      <xdr:rowOff>177800</xdr:rowOff>
    </xdr:from>
    <xdr:ext cx="1219199" cy="1663637"/>
    <xdr:pic>
      <xdr:nvPicPr>
        <xdr:cNvPr id="2" name="Image 1">
          <a:extLst>
            <a:ext uri="{FF2B5EF4-FFF2-40B4-BE49-F238E27FC236}">
              <a16:creationId xmlns:a16="http://schemas.microsoft.com/office/drawing/2014/main" id="{D5961F37-E07B-4B3C-A6D0-96C3B6220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78500" y="2273300"/>
          <a:ext cx="1219199" cy="166363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304800</xdr:colOff>
      <xdr:row>12</xdr:row>
      <xdr:rowOff>139700</xdr:rowOff>
    </xdr:from>
    <xdr:ext cx="2574001" cy="2717800"/>
    <xdr:pic>
      <xdr:nvPicPr>
        <xdr:cNvPr id="2" name="Image 1">
          <a:extLst>
            <a:ext uri="{FF2B5EF4-FFF2-40B4-BE49-F238E27FC236}">
              <a16:creationId xmlns:a16="http://schemas.microsoft.com/office/drawing/2014/main" id="{42EF9FAE-B774-46BF-8801-F556F0599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91200" y="2425700"/>
          <a:ext cx="2574001" cy="2717800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</xdr:row>
      <xdr:rowOff>114300</xdr:rowOff>
    </xdr:from>
    <xdr:ext cx="7604554" cy="584350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E66FF-0D0E-43BE-AC0A-0B61B86E0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" y="304800"/>
          <a:ext cx="7604554" cy="584350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276226</xdr:colOff>
      <xdr:row>1</xdr:row>
      <xdr:rowOff>161926</xdr:rowOff>
    </xdr:from>
    <xdr:ext cx="6448424" cy="454888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1C449-2414-43F8-AD57-814A212F3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6226" y="352426"/>
          <a:ext cx="6448424" cy="454888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292101</xdr:colOff>
      <xdr:row>12</xdr:row>
      <xdr:rowOff>114300</xdr:rowOff>
    </xdr:from>
    <xdr:ext cx="1189079" cy="1123019"/>
    <xdr:pic>
      <xdr:nvPicPr>
        <xdr:cNvPr id="2" name="Image 1">
          <a:extLst>
            <a:ext uri="{FF2B5EF4-FFF2-40B4-BE49-F238E27FC236}">
              <a16:creationId xmlns:a16="http://schemas.microsoft.com/office/drawing/2014/main" id="{E84B2A87-3AB4-4CF0-97A4-CDCBB8E75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78501" y="2400300"/>
          <a:ext cx="1189079" cy="1123019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254000</xdr:colOff>
      <xdr:row>13</xdr:row>
      <xdr:rowOff>25400</xdr:rowOff>
    </xdr:from>
    <xdr:ext cx="1573814" cy="1587500"/>
    <xdr:pic>
      <xdr:nvPicPr>
        <xdr:cNvPr id="2" name="Image 1">
          <a:extLst>
            <a:ext uri="{FF2B5EF4-FFF2-40B4-BE49-F238E27FC236}">
              <a16:creationId xmlns:a16="http://schemas.microsoft.com/office/drawing/2014/main" id="{4663F8A9-E2A2-4558-8502-C91A28CD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40400" y="2501900"/>
          <a:ext cx="1573814" cy="158750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1</xdr:row>
      <xdr:rowOff>142875</xdr:rowOff>
    </xdr:from>
    <xdr:ext cx="3990975" cy="565595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DBFAA-0D1D-470C-A37C-ABE7AF694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1975" y="333375"/>
          <a:ext cx="3990975" cy="5655958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317500</xdr:colOff>
      <xdr:row>12</xdr:row>
      <xdr:rowOff>127000</xdr:rowOff>
    </xdr:from>
    <xdr:ext cx="2441292" cy="2438399"/>
    <xdr:pic>
      <xdr:nvPicPr>
        <xdr:cNvPr id="2" name="Image 1">
          <a:extLst>
            <a:ext uri="{FF2B5EF4-FFF2-40B4-BE49-F238E27FC236}">
              <a16:creationId xmlns:a16="http://schemas.microsoft.com/office/drawing/2014/main" id="{A78DF900-84B5-4973-B53D-EAFE60381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03900" y="2413000"/>
          <a:ext cx="2441292" cy="2438399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165101</xdr:colOff>
      <xdr:row>12</xdr:row>
      <xdr:rowOff>139700</xdr:rowOff>
    </xdr:from>
    <xdr:ext cx="2516066" cy="2469147"/>
    <xdr:pic>
      <xdr:nvPicPr>
        <xdr:cNvPr id="2" name="Image 1">
          <a:extLst>
            <a:ext uri="{FF2B5EF4-FFF2-40B4-BE49-F238E27FC236}">
              <a16:creationId xmlns:a16="http://schemas.microsoft.com/office/drawing/2014/main" id="{93B68EA5-3D4E-4372-9C6D-F4A50CE08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51501" y="2425700"/>
          <a:ext cx="2516066" cy="246914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447674</xdr:colOff>
      <xdr:row>1</xdr:row>
      <xdr:rowOff>104329</xdr:rowOff>
    </xdr:from>
    <xdr:ext cx="4981575" cy="352279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5AB554-C606-4260-96D5-9152C928D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7674" y="294829"/>
          <a:ext cx="4981575" cy="352279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8"/>
  <sheetViews>
    <sheetView tabSelected="1" zoomScale="85" zoomScaleNormal="85" workbookViewId="0">
      <pane xSplit="3" ySplit="6" topLeftCell="D7" activePane="bottomRight" state="frozen"/>
      <selection activeCell="F17" sqref="F17"/>
      <selection pane="topRight" activeCell="F17" sqref="F17"/>
      <selection pane="bottomLeft" activeCell="F17" sqref="F17"/>
      <selection pane="bottomRight" activeCell="F17" sqref="F17"/>
    </sheetView>
  </sheetViews>
  <sheetFormatPr baseColWidth="10" defaultColWidth="9.109375" defaultRowHeight="13.2" x14ac:dyDescent="0.25"/>
  <cols>
    <col min="1" max="1" width="17.44140625" style="2" bestFit="1" customWidth="1"/>
    <col min="2" max="2" width="20.6640625" style="1" customWidth="1"/>
    <col min="3" max="3" width="13.5546875" style="2" customWidth="1"/>
    <col min="4" max="4" width="10" style="2" bestFit="1" customWidth="1"/>
    <col min="5" max="5" width="23" style="2" customWidth="1"/>
    <col min="6" max="6" width="31.6640625" style="4" customWidth="1"/>
    <col min="7" max="7" width="12.88671875" style="2" customWidth="1"/>
    <col min="8" max="8" width="11" style="2" bestFit="1" customWidth="1"/>
    <col min="9" max="9" width="9.5546875" style="3" customWidth="1"/>
    <col min="10" max="10" width="11.6640625" style="3" customWidth="1"/>
    <col min="11" max="13" width="10.44140625" style="3" customWidth="1"/>
    <col min="14" max="14" width="11.44140625" style="2" bestFit="1" customWidth="1"/>
    <col min="15" max="15" width="11.109375" style="1" customWidth="1"/>
    <col min="16" max="16384" width="9.109375" style="1"/>
  </cols>
  <sheetData>
    <row r="1" spans="1:15" ht="15" thickBot="1" x14ac:dyDescent="0.35">
      <c r="A1" s="58" t="s">
        <v>24</v>
      </c>
      <c r="B1" s="173" t="s">
        <v>23</v>
      </c>
      <c r="D1" s="48"/>
      <c r="M1" s="57" t="s">
        <v>22</v>
      </c>
      <c r="N1" s="56"/>
      <c r="O1" s="172" t="e">
        <f>#REF!</f>
        <v>#REF!</v>
      </c>
    </row>
    <row r="2" spans="1:15" s="46" customFormat="1" ht="15" thickBot="1" x14ac:dyDescent="0.35">
      <c r="A2" s="55" t="s">
        <v>21</v>
      </c>
      <c r="B2" s="54" t="s">
        <v>20</v>
      </c>
      <c r="C2" s="49"/>
      <c r="F2" s="47"/>
    </row>
    <row r="3" spans="1:15" s="46" customFormat="1" ht="15.6" thickTop="1" thickBot="1" x14ac:dyDescent="0.35">
      <c r="A3" s="53" t="s">
        <v>19</v>
      </c>
      <c r="B3" s="52">
        <v>2018</v>
      </c>
      <c r="C3" s="49"/>
      <c r="F3" s="47"/>
    </row>
    <row r="4" spans="1:15" s="46" customFormat="1" ht="15.6" thickTop="1" thickBot="1" x14ac:dyDescent="0.35">
      <c r="A4" s="51" t="s">
        <v>18</v>
      </c>
      <c r="B4" s="50">
        <v>81</v>
      </c>
      <c r="C4" s="49"/>
      <c r="D4" s="48" t="s">
        <v>17</v>
      </c>
      <c r="F4" s="47"/>
    </row>
    <row r="5" spans="1:15" s="41" customFormat="1" ht="15" thickTop="1" x14ac:dyDescent="0.3">
      <c r="A5" s="45"/>
      <c r="B5" s="44"/>
      <c r="C5" s="43"/>
      <c r="F5" s="42"/>
    </row>
    <row r="6" spans="1:15" s="36" customFormat="1" ht="49.5" customHeight="1" x14ac:dyDescent="0.25">
      <c r="A6" s="40" t="s">
        <v>16</v>
      </c>
      <c r="B6" s="37" t="s">
        <v>15</v>
      </c>
      <c r="C6" s="37" t="s">
        <v>14</v>
      </c>
      <c r="D6" s="37" t="s">
        <v>13</v>
      </c>
      <c r="E6" s="37" t="s">
        <v>12</v>
      </c>
      <c r="F6" s="37" t="s">
        <v>11</v>
      </c>
      <c r="G6" s="37" t="s">
        <v>10</v>
      </c>
      <c r="H6" s="39" t="s">
        <v>9</v>
      </c>
      <c r="I6" s="37" t="s">
        <v>8</v>
      </c>
      <c r="J6" s="37" t="s">
        <v>7</v>
      </c>
      <c r="K6" s="37" t="s">
        <v>6</v>
      </c>
      <c r="L6" s="37" t="s">
        <v>5</v>
      </c>
      <c r="M6" s="37" t="s">
        <v>4</v>
      </c>
      <c r="N6" s="38" t="s">
        <v>3</v>
      </c>
      <c r="O6" s="37" t="s">
        <v>2</v>
      </c>
    </row>
    <row r="7" spans="1:15" ht="14.4" x14ac:dyDescent="0.3">
      <c r="A7" s="35"/>
      <c r="B7" s="34" t="str">
        <f>'BR A0001'!B3</f>
        <v>Brake System</v>
      </c>
      <c r="C7" s="32" t="str">
        <f>BR_A0001</f>
        <v>BR A0100</v>
      </c>
      <c r="D7" s="32" t="s">
        <v>1</v>
      </c>
      <c r="E7" s="32"/>
      <c r="F7" s="171" t="str">
        <f>'BR A0001'!B4</f>
        <v>Front Brake Rotor</v>
      </c>
      <c r="G7" s="32"/>
      <c r="H7" s="31">
        <f t="shared" ref="H7:H21" si="0">SUM(J7:M7)</f>
        <v>89.742665746687933</v>
      </c>
      <c r="I7" s="30">
        <f>BR_A0001_q</f>
        <v>2</v>
      </c>
      <c r="J7" s="29">
        <f>BR_A0001_m</f>
        <v>84.708956000000001</v>
      </c>
      <c r="K7" s="29">
        <f>BR_A0001_p</f>
        <v>4.42</v>
      </c>
      <c r="L7" s="29">
        <f>BR_A0001_f</f>
        <v>0.61370974668793365</v>
      </c>
      <c r="M7" s="29">
        <v>0</v>
      </c>
      <c r="N7" s="28">
        <f t="shared" ref="N7:N21" si="1">H7*I7</f>
        <v>179.48533149337587</v>
      </c>
      <c r="O7" s="27"/>
    </row>
    <row r="8" spans="1:15" ht="14.4" x14ac:dyDescent="0.3">
      <c r="A8" s="24"/>
      <c r="B8" s="23" t="str">
        <f>'BR A0001'!B3</f>
        <v>Brake System</v>
      </c>
      <c r="C8" s="175" t="str">
        <f>BR_01001</f>
        <v>BR 01001</v>
      </c>
      <c r="D8" s="22" t="s">
        <v>1</v>
      </c>
      <c r="E8" s="22" t="str">
        <f>F7</f>
        <v>Front Brake Rotor</v>
      </c>
      <c r="F8" s="170" t="str">
        <f>'BR 01001'!B5</f>
        <v>Brake Rotor</v>
      </c>
      <c r="G8" s="22"/>
      <c r="H8" s="21">
        <f t="shared" si="0"/>
        <v>3.3906536124999995</v>
      </c>
      <c r="I8" s="25">
        <f>BR_A0001_q*BR_01001_q</f>
        <v>2</v>
      </c>
      <c r="J8" s="20">
        <f>BR_01001_m</f>
        <v>1.4669236125</v>
      </c>
      <c r="K8" s="20">
        <f>BR_01001_p</f>
        <v>1.9237299999999997</v>
      </c>
      <c r="L8" s="20">
        <v>0</v>
      </c>
      <c r="M8" s="20">
        <v>0</v>
      </c>
      <c r="N8" s="19">
        <f t="shared" si="1"/>
        <v>6.7813072249999991</v>
      </c>
      <c r="O8" s="18"/>
    </row>
    <row r="9" spans="1:15" ht="14.4" x14ac:dyDescent="0.3">
      <c r="A9" s="24"/>
      <c r="B9" s="23" t="str">
        <f>'BR A0001'!$B$3</f>
        <v>Brake System</v>
      </c>
      <c r="C9" s="175" t="str">
        <f>BR_01002</f>
        <v>BR 01002</v>
      </c>
      <c r="D9" s="22" t="s">
        <v>1</v>
      </c>
      <c r="E9" s="22" t="str">
        <f>F7</f>
        <v>Front Brake Rotor</v>
      </c>
      <c r="F9" s="169" t="str">
        <f>'BR 01002'!B5</f>
        <v>Brake Shrink Disc</v>
      </c>
      <c r="G9" s="22"/>
      <c r="H9" s="21">
        <f t="shared" si="0"/>
        <v>6.0191946657382926</v>
      </c>
      <c r="I9" s="25">
        <f>BR_A0001_q*BR_01002_q</f>
        <v>2</v>
      </c>
      <c r="J9" s="20">
        <f>BR_01002_m</f>
        <v>1.8871946657382919</v>
      </c>
      <c r="K9" s="20">
        <f>BR_01002_p</f>
        <v>4.1320000000000006</v>
      </c>
      <c r="L9" s="20">
        <v>0</v>
      </c>
      <c r="M9" s="20">
        <v>0</v>
      </c>
      <c r="N9" s="19">
        <f t="shared" si="1"/>
        <v>12.038389331476585</v>
      </c>
      <c r="O9" s="18"/>
    </row>
    <row r="10" spans="1:15" ht="14.4" x14ac:dyDescent="0.3">
      <c r="A10" s="24"/>
      <c r="B10" s="23" t="str">
        <f>'BR A0001'!$B$3</f>
        <v>Brake System</v>
      </c>
      <c r="C10" s="175" t="str">
        <f>BR_01003</f>
        <v>BR 01003</v>
      </c>
      <c r="D10" s="22" t="s">
        <v>1</v>
      </c>
      <c r="E10" s="22" t="str">
        <f>F7</f>
        <v>Front Brake Rotor</v>
      </c>
      <c r="F10" s="169" t="str">
        <f>'BR 01003'!B5</f>
        <v>Brake Bobbin</v>
      </c>
      <c r="G10" s="22"/>
      <c r="H10" s="21">
        <f t="shared" si="0"/>
        <v>0.26854397491666665</v>
      </c>
      <c r="I10" s="25">
        <f>BR_A0001_q*BR_01003_q</f>
        <v>12</v>
      </c>
      <c r="J10" s="20">
        <f>BR_01003_m</f>
        <v>3.6081308249999992E-2</v>
      </c>
      <c r="K10" s="20">
        <f>BR_01003_p</f>
        <v>0.23246266666666668</v>
      </c>
      <c r="L10" s="20">
        <v>0</v>
      </c>
      <c r="M10" s="20">
        <v>0</v>
      </c>
      <c r="N10" s="19">
        <f t="shared" si="1"/>
        <v>3.2225276989999996</v>
      </c>
      <c r="O10" s="18"/>
    </row>
    <row r="11" spans="1:15" ht="14.4" x14ac:dyDescent="0.3">
      <c r="A11" s="24"/>
      <c r="B11" s="23" t="str">
        <f>'BR A0001'!$B$3</f>
        <v>Brake System</v>
      </c>
      <c r="C11" s="175" t="str">
        <f>BR_01004</f>
        <v>BR 01004</v>
      </c>
      <c r="D11" s="22" t="s">
        <v>1</v>
      </c>
      <c r="E11" s="22" t="str">
        <f>F7</f>
        <v>Front Brake Rotor</v>
      </c>
      <c r="F11" s="169" t="str">
        <f>'BR 01004'!B5</f>
        <v>Brake Caliper Spacer</v>
      </c>
      <c r="G11" s="22"/>
      <c r="H11" s="21">
        <f t="shared" si="0"/>
        <v>0.28175735472631153</v>
      </c>
      <c r="I11" s="25">
        <f>BR_A0001_q*BR_01004_q</f>
        <v>4</v>
      </c>
      <c r="J11" s="20">
        <f>BR_01004_m</f>
        <v>4.0090354726311485E-2</v>
      </c>
      <c r="K11" s="20">
        <f>BR_01004_p</f>
        <v>0.24166700000000002</v>
      </c>
      <c r="L11" s="20">
        <v>0</v>
      </c>
      <c r="M11" s="20">
        <v>0</v>
      </c>
      <c r="N11" s="19">
        <f t="shared" si="1"/>
        <v>1.1270294189052461</v>
      </c>
      <c r="O11" s="18"/>
    </row>
    <row r="12" spans="1:15" ht="14.4" x14ac:dyDescent="0.3">
      <c r="A12" s="35"/>
      <c r="B12" s="34" t="str">
        <f>'BR A0002'!B3</f>
        <v>Brake System</v>
      </c>
      <c r="C12" s="32" t="str">
        <f>BR_A0002</f>
        <v>BR A0200</v>
      </c>
      <c r="D12" s="32" t="s">
        <v>1</v>
      </c>
      <c r="E12" s="32"/>
      <c r="F12" s="33" t="str">
        <f>'BR A0002'!B4</f>
        <v>Rear Brake Rotor</v>
      </c>
      <c r="G12" s="32"/>
      <c r="H12" s="31">
        <f t="shared" si="0"/>
        <v>89.742665746687933</v>
      </c>
      <c r="I12" s="30">
        <f>BR_A0002_q</f>
        <v>2</v>
      </c>
      <c r="J12" s="29">
        <f>BR_A0002_m</f>
        <v>84.708956000000001</v>
      </c>
      <c r="K12" s="29">
        <f>BR_A0002_p</f>
        <v>4.42</v>
      </c>
      <c r="L12" s="29">
        <f>BR_A0002_f</f>
        <v>0.61370974668793365</v>
      </c>
      <c r="M12" s="29">
        <v>0</v>
      </c>
      <c r="N12" s="28">
        <f t="shared" si="1"/>
        <v>179.48533149337587</v>
      </c>
      <c r="O12" s="27"/>
    </row>
    <row r="13" spans="1:15" ht="14.4" x14ac:dyDescent="0.3">
      <c r="A13" s="24"/>
      <c r="B13" s="23" t="str">
        <f>'BR 02001'!B3</f>
        <v>Brake System</v>
      </c>
      <c r="C13" s="175" t="str">
        <f>BR_02001</f>
        <v>BR 02001</v>
      </c>
      <c r="D13" s="22" t="s">
        <v>1</v>
      </c>
      <c r="E13" s="22" t="str">
        <f>F12</f>
        <v>Rear Brake Rotor</v>
      </c>
      <c r="F13" s="26" t="str">
        <f>'BR 02001'!B5</f>
        <v>Brake Rotor</v>
      </c>
      <c r="G13" s="22"/>
      <c r="H13" s="21">
        <f t="shared" si="0"/>
        <v>3.3906536124999995</v>
      </c>
      <c r="I13" s="25">
        <f>BR_A0002_q*BR_02001_q</f>
        <v>2</v>
      </c>
      <c r="J13" s="20">
        <f>BR_02001_m</f>
        <v>1.4669236125</v>
      </c>
      <c r="K13" s="20">
        <f>BR_02001_p</f>
        <v>1.9237299999999997</v>
      </c>
      <c r="L13" s="20">
        <v>0</v>
      </c>
      <c r="M13" s="20">
        <v>0</v>
      </c>
      <c r="N13" s="19">
        <f t="shared" si="1"/>
        <v>6.7813072249999991</v>
      </c>
      <c r="O13" s="18"/>
    </row>
    <row r="14" spans="1:15" ht="14.4" x14ac:dyDescent="0.3">
      <c r="A14" s="24"/>
      <c r="B14" s="23" t="str">
        <f>'BR A0002'!$B$3</f>
        <v>Brake System</v>
      </c>
      <c r="C14" s="175" t="str">
        <f>BR_02002</f>
        <v>BR 02002</v>
      </c>
      <c r="D14" s="22" t="s">
        <v>1</v>
      </c>
      <c r="E14" s="22" t="str">
        <f>F12</f>
        <v>Rear Brake Rotor</v>
      </c>
      <c r="F14" s="26" t="str">
        <f>'BR 02002'!B5</f>
        <v>Brake Shrink Disc</v>
      </c>
      <c r="G14" s="22"/>
      <c r="H14" s="21">
        <f t="shared" si="0"/>
        <v>6.1541946657382924</v>
      </c>
      <c r="I14" s="25">
        <f>BR_A0002_q*BR_02002_q</f>
        <v>2</v>
      </c>
      <c r="J14" s="20">
        <f>BR_02002_m</f>
        <v>1.8871946657382919</v>
      </c>
      <c r="K14" s="20">
        <f>BR_02002_p</f>
        <v>4.2670000000000003</v>
      </c>
      <c r="L14" s="20">
        <v>0</v>
      </c>
      <c r="M14" s="20">
        <v>0</v>
      </c>
      <c r="N14" s="19">
        <f t="shared" si="1"/>
        <v>12.308389331476585</v>
      </c>
      <c r="O14" s="18"/>
    </row>
    <row r="15" spans="1:15" ht="14.4" x14ac:dyDescent="0.3">
      <c r="A15" s="24"/>
      <c r="B15" s="23" t="str">
        <f>'BR A0002'!$B$3</f>
        <v>Brake System</v>
      </c>
      <c r="C15" s="175" t="str">
        <f>BR_02003</f>
        <v>BR 02003</v>
      </c>
      <c r="D15" s="22" t="s">
        <v>1</v>
      </c>
      <c r="E15" s="22" t="str">
        <f>F12</f>
        <v>Rear Brake Rotor</v>
      </c>
      <c r="F15" s="26" t="str">
        <f>'BR 02003'!B5</f>
        <v>Brake Bobbin</v>
      </c>
      <c r="G15" s="22"/>
      <c r="H15" s="21">
        <f t="shared" si="0"/>
        <v>0.26854397491666665</v>
      </c>
      <c r="I15" s="25">
        <f>BR_A0002_q*BR_02003_q</f>
        <v>12</v>
      </c>
      <c r="J15" s="20">
        <f>BR_02003_m</f>
        <v>3.6081308249999992E-2</v>
      </c>
      <c r="K15" s="20">
        <f>BR_02003_p</f>
        <v>0.23246266666666668</v>
      </c>
      <c r="L15" s="20">
        <v>0</v>
      </c>
      <c r="M15" s="20">
        <v>0</v>
      </c>
      <c r="N15" s="19">
        <f t="shared" si="1"/>
        <v>3.2225276989999996</v>
      </c>
      <c r="O15" s="18"/>
    </row>
    <row r="16" spans="1:15" ht="14.4" x14ac:dyDescent="0.3">
      <c r="A16" s="24"/>
      <c r="B16" s="23" t="str">
        <f>'BR A0002'!$B$3</f>
        <v>Brake System</v>
      </c>
      <c r="C16" s="175" t="str">
        <f>BR_02004</f>
        <v>BR 02004</v>
      </c>
      <c r="D16" s="22" t="s">
        <v>1</v>
      </c>
      <c r="E16" s="22" t="str">
        <f>F12</f>
        <v>Rear Brake Rotor</v>
      </c>
      <c r="F16" s="26" t="str">
        <f>'BR 02004'!B5</f>
        <v>Brake Caliper Spacer</v>
      </c>
      <c r="G16" s="22"/>
      <c r="H16" s="21">
        <f t="shared" si="0"/>
        <v>0.28175735472631153</v>
      </c>
      <c r="I16" s="25">
        <f>BR_A0002_q*BR_02004_q</f>
        <v>4</v>
      </c>
      <c r="J16" s="20">
        <f>BR_02004_m</f>
        <v>4.0090354726311485E-2</v>
      </c>
      <c r="K16" s="20">
        <f>BR_02004_p</f>
        <v>0.24166700000000002</v>
      </c>
      <c r="L16" s="20">
        <v>0</v>
      </c>
      <c r="M16" s="20">
        <v>0</v>
      </c>
      <c r="N16" s="19">
        <f t="shared" si="1"/>
        <v>1.1270294189052461</v>
      </c>
      <c r="O16" s="18"/>
    </row>
    <row r="17" spans="1:15" ht="14.4" x14ac:dyDescent="0.3">
      <c r="A17" s="35"/>
      <c r="B17" s="34" t="str">
        <f>'BR A0003'!B3</f>
        <v>Brake System</v>
      </c>
      <c r="C17" s="32" t="str">
        <f>BR_A0003</f>
        <v>BR A0300</v>
      </c>
      <c r="D17" s="32" t="s">
        <v>1</v>
      </c>
      <c r="E17" s="32"/>
      <c r="F17" s="33" t="str">
        <f>'BR A0003'!B4</f>
        <v>Brake Circuit Assembly</v>
      </c>
      <c r="G17" s="32"/>
      <c r="H17" s="31">
        <f t="shared" si="0"/>
        <v>699.63424864054775</v>
      </c>
      <c r="I17" s="30">
        <f>BR_A0003_q</f>
        <v>1</v>
      </c>
      <c r="J17" s="29">
        <f>BR_A0003_m</f>
        <v>655.03345956250007</v>
      </c>
      <c r="K17" s="29">
        <f>BR_A0003_p</f>
        <v>40.967599999999997</v>
      </c>
      <c r="L17" s="29">
        <f>BR_A0003_f</f>
        <v>2.9665224113810575</v>
      </c>
      <c r="M17" s="29">
        <f>BR_A0003_t</f>
        <v>0.66666666666666663</v>
      </c>
      <c r="N17" s="28">
        <f t="shared" si="1"/>
        <v>699.63424864054775</v>
      </c>
      <c r="O17" s="27"/>
    </row>
    <row r="18" spans="1:15" ht="14.4" x14ac:dyDescent="0.3">
      <c r="A18" s="24"/>
      <c r="B18" s="23" t="str">
        <f>'BR 03001'!B3</f>
        <v>Brake System</v>
      </c>
      <c r="C18" s="175" t="str">
        <f>BR_03001</f>
        <v>BR 03001</v>
      </c>
      <c r="D18" s="22" t="s">
        <v>1</v>
      </c>
      <c r="E18" s="22" t="str">
        <f>F17</f>
        <v>Brake Circuit Assembly</v>
      </c>
      <c r="F18" s="26" t="str">
        <f>'BR 03001'!B5</f>
        <v>Hydraulic Fluid Reservoir Mount</v>
      </c>
      <c r="G18" s="22"/>
      <c r="H18" s="21">
        <f t="shared" si="0"/>
        <v>1.7156425</v>
      </c>
      <c r="I18" s="25">
        <f>BR_A0003_q*BR_03001_q</f>
        <v>1</v>
      </c>
      <c r="J18" s="20">
        <f>BR_03001_m</f>
        <v>3.1792499999999994E-2</v>
      </c>
      <c r="K18" s="20">
        <f>BR_03001_p</f>
        <v>1.6838500000000001</v>
      </c>
      <c r="L18" s="20">
        <v>0</v>
      </c>
      <c r="M18" s="20">
        <v>0</v>
      </c>
      <c r="N18" s="19">
        <f t="shared" si="1"/>
        <v>1.7156425</v>
      </c>
      <c r="O18" s="18"/>
    </row>
    <row r="19" spans="1:15" ht="14.4" x14ac:dyDescent="0.3">
      <c r="A19" s="24"/>
      <c r="B19" s="23" t="str">
        <f>'BR A0003'!$B$3</f>
        <v>Brake System</v>
      </c>
      <c r="C19" s="175" t="str">
        <f>BR_03002</f>
        <v>BR 03002</v>
      </c>
      <c r="D19" s="22" t="s">
        <v>1</v>
      </c>
      <c r="E19" s="22" t="str">
        <f>F17</f>
        <v>Brake Circuit Assembly</v>
      </c>
      <c r="F19" s="26" t="str">
        <f>'BR 03002'!B5</f>
        <v>Distribution Tee Mount</v>
      </c>
      <c r="G19" s="22"/>
      <c r="H19" s="21">
        <f t="shared" si="0"/>
        <v>1.65790375</v>
      </c>
      <c r="I19" s="25">
        <f>BR_A0003_q*BR_03002_q</f>
        <v>1</v>
      </c>
      <c r="J19" s="20">
        <f>BR_03002_m</f>
        <v>2.6493750000000003E-2</v>
      </c>
      <c r="K19" s="20">
        <f>BR_03002_p</f>
        <v>1.63141</v>
      </c>
      <c r="L19" s="20">
        <v>0</v>
      </c>
      <c r="M19" s="20">
        <v>0</v>
      </c>
      <c r="N19" s="19">
        <f t="shared" si="1"/>
        <v>1.65790375</v>
      </c>
      <c r="O19" s="18"/>
    </row>
    <row r="20" spans="1:15" ht="14.4" x14ac:dyDescent="0.3">
      <c r="A20" s="24"/>
      <c r="B20" s="23" t="str">
        <f>'BR A0003'!$B$3</f>
        <v>Brake System</v>
      </c>
      <c r="C20" s="175" t="str">
        <f>BR_03003</f>
        <v>BR 03003</v>
      </c>
      <c r="D20" s="22" t="s">
        <v>1</v>
      </c>
      <c r="E20" s="22" t="str">
        <f>F17</f>
        <v>Brake Circuit Assembly</v>
      </c>
      <c r="F20" s="26" t="str">
        <f>'BR 03003'!B5</f>
        <v>Internal Spacer</v>
      </c>
      <c r="G20" s="22"/>
      <c r="H20" s="21">
        <f t="shared" si="0"/>
        <v>0.72533112500000008</v>
      </c>
      <c r="I20" s="25">
        <f>BR_A0003_q*BR_03003_q</f>
        <v>2</v>
      </c>
      <c r="J20" s="20">
        <f>BR_03003_m</f>
        <v>2.3491125000000002E-2</v>
      </c>
      <c r="K20" s="20">
        <f>BR_03003_p</f>
        <v>0.70184000000000002</v>
      </c>
      <c r="L20" s="20">
        <v>0</v>
      </c>
      <c r="M20" s="20">
        <v>0</v>
      </c>
      <c r="N20" s="19">
        <f t="shared" si="1"/>
        <v>1.4506622500000002</v>
      </c>
      <c r="O20" s="18"/>
    </row>
    <row r="21" spans="1:15" ht="15" thickBot="1" x14ac:dyDescent="0.35">
      <c r="A21" s="24"/>
      <c r="B21" s="23" t="str">
        <f>'BR A0003'!$B$3</f>
        <v>Brake System</v>
      </c>
      <c r="C21" s="175" t="str">
        <f>BR_03004</f>
        <v>BR 03004</v>
      </c>
      <c r="D21" s="22" t="s">
        <v>1</v>
      </c>
      <c r="E21" s="22" t="str">
        <f>F17</f>
        <v>Brake Circuit Assembly</v>
      </c>
      <c r="F21" s="26" t="str">
        <f>'BR 03004'!B5</f>
        <v>External Spacer</v>
      </c>
      <c r="G21" s="22"/>
      <c r="H21" s="21">
        <f t="shared" si="0"/>
        <v>0.66667381250000002</v>
      </c>
      <c r="I21" s="25">
        <f>BR_A0003_q*BR_03004_q</f>
        <v>2</v>
      </c>
      <c r="J21" s="20">
        <f>BR_03004_m</f>
        <v>5.033812500000001E-3</v>
      </c>
      <c r="K21" s="20">
        <f>BR_03004_p</f>
        <v>0.66164000000000001</v>
      </c>
      <c r="L21" s="20">
        <v>0</v>
      </c>
      <c r="M21" s="20">
        <v>0</v>
      </c>
      <c r="N21" s="19">
        <f t="shared" si="1"/>
        <v>1.333347625</v>
      </c>
      <c r="O21" s="18"/>
    </row>
    <row r="22" spans="1:15" s="10" customFormat="1" ht="15" thickTop="1" thickBot="1" x14ac:dyDescent="0.3">
      <c r="A22" s="17"/>
      <c r="B22" s="16" t="str">
        <f>'BR A0001'!B3</f>
        <v>Brake System</v>
      </c>
      <c r="C22" s="15"/>
      <c r="D22" s="15"/>
      <c r="E22" s="15"/>
      <c r="F22" s="16" t="s">
        <v>0</v>
      </c>
      <c r="G22" s="15"/>
      <c r="H22" s="14"/>
      <c r="I22" s="13"/>
      <c r="J22" s="12">
        <f>SUMPRODUCT($I7:$I21,J7:J21)</f>
        <v>1008.5877670362638</v>
      </c>
      <c r="K22" s="12">
        <f>SUMPRODUCT($I7:$I21,K7:K21)</f>
        <v>96.695179999999993</v>
      </c>
      <c r="L22" s="12">
        <f>SUMPRODUCT($I7:$I21,L7:L21)</f>
        <v>5.4213613981327917</v>
      </c>
      <c r="M22" s="12">
        <f>SUMPRODUCT($I7:$I21,M7:M21)</f>
        <v>0.66666666666666663</v>
      </c>
      <c r="N22" s="12">
        <f>SUM(N7:N21)</f>
        <v>1111.3709751010633</v>
      </c>
      <c r="O22" s="11"/>
    </row>
    <row r="23" spans="1:15" ht="13.8" thickTop="1" x14ac:dyDescent="0.25">
      <c r="A23" s="6"/>
      <c r="B23" s="4"/>
      <c r="C23" s="1"/>
      <c r="D23" s="1"/>
      <c r="E23" s="1"/>
      <c r="F23" s="1"/>
      <c r="G23" s="1"/>
      <c r="H23" s="8"/>
      <c r="I23" s="1"/>
      <c r="J23" s="1"/>
      <c r="K23" s="1"/>
      <c r="L23" s="1"/>
      <c r="M23" s="1"/>
      <c r="N23" s="1"/>
    </row>
    <row r="24" spans="1:15" x14ac:dyDescent="0.25">
      <c r="A24" s="6"/>
      <c r="B24" s="4"/>
      <c r="C24" s="1"/>
      <c r="D24" s="1"/>
      <c r="E24" s="1"/>
      <c r="F24" s="1"/>
      <c r="G24" s="1"/>
      <c r="H24" s="8"/>
      <c r="I24" s="1"/>
      <c r="J24" s="1"/>
      <c r="K24" s="1"/>
      <c r="L24" s="1"/>
      <c r="M24" s="1"/>
      <c r="N24" s="1"/>
    </row>
    <row r="25" spans="1:15" x14ac:dyDescent="0.25">
      <c r="A25" s="6"/>
      <c r="B25" s="6"/>
      <c r="D25" s="1"/>
      <c r="E25" s="1"/>
      <c r="G25" s="1"/>
      <c r="H25" s="1"/>
      <c r="I25" s="8"/>
      <c r="J25" s="8"/>
      <c r="K25" s="8"/>
      <c r="L25" s="8"/>
      <c r="M25" s="8"/>
      <c r="N25" s="1"/>
    </row>
    <row r="26" spans="1:15" x14ac:dyDescent="0.25">
      <c r="A26" s="6"/>
      <c r="B26" s="6"/>
      <c r="D26" s="1"/>
      <c r="E26" s="1"/>
      <c r="G26" s="1"/>
      <c r="H26" s="1"/>
      <c r="I26" s="8"/>
      <c r="J26" s="8"/>
      <c r="K26" s="8"/>
      <c r="L26" s="8"/>
      <c r="M26" s="8"/>
      <c r="N26" s="9"/>
    </row>
    <row r="27" spans="1:15" x14ac:dyDescent="0.25">
      <c r="A27" s="6"/>
      <c r="B27" s="6"/>
      <c r="D27" s="1"/>
      <c r="E27" s="1"/>
      <c r="G27" s="1"/>
      <c r="H27" s="1"/>
      <c r="I27" s="8"/>
      <c r="J27" s="8"/>
      <c r="K27" s="8"/>
      <c r="L27" s="8"/>
      <c r="M27" s="8"/>
      <c r="N27" s="1"/>
    </row>
    <row r="28" spans="1:15" x14ac:dyDescent="0.25">
      <c r="A28" s="6"/>
      <c r="B28" s="6"/>
      <c r="D28" s="1"/>
      <c r="E28" s="1"/>
      <c r="G28" s="1"/>
      <c r="H28" s="1"/>
      <c r="I28" s="8"/>
      <c r="J28" s="8"/>
      <c r="K28" s="8"/>
      <c r="L28" s="8"/>
      <c r="M28" s="8"/>
      <c r="N28" s="9"/>
    </row>
    <row r="29" spans="1:15" x14ac:dyDescent="0.25">
      <c r="A29" s="6"/>
      <c r="B29" s="6"/>
      <c r="D29" s="1"/>
      <c r="E29" s="1"/>
      <c r="G29" s="1"/>
      <c r="H29" s="1"/>
      <c r="I29" s="8"/>
      <c r="J29" s="8"/>
      <c r="K29" s="8"/>
      <c r="L29" s="8"/>
      <c r="M29" s="8"/>
      <c r="N29" s="1"/>
    </row>
    <row r="30" spans="1:15" x14ac:dyDescent="0.25">
      <c r="A30" s="6"/>
      <c r="B30" s="6"/>
      <c r="D30" s="1"/>
      <c r="E30" s="1"/>
      <c r="G30" s="1"/>
      <c r="H30" s="1"/>
      <c r="I30" s="8"/>
      <c r="J30" s="8"/>
      <c r="K30" s="8"/>
      <c r="L30" s="8"/>
      <c r="M30" s="8"/>
      <c r="N30" s="1"/>
    </row>
    <row r="31" spans="1:15" x14ac:dyDescent="0.25">
      <c r="A31" s="6"/>
      <c r="B31" s="6"/>
      <c r="D31" s="1"/>
      <c r="E31" s="1"/>
      <c r="G31" s="1"/>
      <c r="H31" s="1"/>
      <c r="I31" s="8"/>
      <c r="J31" s="8"/>
      <c r="K31" s="8"/>
      <c r="L31" s="8"/>
      <c r="M31" s="8"/>
      <c r="N31" s="1"/>
    </row>
    <row r="32" spans="1:15" x14ac:dyDescent="0.25">
      <c r="A32" s="6"/>
      <c r="B32" s="6"/>
      <c r="D32" s="1"/>
      <c r="E32" s="1"/>
      <c r="G32" s="1"/>
      <c r="H32" s="1"/>
      <c r="I32" s="8"/>
      <c r="J32" s="8"/>
      <c r="K32" s="8"/>
      <c r="L32" s="8"/>
      <c r="M32" s="8"/>
      <c r="N32" s="1"/>
    </row>
    <row r="33" spans="1:14" x14ac:dyDescent="0.25">
      <c r="A33" s="6"/>
      <c r="B33" s="6"/>
      <c r="D33" s="1"/>
      <c r="E33" s="1"/>
      <c r="G33" s="1"/>
      <c r="H33" s="1"/>
      <c r="I33" s="8"/>
      <c r="J33" s="8"/>
      <c r="K33" s="8"/>
      <c r="L33" s="8"/>
      <c r="M33" s="8"/>
      <c r="N33" s="1"/>
    </row>
    <row r="34" spans="1:14" x14ac:dyDescent="0.25">
      <c r="A34" s="6"/>
      <c r="B34" s="6"/>
      <c r="D34" s="1"/>
      <c r="E34" s="1"/>
      <c r="G34" s="1"/>
      <c r="H34" s="1"/>
      <c r="I34" s="8"/>
      <c r="J34" s="8"/>
      <c r="K34" s="8"/>
      <c r="L34" s="8"/>
      <c r="M34" s="8"/>
      <c r="N34" s="1"/>
    </row>
    <row r="35" spans="1:14" x14ac:dyDescent="0.25">
      <c r="A35" s="6"/>
      <c r="B35" s="6"/>
      <c r="D35" s="1"/>
      <c r="E35" s="1"/>
      <c r="G35" s="1"/>
      <c r="H35" s="1"/>
      <c r="I35" s="8"/>
      <c r="J35" s="8"/>
      <c r="K35" s="8"/>
      <c r="L35" s="8"/>
      <c r="M35" s="8"/>
      <c r="N35" s="1"/>
    </row>
    <row r="36" spans="1:14" x14ac:dyDescent="0.25">
      <c r="A36" s="6"/>
      <c r="B36" s="6"/>
      <c r="D36" s="1"/>
      <c r="E36" s="1"/>
      <c r="G36" s="1"/>
      <c r="H36" s="1"/>
      <c r="I36" s="8"/>
      <c r="J36" s="8"/>
      <c r="K36" s="8"/>
      <c r="L36" s="8"/>
      <c r="M36" s="8"/>
      <c r="N36" s="1"/>
    </row>
    <row r="37" spans="1:14" x14ac:dyDescent="0.25">
      <c r="A37" s="6"/>
      <c r="B37" s="6"/>
      <c r="D37" s="1"/>
      <c r="E37" s="1"/>
      <c r="G37" s="1"/>
      <c r="H37" s="1"/>
      <c r="I37" s="8"/>
      <c r="J37" s="8"/>
      <c r="K37" s="8"/>
      <c r="L37" s="8"/>
      <c r="M37" s="8"/>
      <c r="N37" s="1"/>
    </row>
    <row r="38" spans="1:14" x14ac:dyDescent="0.25">
      <c r="A38" s="6"/>
      <c r="B38" s="6"/>
      <c r="D38" s="1"/>
      <c r="E38" s="1"/>
      <c r="G38" s="1"/>
      <c r="H38" s="1"/>
      <c r="I38" s="8"/>
      <c r="J38" s="8"/>
      <c r="K38" s="8"/>
      <c r="L38" s="8"/>
      <c r="M38" s="8"/>
      <c r="N38" s="1"/>
    </row>
    <row r="39" spans="1:14" x14ac:dyDescent="0.25">
      <c r="A39" s="6"/>
      <c r="B39" s="6"/>
      <c r="D39" s="1"/>
      <c r="E39" s="1"/>
      <c r="G39" s="1"/>
      <c r="H39" s="1"/>
      <c r="I39" s="8"/>
      <c r="J39" s="8"/>
      <c r="K39" s="8"/>
      <c r="L39" s="8"/>
      <c r="M39" s="8"/>
      <c r="N39" s="1"/>
    </row>
    <row r="40" spans="1:14" x14ac:dyDescent="0.25">
      <c r="A40" s="6"/>
      <c r="B40" s="6"/>
      <c r="D40" s="1"/>
      <c r="E40" s="1"/>
      <c r="G40" s="1"/>
      <c r="H40" s="1"/>
      <c r="I40" s="8"/>
      <c r="J40" s="8"/>
      <c r="K40" s="8"/>
      <c r="L40" s="8"/>
      <c r="M40" s="8"/>
      <c r="N40" s="1"/>
    </row>
    <row r="41" spans="1:14" x14ac:dyDescent="0.25">
      <c r="A41" s="6"/>
      <c r="B41" s="6"/>
      <c r="D41" s="1"/>
      <c r="E41" s="1"/>
      <c r="G41" s="1"/>
      <c r="H41" s="1"/>
      <c r="I41" s="8"/>
      <c r="J41" s="8"/>
      <c r="K41" s="8"/>
      <c r="L41" s="8"/>
      <c r="M41" s="8"/>
      <c r="N41" s="1"/>
    </row>
    <row r="42" spans="1:14" x14ac:dyDescent="0.25">
      <c r="A42" s="6"/>
      <c r="B42" s="6"/>
      <c r="D42" s="1"/>
      <c r="E42" s="1"/>
      <c r="G42" s="1"/>
      <c r="H42" s="1"/>
      <c r="I42" s="8"/>
      <c r="J42" s="8"/>
      <c r="K42" s="8"/>
      <c r="L42" s="8"/>
      <c r="M42" s="8"/>
      <c r="N42" s="1"/>
    </row>
    <row r="43" spans="1:14" x14ac:dyDescent="0.25">
      <c r="A43" s="6"/>
      <c r="B43" s="6"/>
      <c r="D43" s="1"/>
      <c r="E43" s="1"/>
      <c r="G43" s="1"/>
      <c r="H43" s="1"/>
      <c r="I43" s="8"/>
      <c r="J43" s="8"/>
      <c r="K43" s="8"/>
      <c r="L43" s="8"/>
      <c r="M43" s="8"/>
      <c r="N43" s="1"/>
    </row>
    <row r="44" spans="1:14" x14ac:dyDescent="0.25">
      <c r="A44" s="6"/>
      <c r="B44" s="6"/>
      <c r="D44" s="1"/>
      <c r="E44" s="1"/>
      <c r="G44" s="1"/>
      <c r="H44" s="1"/>
      <c r="I44" s="8"/>
      <c r="J44" s="8"/>
      <c r="K44" s="8"/>
      <c r="L44" s="8"/>
      <c r="M44" s="8"/>
      <c r="N44" s="1"/>
    </row>
    <row r="45" spans="1:14" x14ac:dyDescent="0.25">
      <c r="A45" s="6"/>
      <c r="B45" s="6"/>
      <c r="D45" s="1"/>
      <c r="E45" s="1"/>
      <c r="G45" s="1"/>
      <c r="H45" s="1"/>
      <c r="I45" s="8"/>
      <c r="J45" s="8"/>
      <c r="K45" s="8"/>
      <c r="L45" s="8"/>
      <c r="M45" s="8"/>
      <c r="N45" s="1"/>
    </row>
    <row r="46" spans="1:14" x14ac:dyDescent="0.25">
      <c r="A46" s="6"/>
      <c r="B46" s="6"/>
      <c r="D46" s="1"/>
      <c r="E46" s="1"/>
      <c r="G46" s="1"/>
      <c r="H46" s="1"/>
      <c r="I46" s="8"/>
      <c r="J46" s="8"/>
      <c r="K46" s="8"/>
      <c r="L46" s="8"/>
      <c r="M46" s="8"/>
      <c r="N46" s="1"/>
    </row>
    <row r="47" spans="1:14" x14ac:dyDescent="0.25">
      <c r="A47" s="6"/>
      <c r="B47" s="6"/>
      <c r="D47" s="1"/>
      <c r="E47" s="1"/>
      <c r="G47" s="1"/>
      <c r="H47" s="1"/>
      <c r="I47" s="8"/>
      <c r="J47" s="8"/>
      <c r="K47" s="8"/>
      <c r="L47" s="8"/>
      <c r="M47" s="8"/>
      <c r="N47" s="1"/>
    </row>
    <row r="48" spans="1:14" x14ac:dyDescent="0.25">
      <c r="A48" s="6"/>
      <c r="B48" s="6"/>
      <c r="D48" s="1"/>
      <c r="E48" s="1"/>
      <c r="G48" s="1"/>
      <c r="H48" s="1"/>
      <c r="I48" s="8"/>
      <c r="J48" s="8"/>
      <c r="K48" s="8"/>
      <c r="L48" s="8"/>
      <c r="M48" s="8"/>
      <c r="N48" s="1"/>
    </row>
    <row r="49" spans="1:14" x14ac:dyDescent="0.25">
      <c r="A49" s="6"/>
      <c r="B49" s="6"/>
      <c r="D49" s="1"/>
      <c r="E49" s="1"/>
      <c r="G49" s="1"/>
      <c r="H49" s="1"/>
      <c r="I49" s="8"/>
      <c r="J49" s="8"/>
      <c r="K49" s="8"/>
      <c r="L49" s="8"/>
      <c r="M49" s="8"/>
      <c r="N49" s="1"/>
    </row>
    <row r="50" spans="1:14" x14ac:dyDescent="0.25">
      <c r="A50" s="6"/>
      <c r="B50" s="6"/>
      <c r="D50" s="1"/>
      <c r="E50" s="1"/>
      <c r="G50" s="1"/>
      <c r="H50" s="1"/>
      <c r="I50" s="8"/>
      <c r="J50" s="8"/>
      <c r="K50" s="8"/>
      <c r="L50" s="8"/>
      <c r="M50" s="8"/>
      <c r="N50" s="1"/>
    </row>
    <row r="51" spans="1:14" x14ac:dyDescent="0.25">
      <c r="A51" s="6"/>
      <c r="B51" s="6"/>
      <c r="D51" s="1"/>
      <c r="E51" s="1"/>
      <c r="G51" s="1"/>
      <c r="H51" s="1"/>
      <c r="I51" s="8"/>
      <c r="J51" s="8"/>
      <c r="K51" s="8"/>
      <c r="L51" s="8"/>
      <c r="M51" s="8"/>
      <c r="N51" s="1"/>
    </row>
    <row r="52" spans="1:14" x14ac:dyDescent="0.25">
      <c r="A52" s="6"/>
      <c r="B52" s="6"/>
      <c r="D52" s="1"/>
      <c r="E52" s="1"/>
      <c r="G52" s="1"/>
      <c r="H52" s="1"/>
      <c r="I52" s="8"/>
      <c r="J52" s="8"/>
      <c r="K52" s="8"/>
      <c r="L52" s="8"/>
      <c r="M52" s="8"/>
      <c r="N52" s="1"/>
    </row>
    <row r="53" spans="1:14" s="2" customFormat="1" x14ac:dyDescent="0.25">
      <c r="A53" s="7"/>
      <c r="B53" s="6"/>
      <c r="F53" s="4"/>
      <c r="I53" s="3"/>
      <c r="J53" s="3"/>
      <c r="K53" s="3"/>
      <c r="L53" s="3"/>
      <c r="M53" s="3"/>
    </row>
    <row r="54" spans="1:14" s="2" customFormat="1" x14ac:dyDescent="0.25">
      <c r="A54" s="7"/>
      <c r="B54" s="6"/>
      <c r="F54" s="4"/>
      <c r="I54" s="3"/>
      <c r="J54" s="3"/>
      <c r="K54" s="3"/>
      <c r="L54" s="3"/>
      <c r="M54" s="3"/>
    </row>
    <row r="55" spans="1:14" s="2" customFormat="1" x14ac:dyDescent="0.25">
      <c r="A55" s="7"/>
      <c r="B55" s="6"/>
      <c r="F55" s="4"/>
      <c r="I55" s="3"/>
      <c r="J55" s="3"/>
      <c r="K55" s="3"/>
      <c r="L55" s="3"/>
      <c r="M55" s="3"/>
    </row>
    <row r="56" spans="1:14" s="2" customFormat="1" x14ac:dyDescent="0.25">
      <c r="A56" s="7"/>
      <c r="B56" s="6"/>
      <c r="F56" s="4"/>
      <c r="I56" s="3"/>
      <c r="J56" s="3"/>
      <c r="K56" s="3"/>
      <c r="L56" s="3"/>
      <c r="M56" s="3"/>
    </row>
    <row r="57" spans="1:14" s="2" customFormat="1" x14ac:dyDescent="0.25">
      <c r="A57" s="7"/>
      <c r="B57" s="6"/>
      <c r="F57" s="4"/>
      <c r="I57" s="3"/>
      <c r="J57" s="3"/>
      <c r="K57" s="3"/>
      <c r="L57" s="3"/>
      <c r="M57" s="3"/>
    </row>
    <row r="58" spans="1:14" s="2" customFormat="1" x14ac:dyDescent="0.25">
      <c r="A58" s="7"/>
      <c r="B58" s="6"/>
      <c r="F58" s="4"/>
      <c r="I58" s="3"/>
      <c r="J58" s="3"/>
      <c r="K58" s="3"/>
      <c r="L58" s="3"/>
      <c r="M58" s="3"/>
    </row>
    <row r="59" spans="1:14" s="2" customFormat="1" x14ac:dyDescent="0.25">
      <c r="A59" s="7"/>
      <c r="B59" s="6"/>
      <c r="F59" s="4"/>
      <c r="I59" s="3"/>
      <c r="J59" s="3"/>
      <c r="K59" s="3"/>
      <c r="L59" s="3"/>
      <c r="M59" s="3"/>
    </row>
    <row r="60" spans="1:14" s="2" customFormat="1" x14ac:dyDescent="0.25">
      <c r="A60" s="7"/>
      <c r="B60" s="6"/>
      <c r="F60" s="4"/>
      <c r="I60" s="3"/>
      <c r="J60" s="3"/>
      <c r="K60" s="3"/>
      <c r="L60" s="3"/>
      <c r="M60" s="3"/>
    </row>
    <row r="61" spans="1:14" s="2" customFormat="1" x14ac:dyDescent="0.25">
      <c r="A61" s="7"/>
      <c r="B61" s="6"/>
      <c r="F61" s="4"/>
      <c r="I61" s="3"/>
      <c r="J61" s="3"/>
      <c r="K61" s="3"/>
      <c r="L61" s="3"/>
      <c r="M61" s="3"/>
    </row>
    <row r="62" spans="1:14" s="2" customFormat="1" x14ac:dyDescent="0.25">
      <c r="A62" s="7"/>
      <c r="B62" s="6"/>
      <c r="F62" s="4"/>
      <c r="I62" s="3"/>
      <c r="J62" s="3"/>
      <c r="K62" s="3"/>
      <c r="L62" s="3"/>
      <c r="M62" s="3"/>
    </row>
    <row r="63" spans="1:14" s="5" customFormat="1" x14ac:dyDescent="0.25">
      <c r="A63" s="7"/>
      <c r="B63" s="6"/>
      <c r="C63" s="2"/>
      <c r="D63" s="2"/>
      <c r="E63" s="2"/>
      <c r="F63" s="4"/>
      <c r="G63" s="2"/>
      <c r="H63" s="2"/>
      <c r="I63" s="3"/>
      <c r="J63" s="3"/>
      <c r="K63" s="3"/>
      <c r="L63" s="3"/>
      <c r="M63" s="3"/>
      <c r="N63" s="2"/>
    </row>
    <row r="64" spans="1:14" s="5" customFormat="1" x14ac:dyDescent="0.25">
      <c r="A64" s="7"/>
      <c r="B64" s="6"/>
      <c r="C64" s="2"/>
      <c r="D64" s="2"/>
      <c r="E64" s="2"/>
      <c r="F64" s="4"/>
      <c r="G64" s="2"/>
      <c r="H64" s="2"/>
      <c r="I64" s="3"/>
      <c r="J64" s="3"/>
      <c r="K64" s="3"/>
      <c r="L64" s="3"/>
      <c r="M64" s="3"/>
      <c r="N64" s="2"/>
    </row>
    <row r="65" spans="1:14" s="5" customFormat="1" x14ac:dyDescent="0.25">
      <c r="A65" s="7"/>
      <c r="B65" s="6"/>
      <c r="C65" s="2"/>
      <c r="D65" s="2"/>
      <c r="E65" s="2"/>
      <c r="F65" s="4"/>
      <c r="G65" s="2"/>
      <c r="H65" s="2"/>
      <c r="I65" s="3"/>
      <c r="J65" s="3"/>
      <c r="K65" s="3"/>
      <c r="L65" s="3"/>
      <c r="M65" s="3"/>
      <c r="N65" s="2"/>
    </row>
    <row r="66" spans="1:14" s="5" customFormat="1" x14ac:dyDescent="0.25">
      <c r="A66" s="7"/>
      <c r="B66" s="6"/>
      <c r="C66" s="2"/>
      <c r="D66" s="2"/>
      <c r="E66" s="2"/>
      <c r="F66" s="4"/>
      <c r="G66" s="2"/>
      <c r="H66" s="2"/>
      <c r="I66" s="3"/>
      <c r="J66" s="3"/>
      <c r="K66" s="3"/>
      <c r="L66" s="3"/>
      <c r="M66" s="3"/>
      <c r="N66" s="2"/>
    </row>
    <row r="67" spans="1:14" s="5" customFormat="1" x14ac:dyDescent="0.25">
      <c r="A67" s="7"/>
      <c r="B67" s="6"/>
      <c r="C67" s="2"/>
      <c r="D67" s="2"/>
      <c r="E67" s="2"/>
      <c r="F67" s="4"/>
      <c r="G67" s="2"/>
      <c r="H67" s="2"/>
      <c r="I67" s="3"/>
      <c r="J67" s="3"/>
      <c r="K67" s="3"/>
      <c r="L67" s="3"/>
      <c r="M67" s="3"/>
      <c r="N67" s="2"/>
    </row>
    <row r="68" spans="1:14" s="5" customFormat="1" x14ac:dyDescent="0.25">
      <c r="A68" s="7"/>
      <c r="B68" s="6"/>
      <c r="C68" s="2"/>
      <c r="D68" s="2"/>
      <c r="E68" s="2"/>
      <c r="F68" s="4"/>
      <c r="G68" s="2"/>
      <c r="H68" s="2"/>
      <c r="I68" s="3"/>
      <c r="J68" s="3"/>
      <c r="K68" s="3"/>
      <c r="L68" s="3"/>
      <c r="M68" s="3"/>
      <c r="N68" s="2"/>
    </row>
    <row r="69" spans="1:14" s="5" customFormat="1" x14ac:dyDescent="0.25">
      <c r="A69" s="7"/>
      <c r="B69" s="6"/>
      <c r="C69" s="2"/>
      <c r="D69" s="2"/>
      <c r="E69" s="2"/>
      <c r="F69" s="4"/>
      <c r="G69" s="2"/>
      <c r="H69" s="2"/>
      <c r="I69" s="3"/>
      <c r="J69" s="3"/>
      <c r="K69" s="3"/>
      <c r="L69" s="3"/>
      <c r="M69" s="3"/>
      <c r="N69" s="2"/>
    </row>
    <row r="70" spans="1:14" s="5" customFormat="1" x14ac:dyDescent="0.25">
      <c r="A70" s="7"/>
      <c r="B70" s="6"/>
      <c r="C70" s="2"/>
      <c r="D70" s="2"/>
      <c r="E70" s="2"/>
      <c r="F70" s="4"/>
      <c r="G70" s="2"/>
      <c r="H70" s="2"/>
      <c r="I70" s="3"/>
      <c r="J70" s="3"/>
      <c r="K70" s="3"/>
      <c r="L70" s="3"/>
      <c r="M70" s="3"/>
      <c r="N70" s="2"/>
    </row>
    <row r="71" spans="1:14" s="5" customFormat="1" x14ac:dyDescent="0.25">
      <c r="A71" s="7"/>
      <c r="B71" s="6"/>
      <c r="C71" s="2"/>
      <c r="D71" s="2"/>
      <c r="E71" s="2"/>
      <c r="F71" s="4"/>
      <c r="G71" s="2"/>
      <c r="H71" s="2"/>
      <c r="I71" s="3"/>
      <c r="J71" s="3"/>
      <c r="K71" s="3"/>
      <c r="L71" s="3"/>
      <c r="M71" s="3"/>
      <c r="N71" s="2"/>
    </row>
    <row r="72" spans="1:14" s="5" customFormat="1" x14ac:dyDescent="0.25">
      <c r="A72" s="7"/>
      <c r="B72" s="6"/>
      <c r="C72" s="2"/>
      <c r="D72" s="2"/>
      <c r="E72" s="2"/>
      <c r="F72" s="4"/>
      <c r="G72" s="2"/>
      <c r="H72" s="2"/>
      <c r="I72" s="3"/>
      <c r="J72" s="3"/>
      <c r="K72" s="3"/>
      <c r="L72" s="3"/>
      <c r="M72" s="3"/>
      <c r="N72" s="2"/>
    </row>
    <row r="73" spans="1:14" s="5" customFormat="1" x14ac:dyDescent="0.25">
      <c r="A73" s="7"/>
      <c r="B73" s="6"/>
      <c r="C73" s="2"/>
      <c r="D73" s="2"/>
      <c r="E73" s="2"/>
      <c r="F73" s="4"/>
      <c r="G73" s="2"/>
      <c r="H73" s="2"/>
      <c r="I73" s="3"/>
      <c r="J73" s="3"/>
      <c r="K73" s="3"/>
      <c r="L73" s="3"/>
      <c r="M73" s="3"/>
      <c r="N73" s="2"/>
    </row>
    <row r="74" spans="1:14" s="5" customFormat="1" x14ac:dyDescent="0.25">
      <c r="A74" s="7"/>
      <c r="B74" s="6"/>
      <c r="C74" s="2"/>
      <c r="D74" s="2"/>
      <c r="E74" s="2"/>
      <c r="F74" s="4"/>
      <c r="G74" s="2"/>
      <c r="H74" s="2"/>
      <c r="I74" s="3"/>
      <c r="J74" s="3"/>
      <c r="K74" s="3"/>
      <c r="L74" s="3"/>
      <c r="M74" s="3"/>
      <c r="N74" s="2"/>
    </row>
    <row r="75" spans="1:14" s="5" customFormat="1" x14ac:dyDescent="0.25">
      <c r="A75" s="7"/>
      <c r="B75" s="6"/>
      <c r="C75" s="2"/>
      <c r="D75" s="2"/>
      <c r="E75" s="2"/>
      <c r="F75" s="4"/>
      <c r="G75" s="2"/>
      <c r="H75" s="2"/>
      <c r="I75" s="3"/>
      <c r="J75" s="3"/>
      <c r="K75" s="3"/>
      <c r="L75" s="3"/>
      <c r="M75" s="3"/>
      <c r="N75" s="2"/>
    </row>
    <row r="76" spans="1:14" s="5" customFormat="1" x14ac:dyDescent="0.25">
      <c r="A76" s="7"/>
      <c r="B76" s="6"/>
      <c r="C76" s="2"/>
      <c r="D76" s="2"/>
      <c r="E76" s="2"/>
      <c r="F76" s="4"/>
      <c r="G76" s="2"/>
      <c r="H76" s="2"/>
      <c r="I76" s="3"/>
      <c r="J76" s="3"/>
      <c r="K76" s="3"/>
      <c r="L76" s="3"/>
      <c r="M76" s="3"/>
      <c r="N76" s="2"/>
    </row>
    <row r="77" spans="1:14" s="5" customFormat="1" x14ac:dyDescent="0.25">
      <c r="A77" s="7"/>
      <c r="B77" s="6"/>
      <c r="C77" s="2"/>
      <c r="D77" s="2"/>
      <c r="E77" s="2"/>
      <c r="F77" s="4"/>
      <c r="G77" s="2"/>
      <c r="H77" s="2"/>
      <c r="I77" s="3"/>
      <c r="J77" s="3"/>
      <c r="K77" s="3"/>
      <c r="L77" s="3"/>
      <c r="M77" s="3"/>
      <c r="N77" s="2"/>
    </row>
    <row r="78" spans="1:14" s="5" customFormat="1" x14ac:dyDescent="0.25">
      <c r="A78" s="7"/>
      <c r="B78" s="6"/>
      <c r="C78" s="2"/>
      <c r="D78" s="2"/>
      <c r="E78" s="2"/>
      <c r="F78" s="4"/>
      <c r="G78" s="2"/>
      <c r="H78" s="2"/>
      <c r="I78" s="3"/>
      <c r="J78" s="3"/>
      <c r="K78" s="3"/>
      <c r="L78" s="3"/>
      <c r="M78" s="3"/>
      <c r="N78" s="2"/>
    </row>
    <row r="79" spans="1:14" s="5" customFormat="1" x14ac:dyDescent="0.25">
      <c r="A79" s="7"/>
      <c r="B79" s="6"/>
      <c r="C79" s="2"/>
      <c r="D79" s="2"/>
      <c r="E79" s="2"/>
      <c r="F79" s="4"/>
      <c r="G79" s="2"/>
      <c r="H79" s="2"/>
      <c r="I79" s="3"/>
      <c r="J79" s="3"/>
      <c r="K79" s="3"/>
      <c r="L79" s="3"/>
      <c r="M79" s="3"/>
      <c r="N79" s="2"/>
    </row>
    <row r="80" spans="1:14" s="5" customFormat="1" x14ac:dyDescent="0.25">
      <c r="A80" s="7"/>
      <c r="B80" s="6"/>
      <c r="C80" s="2"/>
      <c r="D80" s="2"/>
      <c r="E80" s="2"/>
      <c r="F80" s="4"/>
      <c r="G80" s="2"/>
      <c r="H80" s="2"/>
      <c r="I80" s="3"/>
      <c r="J80" s="3"/>
      <c r="K80" s="3"/>
      <c r="L80" s="3"/>
      <c r="M80" s="3"/>
      <c r="N80" s="2"/>
    </row>
    <row r="81" spans="1:14" s="5" customFormat="1" x14ac:dyDescent="0.25">
      <c r="A81" s="7"/>
      <c r="B81" s="6"/>
      <c r="C81" s="2"/>
      <c r="D81" s="2"/>
      <c r="E81" s="2"/>
      <c r="F81" s="4"/>
      <c r="G81" s="2"/>
      <c r="H81" s="2"/>
      <c r="I81" s="3"/>
      <c r="J81" s="3"/>
      <c r="K81" s="3"/>
      <c r="L81" s="3"/>
      <c r="M81" s="3"/>
      <c r="N81" s="2"/>
    </row>
    <row r="82" spans="1:14" s="5" customFormat="1" x14ac:dyDescent="0.25">
      <c r="A82" s="7"/>
      <c r="B82" s="6"/>
      <c r="C82" s="2"/>
      <c r="D82" s="2"/>
      <c r="E82" s="2"/>
      <c r="F82" s="4"/>
      <c r="G82" s="2"/>
      <c r="H82" s="2"/>
      <c r="I82" s="3"/>
      <c r="J82" s="3"/>
      <c r="K82" s="3"/>
      <c r="L82" s="3"/>
      <c r="M82" s="3"/>
      <c r="N82" s="2"/>
    </row>
    <row r="83" spans="1:14" s="5" customFormat="1" x14ac:dyDescent="0.25">
      <c r="A83" s="7"/>
      <c r="B83" s="6"/>
      <c r="C83" s="2"/>
      <c r="D83" s="2"/>
      <c r="E83" s="2"/>
      <c r="F83" s="4"/>
      <c r="G83" s="2"/>
      <c r="H83" s="2"/>
      <c r="I83" s="3"/>
      <c r="J83" s="3"/>
      <c r="K83" s="3"/>
      <c r="L83" s="3"/>
      <c r="M83" s="3"/>
      <c r="N83" s="2"/>
    </row>
    <row r="84" spans="1:14" s="5" customFormat="1" x14ac:dyDescent="0.25">
      <c r="A84" s="7"/>
      <c r="B84" s="6"/>
      <c r="C84" s="2"/>
      <c r="D84" s="2"/>
      <c r="E84" s="2"/>
      <c r="F84" s="4"/>
      <c r="G84" s="2"/>
      <c r="H84" s="2"/>
      <c r="I84" s="3"/>
      <c r="J84" s="3"/>
      <c r="K84" s="3"/>
      <c r="L84" s="3"/>
      <c r="M84" s="3"/>
      <c r="N84" s="2"/>
    </row>
    <row r="85" spans="1:14" s="5" customFormat="1" x14ac:dyDescent="0.25">
      <c r="A85" s="7"/>
      <c r="B85" s="6"/>
      <c r="C85" s="2"/>
      <c r="D85" s="2"/>
      <c r="E85" s="2"/>
      <c r="F85" s="4"/>
      <c r="G85" s="2"/>
      <c r="H85" s="2"/>
      <c r="I85" s="3"/>
      <c r="J85" s="3"/>
      <c r="K85" s="3"/>
      <c r="L85" s="3"/>
      <c r="M85" s="3"/>
      <c r="N85" s="2"/>
    </row>
    <row r="86" spans="1:14" s="5" customFormat="1" x14ac:dyDescent="0.25">
      <c r="A86" s="7"/>
      <c r="B86" s="6"/>
      <c r="C86" s="2"/>
      <c r="D86" s="2"/>
      <c r="E86" s="2"/>
      <c r="F86" s="4"/>
      <c r="G86" s="2"/>
      <c r="H86" s="2"/>
      <c r="I86" s="3"/>
      <c r="J86" s="3"/>
      <c r="K86" s="3"/>
      <c r="L86" s="3"/>
      <c r="M86" s="3"/>
      <c r="N86" s="2"/>
    </row>
    <row r="87" spans="1:14" s="5" customFormat="1" x14ac:dyDescent="0.25">
      <c r="A87" s="7"/>
      <c r="B87" s="6"/>
      <c r="C87" s="2"/>
      <c r="D87" s="2"/>
      <c r="E87" s="2"/>
      <c r="F87" s="4"/>
      <c r="G87" s="2"/>
      <c r="H87" s="2"/>
      <c r="I87" s="3"/>
      <c r="J87" s="3"/>
      <c r="K87" s="3"/>
      <c r="L87" s="3"/>
      <c r="M87" s="3"/>
      <c r="N87" s="2"/>
    </row>
    <row r="88" spans="1:14" s="5" customFormat="1" x14ac:dyDescent="0.25">
      <c r="A88" s="7"/>
      <c r="B88" s="6"/>
      <c r="C88" s="2"/>
      <c r="D88" s="2"/>
      <c r="E88" s="2"/>
      <c r="F88" s="4"/>
      <c r="G88" s="2"/>
      <c r="H88" s="2"/>
      <c r="I88" s="3"/>
      <c r="J88" s="3"/>
      <c r="K88" s="3"/>
      <c r="L88" s="3"/>
      <c r="M88" s="3"/>
      <c r="N88" s="2"/>
    </row>
    <row r="89" spans="1:14" s="5" customFormat="1" x14ac:dyDescent="0.25">
      <c r="A89" s="7"/>
      <c r="B89" s="6"/>
      <c r="C89" s="2"/>
      <c r="D89" s="2"/>
      <c r="E89" s="2"/>
      <c r="F89" s="4"/>
      <c r="G89" s="2"/>
      <c r="H89" s="2"/>
      <c r="I89" s="3"/>
      <c r="J89" s="3"/>
      <c r="K89" s="3"/>
      <c r="L89" s="3"/>
      <c r="M89" s="3"/>
      <c r="N89" s="2"/>
    </row>
    <row r="90" spans="1:14" s="5" customFormat="1" x14ac:dyDescent="0.25">
      <c r="A90" s="7"/>
      <c r="B90" s="6"/>
      <c r="C90" s="2"/>
      <c r="D90" s="2"/>
      <c r="E90" s="2"/>
      <c r="F90" s="4"/>
      <c r="G90" s="2"/>
      <c r="H90" s="2"/>
      <c r="I90" s="3"/>
      <c r="J90" s="3"/>
      <c r="K90" s="3"/>
      <c r="L90" s="3"/>
      <c r="M90" s="3"/>
      <c r="N90" s="2"/>
    </row>
    <row r="91" spans="1:14" s="5" customFormat="1" x14ac:dyDescent="0.25">
      <c r="A91" s="7"/>
      <c r="B91" s="6"/>
      <c r="C91" s="2"/>
      <c r="D91" s="2"/>
      <c r="E91" s="2"/>
      <c r="F91" s="4"/>
      <c r="G91" s="2"/>
      <c r="H91" s="2"/>
      <c r="I91" s="3"/>
      <c r="J91" s="3"/>
      <c r="K91" s="3"/>
      <c r="L91" s="3"/>
      <c r="M91" s="3"/>
      <c r="N91" s="2"/>
    </row>
    <row r="92" spans="1:14" s="5" customFormat="1" x14ac:dyDescent="0.25">
      <c r="A92" s="7"/>
      <c r="B92" s="6"/>
      <c r="C92" s="2"/>
      <c r="D92" s="2"/>
      <c r="E92" s="2"/>
      <c r="F92" s="4"/>
      <c r="G92" s="2"/>
      <c r="H92" s="2"/>
      <c r="I92" s="3"/>
      <c r="J92" s="3"/>
      <c r="K92" s="3"/>
      <c r="L92" s="3"/>
      <c r="M92" s="3"/>
      <c r="N92" s="2"/>
    </row>
    <row r="93" spans="1:14" s="5" customFormat="1" x14ac:dyDescent="0.25">
      <c r="A93" s="7"/>
      <c r="B93" s="6"/>
      <c r="C93" s="2"/>
      <c r="D93" s="2"/>
      <c r="E93" s="2"/>
      <c r="F93" s="4"/>
      <c r="G93" s="2"/>
      <c r="H93" s="2"/>
      <c r="I93" s="3"/>
      <c r="J93" s="3"/>
      <c r="K93" s="3"/>
      <c r="L93" s="3"/>
      <c r="M93" s="3"/>
      <c r="N93" s="2"/>
    </row>
    <row r="94" spans="1:14" s="5" customFormat="1" x14ac:dyDescent="0.25">
      <c r="A94" s="7"/>
      <c r="B94" s="6"/>
      <c r="C94" s="2"/>
      <c r="D94" s="2"/>
      <c r="E94" s="2"/>
      <c r="F94" s="4"/>
      <c r="G94" s="2"/>
      <c r="H94" s="2"/>
      <c r="I94" s="3"/>
      <c r="J94" s="3"/>
      <c r="K94" s="3"/>
      <c r="L94" s="3"/>
      <c r="M94" s="3"/>
      <c r="N94" s="2"/>
    </row>
    <row r="95" spans="1:14" s="5" customFormat="1" x14ac:dyDescent="0.25">
      <c r="A95" s="7"/>
      <c r="B95" s="6"/>
      <c r="C95" s="2"/>
      <c r="D95" s="2"/>
      <c r="E95" s="2"/>
      <c r="F95" s="4"/>
      <c r="G95" s="2"/>
      <c r="H95" s="2"/>
      <c r="I95" s="3"/>
      <c r="J95" s="3"/>
      <c r="K95" s="3"/>
      <c r="L95" s="3"/>
      <c r="M95" s="3"/>
      <c r="N95" s="2"/>
    </row>
    <row r="96" spans="1:14" s="5" customFormat="1" x14ac:dyDescent="0.25">
      <c r="A96" s="7"/>
      <c r="B96" s="6"/>
      <c r="C96" s="2"/>
      <c r="D96" s="2"/>
      <c r="E96" s="2"/>
      <c r="F96" s="4"/>
      <c r="G96" s="2"/>
      <c r="H96" s="2"/>
      <c r="I96" s="3"/>
      <c r="J96" s="3"/>
      <c r="K96" s="3"/>
      <c r="L96" s="3"/>
      <c r="M96" s="3"/>
      <c r="N96" s="2"/>
    </row>
    <row r="97" spans="1:14" s="5" customFormat="1" x14ac:dyDescent="0.25">
      <c r="A97" s="7"/>
      <c r="B97" s="6"/>
      <c r="C97" s="2"/>
      <c r="D97" s="2"/>
      <c r="E97" s="2"/>
      <c r="F97" s="4"/>
      <c r="G97" s="2"/>
      <c r="H97" s="2"/>
      <c r="I97" s="3"/>
      <c r="J97" s="3"/>
      <c r="K97" s="3"/>
      <c r="L97" s="3"/>
      <c r="M97" s="3"/>
      <c r="N97" s="2"/>
    </row>
    <row r="98" spans="1:14" s="5" customFormat="1" x14ac:dyDescent="0.25">
      <c r="A98" s="7"/>
      <c r="B98" s="6"/>
      <c r="C98" s="2"/>
      <c r="D98" s="2"/>
      <c r="E98" s="2"/>
      <c r="F98" s="4"/>
      <c r="G98" s="2"/>
      <c r="H98" s="2"/>
      <c r="I98" s="3"/>
      <c r="J98" s="3"/>
      <c r="K98" s="3"/>
      <c r="L98" s="3"/>
      <c r="M98" s="3"/>
      <c r="N98" s="2"/>
    </row>
    <row r="99" spans="1:14" s="5" customFormat="1" x14ac:dyDescent="0.25">
      <c r="A99" s="7"/>
      <c r="B99" s="6"/>
      <c r="C99" s="2"/>
      <c r="D99" s="2"/>
      <c r="E99" s="2"/>
      <c r="F99" s="4"/>
      <c r="G99" s="2"/>
      <c r="H99" s="2"/>
      <c r="I99" s="3"/>
      <c r="J99" s="3"/>
      <c r="K99" s="3"/>
      <c r="L99" s="3"/>
      <c r="M99" s="3"/>
      <c r="N99" s="2"/>
    </row>
    <row r="100" spans="1:14" s="5" customFormat="1" x14ac:dyDescent="0.25">
      <c r="A100" s="7"/>
      <c r="B100" s="6"/>
      <c r="C100" s="2"/>
      <c r="D100" s="2"/>
      <c r="E100" s="2"/>
      <c r="F100" s="4"/>
      <c r="G100" s="2"/>
      <c r="H100" s="2"/>
      <c r="I100" s="3"/>
      <c r="J100" s="3"/>
      <c r="K100" s="3"/>
      <c r="L100" s="3"/>
      <c r="M100" s="3"/>
      <c r="N100" s="2"/>
    </row>
    <row r="101" spans="1:14" s="5" customFormat="1" x14ac:dyDescent="0.25">
      <c r="A101" s="7"/>
      <c r="B101" s="6"/>
      <c r="C101" s="2"/>
      <c r="D101" s="2"/>
      <c r="E101" s="2"/>
      <c r="F101" s="4"/>
      <c r="G101" s="2"/>
      <c r="H101" s="2"/>
      <c r="I101" s="3"/>
      <c r="J101" s="3"/>
      <c r="K101" s="3"/>
      <c r="L101" s="3"/>
      <c r="M101" s="3"/>
      <c r="N101" s="2"/>
    </row>
    <row r="102" spans="1:14" s="5" customFormat="1" x14ac:dyDescent="0.25">
      <c r="A102" s="7"/>
      <c r="B102" s="6"/>
      <c r="C102" s="2"/>
      <c r="D102" s="2"/>
      <c r="E102" s="2"/>
      <c r="F102" s="4"/>
      <c r="G102" s="2"/>
      <c r="H102" s="2"/>
      <c r="I102" s="3"/>
      <c r="J102" s="3"/>
      <c r="K102" s="3"/>
      <c r="L102" s="3"/>
      <c r="M102" s="3"/>
      <c r="N102" s="2"/>
    </row>
    <row r="103" spans="1:14" s="5" customFormat="1" x14ac:dyDescent="0.25">
      <c r="A103" s="7"/>
      <c r="B103" s="6"/>
      <c r="C103" s="2"/>
      <c r="D103" s="2"/>
      <c r="E103" s="2"/>
      <c r="F103" s="4"/>
      <c r="G103" s="2"/>
      <c r="H103" s="2"/>
      <c r="I103" s="3"/>
      <c r="J103" s="3"/>
      <c r="K103" s="3"/>
      <c r="L103" s="3"/>
      <c r="M103" s="3"/>
      <c r="N103" s="2"/>
    </row>
    <row r="104" spans="1:14" s="5" customFormat="1" x14ac:dyDescent="0.25">
      <c r="A104" s="7"/>
      <c r="B104" s="6"/>
      <c r="C104" s="2"/>
      <c r="D104" s="2"/>
      <c r="E104" s="2"/>
      <c r="F104" s="4"/>
      <c r="G104" s="2"/>
      <c r="H104" s="2"/>
      <c r="I104" s="3"/>
      <c r="J104" s="3"/>
      <c r="K104" s="3"/>
      <c r="L104" s="3"/>
      <c r="M104" s="3"/>
      <c r="N104" s="2"/>
    </row>
    <row r="105" spans="1:14" s="5" customFormat="1" x14ac:dyDescent="0.25">
      <c r="A105" s="7"/>
      <c r="B105" s="6"/>
      <c r="C105" s="2"/>
      <c r="D105" s="2"/>
      <c r="E105" s="2"/>
      <c r="F105" s="4"/>
      <c r="G105" s="2"/>
      <c r="H105" s="2"/>
      <c r="I105" s="3"/>
      <c r="J105" s="3"/>
      <c r="K105" s="3"/>
      <c r="L105" s="3"/>
      <c r="M105" s="3"/>
      <c r="N105" s="2"/>
    </row>
    <row r="106" spans="1:14" s="5" customFormat="1" x14ac:dyDescent="0.25">
      <c r="A106" s="7"/>
      <c r="B106" s="6"/>
      <c r="C106" s="2"/>
      <c r="D106" s="2"/>
      <c r="E106" s="2"/>
      <c r="F106" s="4"/>
      <c r="G106" s="2"/>
      <c r="H106" s="2"/>
      <c r="I106" s="3"/>
      <c r="J106" s="3"/>
      <c r="K106" s="3"/>
      <c r="L106" s="3"/>
      <c r="M106" s="3"/>
      <c r="N106" s="2"/>
    </row>
    <row r="107" spans="1:14" s="5" customFormat="1" x14ac:dyDescent="0.25">
      <c r="A107" s="7"/>
      <c r="B107" s="6"/>
      <c r="C107" s="2"/>
      <c r="D107" s="2"/>
      <c r="E107" s="2"/>
      <c r="F107" s="4"/>
      <c r="G107" s="2"/>
      <c r="H107" s="2"/>
      <c r="I107" s="3"/>
      <c r="J107" s="3"/>
      <c r="K107" s="3"/>
      <c r="L107" s="3"/>
      <c r="M107" s="3"/>
      <c r="N107" s="2"/>
    </row>
    <row r="108" spans="1:14" s="5" customFormat="1" x14ac:dyDescent="0.25">
      <c r="A108" s="7"/>
      <c r="B108" s="6"/>
      <c r="C108" s="2"/>
      <c r="D108" s="2"/>
      <c r="E108" s="2"/>
      <c r="F108" s="4"/>
      <c r="G108" s="2"/>
      <c r="H108" s="2"/>
      <c r="I108" s="3"/>
      <c r="J108" s="3"/>
      <c r="K108" s="3"/>
      <c r="L108" s="3"/>
      <c r="M108" s="3"/>
      <c r="N108" s="2"/>
    </row>
    <row r="109" spans="1:14" s="5" customFormat="1" x14ac:dyDescent="0.25">
      <c r="A109" s="7"/>
      <c r="B109" s="6"/>
      <c r="C109" s="2"/>
      <c r="D109" s="2"/>
      <c r="E109" s="2"/>
      <c r="F109" s="4"/>
      <c r="G109" s="2"/>
      <c r="H109" s="2"/>
      <c r="I109" s="3"/>
      <c r="J109" s="3"/>
      <c r="K109" s="3"/>
      <c r="L109" s="3"/>
      <c r="M109" s="3"/>
      <c r="N109" s="2"/>
    </row>
    <row r="110" spans="1:14" s="5" customFormat="1" x14ac:dyDescent="0.25">
      <c r="A110" s="7"/>
      <c r="B110" s="6"/>
      <c r="C110" s="2"/>
      <c r="D110" s="2"/>
      <c r="E110" s="2"/>
      <c r="F110" s="4"/>
      <c r="G110" s="2"/>
      <c r="H110" s="2"/>
      <c r="I110" s="3"/>
      <c r="J110" s="3"/>
      <c r="K110" s="3"/>
      <c r="L110" s="3"/>
      <c r="M110" s="3"/>
      <c r="N110" s="2"/>
    </row>
    <row r="111" spans="1:14" s="5" customFormat="1" x14ac:dyDescent="0.25">
      <c r="A111" s="7"/>
      <c r="B111" s="6"/>
      <c r="C111" s="2"/>
      <c r="D111" s="2"/>
      <c r="E111" s="2"/>
      <c r="F111" s="4"/>
      <c r="G111" s="2"/>
      <c r="H111" s="2"/>
      <c r="I111" s="3"/>
      <c r="J111" s="3"/>
      <c r="K111" s="3"/>
      <c r="L111" s="3"/>
      <c r="M111" s="3"/>
      <c r="N111" s="2"/>
    </row>
    <row r="112" spans="1:14" s="5" customFormat="1" x14ac:dyDescent="0.25">
      <c r="A112" s="7"/>
      <c r="B112" s="6"/>
      <c r="C112" s="2"/>
      <c r="D112" s="2"/>
      <c r="E112" s="2"/>
      <c r="F112" s="4"/>
      <c r="G112" s="2"/>
      <c r="H112" s="2"/>
      <c r="I112" s="3"/>
      <c r="J112" s="3"/>
      <c r="K112" s="3"/>
      <c r="L112" s="3"/>
      <c r="M112" s="3"/>
      <c r="N112" s="2"/>
    </row>
    <row r="113" spans="1:14" s="5" customFormat="1" x14ac:dyDescent="0.25">
      <c r="A113" s="7"/>
      <c r="B113" s="6"/>
      <c r="C113" s="2"/>
      <c r="D113" s="2"/>
      <c r="E113" s="2"/>
      <c r="F113" s="4"/>
      <c r="G113" s="2"/>
      <c r="H113" s="2"/>
      <c r="I113" s="3"/>
      <c r="J113" s="3"/>
      <c r="K113" s="3"/>
      <c r="L113" s="3"/>
      <c r="M113" s="3"/>
      <c r="N113" s="2"/>
    </row>
    <row r="114" spans="1:14" s="5" customFormat="1" x14ac:dyDescent="0.25">
      <c r="A114" s="7"/>
      <c r="B114" s="6"/>
      <c r="C114" s="2"/>
      <c r="D114" s="2"/>
      <c r="E114" s="2"/>
      <c r="F114" s="4"/>
      <c r="G114" s="2"/>
      <c r="H114" s="2"/>
      <c r="I114" s="3"/>
      <c r="J114" s="3"/>
      <c r="K114" s="3"/>
      <c r="L114" s="3"/>
      <c r="M114" s="3"/>
      <c r="N114" s="2"/>
    </row>
    <row r="115" spans="1:14" s="5" customFormat="1" x14ac:dyDescent="0.25">
      <c r="A115" s="7"/>
      <c r="B115" s="6"/>
      <c r="C115" s="2"/>
      <c r="D115" s="2"/>
      <c r="E115" s="2"/>
      <c r="F115" s="4"/>
      <c r="G115" s="2"/>
      <c r="H115" s="2"/>
      <c r="I115" s="3"/>
      <c r="J115" s="3"/>
      <c r="K115" s="3"/>
      <c r="L115" s="3"/>
      <c r="M115" s="3"/>
      <c r="N115" s="2"/>
    </row>
    <row r="116" spans="1:14" s="5" customFormat="1" x14ac:dyDescent="0.25">
      <c r="A116" s="7"/>
      <c r="B116" s="6"/>
      <c r="C116" s="2"/>
      <c r="D116" s="2"/>
      <c r="E116" s="2"/>
      <c r="F116" s="4"/>
      <c r="G116" s="2"/>
      <c r="H116" s="2"/>
      <c r="I116" s="3"/>
      <c r="J116" s="3"/>
      <c r="K116" s="3"/>
      <c r="L116" s="3"/>
      <c r="M116" s="3"/>
      <c r="N116" s="2"/>
    </row>
    <row r="117" spans="1:14" s="5" customFormat="1" x14ac:dyDescent="0.25">
      <c r="A117" s="7"/>
      <c r="B117" s="6"/>
      <c r="C117" s="2"/>
      <c r="D117" s="2"/>
      <c r="E117" s="2"/>
      <c r="F117" s="4"/>
      <c r="G117" s="2"/>
      <c r="H117" s="2"/>
      <c r="I117" s="3"/>
      <c r="J117" s="3"/>
      <c r="K117" s="3"/>
      <c r="L117" s="3"/>
      <c r="M117" s="3"/>
      <c r="N117" s="2"/>
    </row>
    <row r="118" spans="1:14" s="5" customFormat="1" x14ac:dyDescent="0.25">
      <c r="A118" s="7"/>
      <c r="B118" s="6"/>
      <c r="C118" s="2"/>
      <c r="D118" s="2"/>
      <c r="E118" s="2"/>
      <c r="F118" s="4"/>
      <c r="G118" s="2"/>
      <c r="H118" s="2"/>
      <c r="I118" s="3"/>
      <c r="J118" s="3"/>
      <c r="K118" s="3"/>
      <c r="L118" s="3"/>
      <c r="M118" s="3"/>
      <c r="N118" s="2"/>
    </row>
    <row r="119" spans="1:14" s="5" customFormat="1" x14ac:dyDescent="0.25">
      <c r="A119" s="7"/>
      <c r="B119" s="6"/>
      <c r="C119" s="2"/>
      <c r="D119" s="2"/>
      <c r="E119" s="2"/>
      <c r="F119" s="4"/>
      <c r="G119" s="2"/>
      <c r="H119" s="2"/>
      <c r="I119" s="3"/>
      <c r="J119" s="3"/>
      <c r="K119" s="3"/>
      <c r="L119" s="3"/>
      <c r="M119" s="3"/>
      <c r="N119" s="2"/>
    </row>
    <row r="120" spans="1:14" s="5" customFormat="1" x14ac:dyDescent="0.25">
      <c r="A120" s="7"/>
      <c r="B120" s="6"/>
      <c r="C120" s="2"/>
      <c r="D120" s="2"/>
      <c r="E120" s="2"/>
      <c r="F120" s="4"/>
      <c r="G120" s="2"/>
      <c r="H120" s="2"/>
      <c r="I120" s="3"/>
      <c r="J120" s="3"/>
      <c r="K120" s="3"/>
      <c r="L120" s="3"/>
      <c r="M120" s="3"/>
      <c r="N120" s="2"/>
    </row>
    <row r="121" spans="1:14" s="5" customFormat="1" x14ac:dyDescent="0.25">
      <c r="A121" s="7"/>
      <c r="B121" s="6"/>
      <c r="C121" s="2"/>
      <c r="D121" s="2"/>
      <c r="E121" s="2"/>
      <c r="F121" s="4"/>
      <c r="G121" s="2"/>
      <c r="H121" s="2"/>
      <c r="I121" s="3"/>
      <c r="J121" s="3"/>
      <c r="K121" s="3"/>
      <c r="L121" s="3"/>
      <c r="M121" s="3"/>
      <c r="N121" s="2"/>
    </row>
    <row r="122" spans="1:14" s="5" customFormat="1" x14ac:dyDescent="0.25">
      <c r="A122" s="7"/>
      <c r="B122" s="6"/>
      <c r="C122" s="2"/>
      <c r="D122" s="2"/>
      <c r="E122" s="2"/>
      <c r="F122" s="4"/>
      <c r="G122" s="2"/>
      <c r="H122" s="2"/>
      <c r="I122" s="3"/>
      <c r="J122" s="3"/>
      <c r="K122" s="3"/>
      <c r="L122" s="3"/>
      <c r="M122" s="3"/>
      <c r="N122" s="2"/>
    </row>
    <row r="123" spans="1:14" s="5" customFormat="1" x14ac:dyDescent="0.25">
      <c r="A123" s="7"/>
      <c r="B123" s="6"/>
      <c r="C123" s="2"/>
      <c r="D123" s="2"/>
      <c r="E123" s="2"/>
      <c r="F123" s="4"/>
      <c r="G123" s="2"/>
      <c r="H123" s="2"/>
      <c r="I123" s="3"/>
      <c r="J123" s="3"/>
      <c r="K123" s="3"/>
      <c r="L123" s="3"/>
      <c r="M123" s="3"/>
      <c r="N123" s="2"/>
    </row>
    <row r="124" spans="1:14" s="5" customFormat="1" x14ac:dyDescent="0.25">
      <c r="A124" s="7"/>
      <c r="B124" s="6"/>
      <c r="C124" s="2"/>
      <c r="D124" s="2"/>
      <c r="E124" s="2"/>
      <c r="F124" s="4"/>
      <c r="G124" s="2"/>
      <c r="H124" s="2"/>
      <c r="I124" s="3"/>
      <c r="J124" s="3"/>
      <c r="K124" s="3"/>
      <c r="L124" s="3"/>
      <c r="M124" s="3"/>
      <c r="N124" s="2"/>
    </row>
    <row r="125" spans="1:14" s="5" customFormat="1" x14ac:dyDescent="0.25">
      <c r="A125" s="7"/>
      <c r="B125" s="6"/>
      <c r="C125" s="2"/>
      <c r="D125" s="2"/>
      <c r="E125" s="2"/>
      <c r="F125" s="4"/>
      <c r="G125" s="2"/>
      <c r="H125" s="2"/>
      <c r="I125" s="3"/>
      <c r="J125" s="3"/>
      <c r="K125" s="3"/>
      <c r="L125" s="3"/>
      <c r="M125" s="3"/>
      <c r="N125" s="2"/>
    </row>
    <row r="126" spans="1:14" s="5" customFormat="1" x14ac:dyDescent="0.25">
      <c r="A126" s="7"/>
      <c r="B126" s="6"/>
      <c r="C126" s="2"/>
      <c r="D126" s="2"/>
      <c r="E126" s="2"/>
      <c r="F126" s="4"/>
      <c r="G126" s="2"/>
      <c r="H126" s="2"/>
      <c r="I126" s="3"/>
      <c r="J126" s="3"/>
      <c r="K126" s="3"/>
      <c r="L126" s="3"/>
      <c r="M126" s="3"/>
      <c r="N126" s="2"/>
    </row>
    <row r="127" spans="1:14" s="5" customFormat="1" x14ac:dyDescent="0.25">
      <c r="A127" s="7"/>
      <c r="B127" s="6"/>
      <c r="C127" s="2"/>
      <c r="D127" s="2"/>
      <c r="E127" s="2"/>
      <c r="F127" s="4"/>
      <c r="G127" s="2"/>
      <c r="H127" s="2"/>
      <c r="I127" s="3"/>
      <c r="J127" s="3"/>
      <c r="K127" s="3"/>
      <c r="L127" s="3"/>
      <c r="M127" s="3"/>
      <c r="N127" s="2"/>
    </row>
    <row r="128" spans="1:14" s="5" customFormat="1" x14ac:dyDescent="0.25">
      <c r="A128" s="7"/>
      <c r="B128" s="6"/>
      <c r="C128" s="2"/>
      <c r="D128" s="2"/>
      <c r="E128" s="2"/>
      <c r="F128" s="4"/>
      <c r="G128" s="2"/>
      <c r="H128" s="2"/>
      <c r="I128" s="3"/>
      <c r="J128" s="3"/>
      <c r="K128" s="3"/>
      <c r="L128" s="3"/>
      <c r="M128" s="3"/>
      <c r="N128" s="2"/>
    </row>
    <row r="129" spans="1:14" s="5" customFormat="1" x14ac:dyDescent="0.25">
      <c r="A129" s="7"/>
      <c r="B129" s="6"/>
      <c r="C129" s="2"/>
      <c r="D129" s="2"/>
      <c r="E129" s="2"/>
      <c r="F129" s="4"/>
      <c r="G129" s="2"/>
      <c r="H129" s="2"/>
      <c r="I129" s="3"/>
      <c r="J129" s="3"/>
      <c r="K129" s="3"/>
      <c r="L129" s="3"/>
      <c r="M129" s="3"/>
      <c r="N129" s="2"/>
    </row>
    <row r="130" spans="1:14" s="5" customFormat="1" x14ac:dyDescent="0.25">
      <c r="A130" s="7"/>
      <c r="B130" s="6"/>
      <c r="C130" s="2"/>
      <c r="D130" s="2"/>
      <c r="E130" s="2"/>
      <c r="F130" s="4"/>
      <c r="G130" s="2"/>
      <c r="H130" s="2"/>
      <c r="I130" s="3"/>
      <c r="J130" s="3"/>
      <c r="K130" s="3"/>
      <c r="L130" s="3"/>
      <c r="M130" s="3"/>
      <c r="N130" s="2"/>
    </row>
    <row r="131" spans="1:14" s="5" customFormat="1" x14ac:dyDescent="0.25">
      <c r="A131" s="7"/>
      <c r="B131" s="6"/>
      <c r="C131" s="2"/>
      <c r="D131" s="2"/>
      <c r="E131" s="2"/>
      <c r="F131" s="4"/>
      <c r="G131" s="2"/>
      <c r="H131" s="2"/>
      <c r="I131" s="3"/>
      <c r="J131" s="3"/>
      <c r="K131" s="3"/>
      <c r="L131" s="3"/>
      <c r="M131" s="3"/>
      <c r="N131" s="2"/>
    </row>
    <row r="132" spans="1:14" s="5" customFormat="1" x14ac:dyDescent="0.25">
      <c r="A132" s="7"/>
      <c r="B132" s="6"/>
      <c r="C132" s="2"/>
      <c r="D132" s="2"/>
      <c r="E132" s="2"/>
      <c r="F132" s="4"/>
      <c r="G132" s="2"/>
      <c r="H132" s="2"/>
      <c r="I132" s="3"/>
      <c r="J132" s="3"/>
      <c r="K132" s="3"/>
      <c r="L132" s="3"/>
      <c r="M132" s="3"/>
      <c r="N132" s="2"/>
    </row>
    <row r="133" spans="1:14" s="5" customFormat="1" x14ac:dyDescent="0.25">
      <c r="A133" s="7"/>
      <c r="B133" s="6"/>
      <c r="C133" s="2"/>
      <c r="D133" s="2"/>
      <c r="E133" s="2"/>
      <c r="F133" s="4"/>
      <c r="G133" s="2"/>
      <c r="H133" s="2"/>
      <c r="I133" s="3"/>
      <c r="J133" s="3"/>
      <c r="K133" s="3"/>
      <c r="L133" s="3"/>
      <c r="M133" s="3"/>
      <c r="N133" s="2"/>
    </row>
    <row r="134" spans="1:14" s="5" customFormat="1" x14ac:dyDescent="0.25">
      <c r="A134" s="7"/>
      <c r="B134" s="6"/>
      <c r="C134" s="2"/>
      <c r="D134" s="2"/>
      <c r="E134" s="2"/>
      <c r="F134" s="4"/>
      <c r="G134" s="2"/>
      <c r="H134" s="2"/>
      <c r="I134" s="3"/>
      <c r="J134" s="3"/>
      <c r="K134" s="3"/>
      <c r="L134" s="3"/>
      <c r="M134" s="3"/>
      <c r="N134" s="2"/>
    </row>
    <row r="135" spans="1:14" s="5" customFormat="1" x14ac:dyDescent="0.25">
      <c r="A135" s="7"/>
      <c r="B135" s="6"/>
      <c r="C135" s="2"/>
      <c r="D135" s="2"/>
      <c r="E135" s="2"/>
      <c r="F135" s="4"/>
      <c r="G135" s="2"/>
      <c r="H135" s="2"/>
      <c r="I135" s="3"/>
      <c r="J135" s="3"/>
      <c r="K135" s="3"/>
      <c r="L135" s="3"/>
      <c r="M135" s="3"/>
      <c r="N135" s="2"/>
    </row>
    <row r="136" spans="1:14" s="5" customFormat="1" x14ac:dyDescent="0.25">
      <c r="A136" s="7"/>
      <c r="B136" s="6"/>
      <c r="C136" s="2"/>
      <c r="D136" s="2"/>
      <c r="E136" s="2"/>
      <c r="F136" s="4"/>
      <c r="G136" s="2"/>
      <c r="H136" s="2"/>
      <c r="I136" s="3"/>
      <c r="J136" s="3"/>
      <c r="K136" s="3"/>
      <c r="L136" s="3"/>
      <c r="M136" s="3"/>
      <c r="N136" s="2"/>
    </row>
    <row r="137" spans="1:14" s="5" customFormat="1" x14ac:dyDescent="0.25">
      <c r="A137" s="7"/>
      <c r="B137" s="6"/>
      <c r="C137" s="2"/>
      <c r="D137" s="2"/>
      <c r="E137" s="2"/>
      <c r="F137" s="4"/>
      <c r="G137" s="2"/>
      <c r="H137" s="2"/>
      <c r="I137" s="3"/>
      <c r="J137" s="3"/>
      <c r="K137" s="3"/>
      <c r="L137" s="3"/>
      <c r="M137" s="3"/>
      <c r="N137" s="2"/>
    </row>
    <row r="138" spans="1:14" s="5" customFormat="1" x14ac:dyDescent="0.25">
      <c r="A138" s="7"/>
      <c r="B138" s="6"/>
      <c r="C138" s="2"/>
      <c r="D138" s="2"/>
      <c r="E138" s="2"/>
      <c r="F138" s="4"/>
      <c r="G138" s="2"/>
      <c r="H138" s="2"/>
      <c r="I138" s="3"/>
      <c r="J138" s="3"/>
      <c r="K138" s="3"/>
      <c r="L138" s="3"/>
      <c r="M138" s="3"/>
      <c r="N138" s="2"/>
    </row>
    <row r="139" spans="1:14" s="5" customFormat="1" x14ac:dyDescent="0.25">
      <c r="A139" s="7"/>
      <c r="B139" s="6"/>
      <c r="C139" s="2"/>
      <c r="D139" s="2"/>
      <c r="E139" s="2"/>
      <c r="F139" s="4"/>
      <c r="G139" s="2"/>
      <c r="H139" s="2"/>
      <c r="I139" s="3"/>
      <c r="J139" s="3"/>
      <c r="K139" s="3"/>
      <c r="L139" s="3"/>
      <c r="M139" s="3"/>
      <c r="N139" s="2"/>
    </row>
    <row r="140" spans="1:14" s="5" customFormat="1" x14ac:dyDescent="0.25">
      <c r="A140" s="7"/>
      <c r="B140" s="6"/>
      <c r="C140" s="2"/>
      <c r="D140" s="2"/>
      <c r="E140" s="2"/>
      <c r="F140" s="4"/>
      <c r="G140" s="2"/>
      <c r="H140" s="2"/>
      <c r="I140" s="3"/>
      <c r="J140" s="3"/>
      <c r="K140" s="3"/>
      <c r="L140" s="3"/>
      <c r="M140" s="3"/>
      <c r="N140" s="2"/>
    </row>
    <row r="141" spans="1:14" s="5" customFormat="1" x14ac:dyDescent="0.25">
      <c r="A141" s="7"/>
      <c r="B141" s="6"/>
      <c r="C141" s="2"/>
      <c r="D141" s="2"/>
      <c r="E141" s="2"/>
      <c r="F141" s="4"/>
      <c r="G141" s="2"/>
      <c r="H141" s="2"/>
      <c r="I141" s="3"/>
      <c r="J141" s="3"/>
      <c r="K141" s="3"/>
      <c r="L141" s="3"/>
      <c r="M141" s="3"/>
      <c r="N141" s="2"/>
    </row>
    <row r="142" spans="1:14" s="5" customFormat="1" x14ac:dyDescent="0.25">
      <c r="A142" s="7"/>
      <c r="B142" s="6"/>
      <c r="C142" s="2"/>
      <c r="D142" s="2"/>
      <c r="E142" s="2"/>
      <c r="F142" s="4"/>
      <c r="G142" s="2"/>
      <c r="H142" s="2"/>
      <c r="I142" s="3"/>
      <c r="J142" s="3"/>
      <c r="K142" s="3"/>
      <c r="L142" s="3"/>
      <c r="M142" s="3"/>
      <c r="N142" s="2"/>
    </row>
    <row r="143" spans="1:14" s="5" customFormat="1" x14ac:dyDescent="0.25">
      <c r="A143" s="7"/>
      <c r="B143" s="6"/>
      <c r="C143" s="2"/>
      <c r="D143" s="2"/>
      <c r="E143" s="2"/>
      <c r="F143" s="4"/>
      <c r="G143" s="2"/>
      <c r="H143" s="2"/>
      <c r="I143" s="3"/>
      <c r="J143" s="3"/>
      <c r="K143" s="3"/>
      <c r="L143" s="3"/>
      <c r="M143" s="3"/>
      <c r="N143" s="2"/>
    </row>
    <row r="144" spans="1:14" s="5" customFormat="1" x14ac:dyDescent="0.25">
      <c r="A144" s="7"/>
      <c r="B144" s="6"/>
      <c r="C144" s="2"/>
      <c r="D144" s="2"/>
      <c r="E144" s="2"/>
      <c r="F144" s="4"/>
      <c r="G144" s="2"/>
      <c r="H144" s="2"/>
      <c r="I144" s="3"/>
      <c r="J144" s="3"/>
      <c r="K144" s="3"/>
      <c r="L144" s="3"/>
      <c r="M144" s="3"/>
      <c r="N144" s="2"/>
    </row>
    <row r="145" spans="1:14" s="5" customFormat="1" x14ac:dyDescent="0.25">
      <c r="A145" s="7"/>
      <c r="B145" s="6"/>
      <c r="C145" s="2"/>
      <c r="D145" s="2"/>
      <c r="E145" s="2"/>
      <c r="F145" s="4"/>
      <c r="G145" s="2"/>
      <c r="H145" s="2"/>
      <c r="I145" s="3"/>
      <c r="J145" s="3"/>
      <c r="K145" s="3"/>
      <c r="L145" s="3"/>
      <c r="M145" s="3"/>
      <c r="N145" s="2"/>
    </row>
    <row r="146" spans="1:14" s="5" customFormat="1" x14ac:dyDescent="0.25">
      <c r="A146" s="7"/>
      <c r="B146" s="6"/>
      <c r="C146" s="2"/>
      <c r="D146" s="2"/>
      <c r="E146" s="2"/>
      <c r="F146" s="4"/>
      <c r="G146" s="2"/>
      <c r="H146" s="2"/>
      <c r="I146" s="3"/>
      <c r="J146" s="3"/>
      <c r="K146" s="3"/>
      <c r="L146" s="3"/>
      <c r="M146" s="3"/>
      <c r="N146" s="2"/>
    </row>
    <row r="147" spans="1:14" s="5" customFormat="1" x14ac:dyDescent="0.25">
      <c r="A147" s="7"/>
      <c r="B147" s="6"/>
      <c r="C147" s="2"/>
      <c r="D147" s="2"/>
      <c r="E147" s="2"/>
      <c r="F147" s="4"/>
      <c r="G147" s="2"/>
      <c r="H147" s="2"/>
      <c r="I147" s="3"/>
      <c r="J147" s="3"/>
      <c r="K147" s="3"/>
      <c r="L147" s="3"/>
      <c r="M147" s="3"/>
      <c r="N147" s="2"/>
    </row>
    <row r="148" spans="1:14" s="5" customFormat="1" x14ac:dyDescent="0.25">
      <c r="A148" s="7"/>
      <c r="B148" s="6"/>
      <c r="C148" s="2"/>
      <c r="D148" s="2"/>
      <c r="E148" s="2"/>
      <c r="F148" s="4"/>
      <c r="G148" s="2"/>
      <c r="H148" s="2"/>
      <c r="I148" s="3"/>
      <c r="J148" s="3"/>
      <c r="K148" s="3"/>
      <c r="L148" s="3"/>
      <c r="M148" s="3"/>
      <c r="N148" s="2"/>
    </row>
    <row r="149" spans="1:14" s="5" customFormat="1" x14ac:dyDescent="0.25">
      <c r="A149" s="7"/>
      <c r="B149" s="6"/>
      <c r="C149" s="2"/>
      <c r="D149" s="2"/>
      <c r="E149" s="2"/>
      <c r="F149" s="4"/>
      <c r="G149" s="2"/>
      <c r="H149" s="2"/>
      <c r="I149" s="3"/>
      <c r="J149" s="3"/>
      <c r="K149" s="3"/>
      <c r="L149" s="3"/>
      <c r="M149" s="3"/>
      <c r="N149" s="2"/>
    </row>
    <row r="150" spans="1:14" s="5" customFormat="1" x14ac:dyDescent="0.25">
      <c r="A150" s="7"/>
      <c r="B150" s="6"/>
      <c r="C150" s="2"/>
      <c r="D150" s="2"/>
      <c r="E150" s="2"/>
      <c r="F150" s="4"/>
      <c r="G150" s="2"/>
      <c r="H150" s="2"/>
      <c r="I150" s="3"/>
      <c r="J150" s="3"/>
      <c r="K150" s="3"/>
      <c r="L150" s="3"/>
      <c r="M150" s="3"/>
      <c r="N150" s="2"/>
    </row>
    <row r="151" spans="1:14" s="5" customFormat="1" x14ac:dyDescent="0.25">
      <c r="A151" s="7"/>
      <c r="B151" s="6"/>
      <c r="C151" s="2"/>
      <c r="D151" s="2"/>
      <c r="E151" s="2"/>
      <c r="F151" s="4"/>
      <c r="G151" s="2"/>
      <c r="H151" s="2"/>
      <c r="I151" s="3"/>
      <c r="J151" s="3"/>
      <c r="K151" s="3"/>
      <c r="L151" s="3"/>
      <c r="M151" s="3"/>
      <c r="N151" s="2"/>
    </row>
    <row r="152" spans="1:14" s="5" customFormat="1" x14ac:dyDescent="0.25">
      <c r="A152" s="7"/>
      <c r="B152" s="6"/>
      <c r="C152" s="2"/>
      <c r="D152" s="2"/>
      <c r="E152" s="2"/>
      <c r="F152" s="4"/>
      <c r="G152" s="2"/>
      <c r="H152" s="2"/>
      <c r="I152" s="3"/>
      <c r="J152" s="3"/>
      <c r="K152" s="3"/>
      <c r="L152" s="3"/>
      <c r="M152" s="3"/>
      <c r="N152" s="2"/>
    </row>
    <row r="153" spans="1:14" s="5" customFormat="1" x14ac:dyDescent="0.25">
      <c r="A153" s="7"/>
      <c r="B153" s="6"/>
      <c r="C153" s="2"/>
      <c r="D153" s="2"/>
      <c r="E153" s="2"/>
      <c r="F153" s="4"/>
      <c r="G153" s="2"/>
      <c r="H153" s="2"/>
      <c r="I153" s="3"/>
      <c r="J153" s="3"/>
      <c r="K153" s="3"/>
      <c r="L153" s="3"/>
      <c r="M153" s="3"/>
      <c r="N153" s="2"/>
    </row>
    <row r="154" spans="1:14" s="5" customFormat="1" x14ac:dyDescent="0.25">
      <c r="A154" s="7"/>
      <c r="B154" s="6"/>
      <c r="C154" s="2"/>
      <c r="D154" s="2"/>
      <c r="E154" s="2"/>
      <c r="F154" s="4"/>
      <c r="G154" s="2"/>
      <c r="H154" s="2"/>
      <c r="I154" s="3"/>
      <c r="J154" s="3"/>
      <c r="K154" s="3"/>
      <c r="L154" s="3"/>
      <c r="M154" s="3"/>
      <c r="N154" s="2"/>
    </row>
    <row r="155" spans="1:14" s="5" customFormat="1" x14ac:dyDescent="0.25">
      <c r="A155" s="7"/>
      <c r="B155" s="6"/>
      <c r="C155" s="2"/>
      <c r="D155" s="2"/>
      <c r="E155" s="2"/>
      <c r="F155" s="4"/>
      <c r="G155" s="2"/>
      <c r="H155" s="2"/>
      <c r="I155" s="3"/>
      <c r="J155" s="3"/>
      <c r="K155" s="3"/>
      <c r="L155" s="3"/>
      <c r="M155" s="3"/>
      <c r="N155" s="2"/>
    </row>
    <row r="156" spans="1:14" s="5" customFormat="1" x14ac:dyDescent="0.25">
      <c r="A156" s="7"/>
      <c r="B156" s="6"/>
      <c r="C156" s="2"/>
      <c r="D156" s="2"/>
      <c r="E156" s="2"/>
      <c r="F156" s="4"/>
      <c r="G156" s="2"/>
      <c r="H156" s="2"/>
      <c r="I156" s="3"/>
      <c r="J156" s="3"/>
      <c r="K156" s="3"/>
      <c r="L156" s="3"/>
      <c r="M156" s="3"/>
      <c r="N156" s="2"/>
    </row>
    <row r="157" spans="1:14" s="5" customFormat="1" x14ac:dyDescent="0.25">
      <c r="A157" s="7"/>
      <c r="B157" s="6"/>
      <c r="C157" s="2"/>
      <c r="D157" s="2"/>
      <c r="E157" s="2"/>
      <c r="F157" s="4"/>
      <c r="G157" s="2"/>
      <c r="H157" s="2"/>
      <c r="I157" s="3"/>
      <c r="J157" s="3"/>
      <c r="K157" s="3"/>
      <c r="L157" s="3"/>
      <c r="M157" s="3"/>
      <c r="N157" s="2"/>
    </row>
    <row r="158" spans="1:14" s="5" customFormat="1" x14ac:dyDescent="0.25">
      <c r="A158" s="7"/>
      <c r="B158" s="6"/>
      <c r="C158" s="2"/>
      <c r="D158" s="2"/>
      <c r="E158" s="2"/>
      <c r="F158" s="4"/>
      <c r="G158" s="2"/>
      <c r="H158" s="2"/>
      <c r="I158" s="3"/>
      <c r="J158" s="3"/>
      <c r="K158" s="3"/>
      <c r="L158" s="3"/>
      <c r="M158" s="3"/>
      <c r="N158" s="2"/>
    </row>
    <row r="159" spans="1:14" s="5" customFormat="1" x14ac:dyDescent="0.25">
      <c r="A159" s="7"/>
      <c r="B159" s="6"/>
      <c r="C159" s="2"/>
      <c r="D159" s="2"/>
      <c r="E159" s="2"/>
      <c r="F159" s="4"/>
      <c r="G159" s="2"/>
      <c r="H159" s="2"/>
      <c r="I159" s="3"/>
      <c r="J159" s="3"/>
      <c r="K159" s="3"/>
      <c r="L159" s="3"/>
      <c r="M159" s="3"/>
      <c r="N159" s="2"/>
    </row>
    <row r="160" spans="1:14" s="5" customFormat="1" x14ac:dyDescent="0.25">
      <c r="A160" s="7"/>
      <c r="B160" s="6"/>
      <c r="C160" s="2"/>
      <c r="D160" s="2"/>
      <c r="E160" s="2"/>
      <c r="F160" s="4"/>
      <c r="G160" s="2"/>
      <c r="H160" s="2"/>
      <c r="I160" s="3"/>
      <c r="J160" s="3"/>
      <c r="K160" s="3"/>
      <c r="L160" s="3"/>
      <c r="M160" s="3"/>
      <c r="N160" s="2"/>
    </row>
    <row r="161" spans="1:14" s="5" customFormat="1" x14ac:dyDescent="0.25">
      <c r="A161" s="7"/>
      <c r="B161" s="6"/>
      <c r="C161" s="2"/>
      <c r="D161" s="2"/>
      <c r="E161" s="2"/>
      <c r="F161" s="4"/>
      <c r="G161" s="2"/>
      <c r="H161" s="2"/>
      <c r="I161" s="3"/>
      <c r="J161" s="3"/>
      <c r="K161" s="3"/>
      <c r="L161" s="3"/>
      <c r="M161" s="3"/>
      <c r="N161" s="2"/>
    </row>
    <row r="162" spans="1:14" s="5" customFormat="1" x14ac:dyDescent="0.25">
      <c r="A162" s="7"/>
      <c r="B162" s="6"/>
      <c r="C162" s="2"/>
      <c r="D162" s="2"/>
      <c r="E162" s="2"/>
      <c r="F162" s="4"/>
      <c r="G162" s="2"/>
      <c r="H162" s="2"/>
      <c r="I162" s="3"/>
      <c r="J162" s="3"/>
      <c r="K162" s="3"/>
      <c r="L162" s="3"/>
      <c r="M162" s="3"/>
      <c r="N162" s="2"/>
    </row>
    <row r="163" spans="1:14" s="5" customFormat="1" x14ac:dyDescent="0.25">
      <c r="A163" s="7"/>
      <c r="B163" s="6"/>
      <c r="C163" s="2"/>
      <c r="D163" s="2"/>
      <c r="E163" s="2"/>
      <c r="F163" s="4"/>
      <c r="G163" s="2"/>
      <c r="H163" s="2"/>
      <c r="I163" s="3"/>
      <c r="J163" s="3"/>
      <c r="K163" s="3"/>
      <c r="L163" s="3"/>
      <c r="M163" s="3"/>
      <c r="N163" s="2"/>
    </row>
    <row r="164" spans="1:14" s="5" customFormat="1" x14ac:dyDescent="0.25">
      <c r="A164" s="7"/>
      <c r="B164" s="6"/>
      <c r="C164" s="2"/>
      <c r="D164" s="2"/>
      <c r="E164" s="2"/>
      <c r="F164" s="4"/>
      <c r="G164" s="2"/>
      <c r="H164" s="2"/>
      <c r="I164" s="3"/>
      <c r="J164" s="3"/>
      <c r="K164" s="3"/>
      <c r="L164" s="3"/>
      <c r="M164" s="3"/>
      <c r="N164" s="2"/>
    </row>
    <row r="165" spans="1:14" s="5" customFormat="1" x14ac:dyDescent="0.25">
      <c r="A165" s="7"/>
      <c r="B165" s="6"/>
      <c r="C165" s="2"/>
      <c r="D165" s="2"/>
      <c r="E165" s="2"/>
      <c r="F165" s="4"/>
      <c r="G165" s="2"/>
      <c r="H165" s="2"/>
      <c r="I165" s="3"/>
      <c r="J165" s="3"/>
      <c r="K165" s="3"/>
      <c r="L165" s="3"/>
      <c r="M165" s="3"/>
      <c r="N165" s="2"/>
    </row>
    <row r="166" spans="1:14" s="5" customFormat="1" x14ac:dyDescent="0.25">
      <c r="A166" s="7"/>
      <c r="B166" s="6"/>
      <c r="C166" s="2"/>
      <c r="D166" s="2"/>
      <c r="E166" s="2"/>
      <c r="F166" s="4"/>
      <c r="G166" s="2"/>
      <c r="H166" s="2"/>
      <c r="I166" s="3"/>
      <c r="J166" s="3"/>
      <c r="K166" s="3"/>
      <c r="L166" s="3"/>
      <c r="M166" s="3"/>
      <c r="N166" s="2"/>
    </row>
    <row r="167" spans="1:14" s="5" customFormat="1" x14ac:dyDescent="0.25">
      <c r="A167" s="7"/>
      <c r="B167" s="6"/>
      <c r="C167" s="2"/>
      <c r="D167" s="2"/>
      <c r="E167" s="2"/>
      <c r="F167" s="4"/>
      <c r="G167" s="2"/>
      <c r="H167" s="2"/>
      <c r="I167" s="3"/>
      <c r="J167" s="3"/>
      <c r="K167" s="3"/>
      <c r="L167" s="3"/>
      <c r="M167" s="3"/>
      <c r="N167" s="2"/>
    </row>
    <row r="168" spans="1:14" s="5" customFormat="1" x14ac:dyDescent="0.25">
      <c r="A168" s="7"/>
      <c r="B168" s="6"/>
      <c r="C168" s="2"/>
      <c r="D168" s="2"/>
      <c r="E168" s="2"/>
      <c r="F168" s="4"/>
      <c r="G168" s="2"/>
      <c r="H168" s="2"/>
      <c r="I168" s="3"/>
      <c r="J168" s="3"/>
      <c r="K168" s="3"/>
      <c r="L168" s="3"/>
      <c r="M168" s="3"/>
      <c r="N168" s="2"/>
    </row>
  </sheetData>
  <hyperlinks>
    <hyperlink ref="F7" location="'BR A0001'!A1" display="'BR A0001'!A1"/>
    <hyperlink ref="F8" location="'BR 01001'!A1" display="'BR 01001'!A1"/>
    <hyperlink ref="F9" location="'BR 01002'!A1" display="'BR 01002'!A1"/>
    <hyperlink ref="F10" location="'BR 01003'!A1" display="'BR 01003'!A1"/>
    <hyperlink ref="F11" location="'BR 01004'!A1" display="'BR 01004'!A1"/>
    <hyperlink ref="F14" location="'BR 02002'!A1" display="'BR 02002'!A1"/>
    <hyperlink ref="F15" location="'BR 02003'!A1" display="'BR 02003'!A1"/>
    <hyperlink ref="F16" location="'BR 02004'!A1" display="'BR 02004'!A1"/>
    <hyperlink ref="F12" location="'BR A0002'!A1" display="'BR A0002'!A1"/>
    <hyperlink ref="F18" location="'BR 03001'!A1" display="'BR 03001'!A1"/>
    <hyperlink ref="F19" location="'BR 03002'!A1" display="'BR 03002'!A1"/>
    <hyperlink ref="F20" location="'BR 03003'!A1" display="'BR 03003'!A1"/>
    <hyperlink ref="F21" location="'BR 03004'!A1" display="'BR 03004'!A1"/>
    <hyperlink ref="F17" location="'BR A0003'!A1" display="'BR A0003'!A1"/>
    <hyperlink ref="F13" location="BR_02001" display="BR_02001"/>
  </hyperlinks>
  <pageMargins left="0.41" right="0.22" top="0.72" bottom="0.57999999999999996" header="0.5" footer="0.26"/>
  <pageSetup scale="58" fitToHeight="99" orientation="landscape" r:id="rId1"/>
  <headerFooter alignWithMargins="0"/>
  <rowBreaks count="1" manualBreakCount="1">
    <brk id="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O26"/>
  <sheetViews>
    <sheetView tabSelected="1" zoomScale="75" zoomScaleNormal="75" workbookViewId="0">
      <selection activeCell="F17" sqref="F17"/>
    </sheetView>
  </sheetViews>
  <sheetFormatPr baseColWidth="10" defaultColWidth="9.109375" defaultRowHeight="14.4" x14ac:dyDescent="0.3"/>
  <cols>
    <col min="1" max="1" width="10.5546875" style="59" customWidth="1"/>
    <col min="2" max="2" width="34.44140625" style="59" bestFit="1" customWidth="1"/>
    <col min="3" max="3" width="21.44140625" style="59" bestFit="1" customWidth="1"/>
    <col min="4" max="4" width="9.33203125" style="59" bestFit="1" customWidth="1"/>
    <col min="5" max="6" width="9.109375" style="59" bestFit="1" customWidth="1"/>
    <col min="7" max="7" width="37.109375" style="59" bestFit="1" customWidth="1"/>
    <col min="8" max="8" width="10" style="59" bestFit="1" customWidth="1"/>
    <col min="9" max="9" width="28" style="59" bestFit="1" customWidth="1"/>
    <col min="10" max="10" width="9.33203125" style="59" bestFit="1" customWidth="1"/>
    <col min="11" max="11" width="7.5546875" style="59" bestFit="1" customWidth="1"/>
    <col min="12" max="12" width="8" style="59" bestFit="1" customWidth="1"/>
    <col min="13" max="13" width="13.88671875" style="59" bestFit="1" customWidth="1"/>
    <col min="14" max="14" width="9.33203125" style="59" bestFit="1" customWidth="1"/>
    <col min="15" max="15" width="3.109375" style="59" customWidth="1"/>
    <col min="16" max="16384" width="9.109375" style="59"/>
  </cols>
  <sheetData>
    <row r="1" spans="1:15" x14ac:dyDescent="0.3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3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BR_02001_m+BR_02001_p</f>
        <v>3.3906536124999995</v>
      </c>
      <c r="O2" s="64"/>
    </row>
    <row r="3" spans="1:15" x14ac:dyDescent="0.3">
      <c r="A3" s="133" t="s">
        <v>150</v>
      </c>
      <c r="B3" s="95" t="str">
        <f>'BR A0002'!B3</f>
        <v>Brake System</v>
      </c>
      <c r="C3" s="60"/>
      <c r="D3" s="133" t="s">
        <v>145</v>
      </c>
      <c r="E3" s="136"/>
      <c r="F3" s="60"/>
      <c r="G3" s="60"/>
      <c r="H3" s="60"/>
      <c r="I3" s="60"/>
      <c r="J3" s="60"/>
      <c r="K3" s="60"/>
      <c r="L3" s="60"/>
      <c r="M3" s="133" t="s">
        <v>148</v>
      </c>
      <c r="N3" s="72">
        <v>1</v>
      </c>
      <c r="O3" s="64"/>
    </row>
    <row r="4" spans="1:15" x14ac:dyDescent="0.3">
      <c r="A4" s="133" t="s">
        <v>147</v>
      </c>
      <c r="B4" s="136" t="str">
        <f>'BR A0002'!B4</f>
        <v>Rear Brake Rotor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3">
      <c r="A5" s="133" t="s">
        <v>137</v>
      </c>
      <c r="B5" s="97" t="s">
        <v>210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3.3906536124999995</v>
      </c>
      <c r="O5" s="64"/>
    </row>
    <row r="6" spans="1:15" x14ac:dyDescent="0.3">
      <c r="A6" s="133" t="s">
        <v>144</v>
      </c>
      <c r="B6" s="135" t="s">
        <v>209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3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3">
      <c r="A8" s="133" t="s">
        <v>139</v>
      </c>
      <c r="B8" s="95" t="s">
        <v>208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3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3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3">
      <c r="A11" s="128">
        <v>10</v>
      </c>
      <c r="B11" s="127" t="s">
        <v>207</v>
      </c>
      <c r="C11" s="125" t="s">
        <v>206</v>
      </c>
      <c r="D11" s="105">
        <v>1</v>
      </c>
      <c r="E11" s="126">
        <f>L11*J11*K11</f>
        <v>1.4669236124999998</v>
      </c>
      <c r="F11" s="125" t="s">
        <v>158</v>
      </c>
      <c r="G11" s="125"/>
      <c r="H11" s="124"/>
      <c r="I11" s="123" t="s">
        <v>205</v>
      </c>
      <c r="J11" s="122">
        <f>(0.5*230*10^-3)^2*3.14</f>
        <v>4.1526500000000001E-2</v>
      </c>
      <c r="K11" s="152">
        <v>4.4999999999999997E-3</v>
      </c>
      <c r="L11" s="217">
        <v>7850</v>
      </c>
      <c r="M11" s="218">
        <v>1</v>
      </c>
      <c r="N11" s="105">
        <f>IF(J11="",D11*M11,D11*J11*K11*L11*M11)</f>
        <v>1.4669236125</v>
      </c>
      <c r="O11" s="119"/>
    </row>
    <row r="12" spans="1:15" x14ac:dyDescent="0.3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1.4669236125</v>
      </c>
      <c r="O12" s="64"/>
    </row>
    <row r="13" spans="1:15" x14ac:dyDescent="0.3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3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ht="15" customHeight="1" x14ac:dyDescent="0.3">
      <c r="A15" s="114">
        <v>10</v>
      </c>
      <c r="B15" s="107" t="s">
        <v>156</v>
      </c>
      <c r="C15" s="113" t="s">
        <v>155</v>
      </c>
      <c r="D15" s="112">
        <v>1.3</v>
      </c>
      <c r="E15" s="107" t="s">
        <v>56</v>
      </c>
      <c r="F15" s="113">
        <v>1</v>
      </c>
      <c r="G15" s="113" t="s">
        <v>204</v>
      </c>
      <c r="H15" s="113">
        <f>1/4</f>
        <v>0.25</v>
      </c>
      <c r="I15" s="112">
        <f>IF(H15="",D15*F15,D15*F15*H15)</f>
        <v>0.32500000000000001</v>
      </c>
      <c r="J15" s="111"/>
      <c r="K15" s="111"/>
      <c r="L15" s="111"/>
      <c r="M15" s="111"/>
      <c r="N15" s="111"/>
      <c r="O15" s="83"/>
    </row>
    <row r="16" spans="1:15" x14ac:dyDescent="0.3">
      <c r="A16" s="110">
        <v>20</v>
      </c>
      <c r="B16" s="107" t="s">
        <v>154</v>
      </c>
      <c r="C16" s="109" t="s">
        <v>203</v>
      </c>
      <c r="D16" s="105">
        <v>0.01</v>
      </c>
      <c r="E16" s="109" t="s">
        <v>66</v>
      </c>
      <c r="F16" s="166">
        <v>63.949199999999998</v>
      </c>
      <c r="G16" s="107" t="s">
        <v>202</v>
      </c>
      <c r="H16" s="106">
        <v>2.5</v>
      </c>
      <c r="I16" s="105">
        <f>IF(H16="",D16*F16,D16*F16*H16)</f>
        <v>1.5987299999999998</v>
      </c>
      <c r="J16" s="60"/>
      <c r="K16" s="60"/>
      <c r="L16" s="60"/>
      <c r="M16" s="60"/>
      <c r="N16" s="60"/>
      <c r="O16" s="64"/>
    </row>
    <row r="17" spans="1:15" x14ac:dyDescent="0.3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1.9237299999999997</v>
      </c>
      <c r="J17" s="67"/>
      <c r="K17" s="67"/>
      <c r="L17" s="67"/>
      <c r="M17" s="67"/>
      <c r="N17" s="67"/>
      <c r="O17" s="64"/>
    </row>
    <row r="18" spans="1:15" x14ac:dyDescent="0.3">
      <c r="A18" s="68"/>
      <c r="B18" s="67"/>
      <c r="C18" s="67"/>
      <c r="D18" s="67"/>
      <c r="E18" s="67"/>
      <c r="F18" s="67"/>
      <c r="G18" s="67"/>
      <c r="H18" s="66"/>
      <c r="I18" s="65"/>
      <c r="J18" s="67"/>
      <c r="K18" s="67"/>
      <c r="L18" s="67"/>
      <c r="M18" s="67"/>
      <c r="N18" s="67"/>
      <c r="O18" s="64"/>
    </row>
    <row r="19" spans="1:15" x14ac:dyDescent="0.3">
      <c r="A19" s="68"/>
      <c r="B19" s="67"/>
      <c r="C19" s="67"/>
      <c r="D19" s="67"/>
      <c r="E19" s="67"/>
      <c r="F19" s="67"/>
      <c r="G19" s="67"/>
      <c r="H19" s="66"/>
      <c r="I19" s="65"/>
      <c r="J19" s="67"/>
      <c r="K19" s="67"/>
      <c r="L19" s="67"/>
      <c r="M19" s="67"/>
      <c r="N19" s="67"/>
      <c r="O19" s="64"/>
    </row>
    <row r="20" spans="1:15" x14ac:dyDescent="0.3">
      <c r="A20" s="68"/>
      <c r="B20" s="67"/>
      <c r="C20" s="67"/>
      <c r="D20" s="67"/>
      <c r="E20" s="67"/>
      <c r="F20" s="67"/>
      <c r="G20" s="67"/>
      <c r="H20" s="66"/>
      <c r="I20" s="65"/>
      <c r="J20" s="67"/>
      <c r="K20" s="67"/>
      <c r="L20" s="67"/>
      <c r="M20" s="67"/>
      <c r="N20" s="67"/>
      <c r="O20" s="64"/>
    </row>
    <row r="21" spans="1:15" x14ac:dyDescent="0.3">
      <c r="A21" s="68"/>
      <c r="B21" s="67"/>
      <c r="C21" s="67"/>
      <c r="D21" s="67"/>
      <c r="E21" s="67"/>
      <c r="F21" s="67"/>
      <c r="G21" s="67"/>
      <c r="H21" s="66"/>
      <c r="I21" s="65"/>
      <c r="J21" s="67"/>
      <c r="K21" s="67"/>
      <c r="L21" s="67"/>
      <c r="M21" s="67"/>
      <c r="N21" s="67"/>
      <c r="O21" s="64"/>
    </row>
    <row r="22" spans="1:15" x14ac:dyDescent="0.3">
      <c r="A22" s="68"/>
      <c r="B22" s="67"/>
      <c r="C22" s="67"/>
      <c r="D22" s="67"/>
      <c r="E22" s="67"/>
      <c r="F22" s="67"/>
      <c r="G22" s="67"/>
      <c r="H22" s="66"/>
      <c r="I22" s="65"/>
      <c r="J22" s="67"/>
      <c r="K22" s="67"/>
      <c r="L22" s="67"/>
      <c r="M22" s="67"/>
      <c r="N22" s="67"/>
      <c r="O22" s="64"/>
    </row>
    <row r="23" spans="1:15" x14ac:dyDescent="0.3">
      <c r="A23" s="68"/>
      <c r="B23" s="67"/>
      <c r="C23" s="67"/>
      <c r="D23" s="67"/>
      <c r="E23" s="67"/>
      <c r="F23" s="67"/>
      <c r="G23" s="67"/>
      <c r="H23" s="66"/>
      <c r="I23" s="65"/>
      <c r="J23" s="67"/>
      <c r="K23" s="67"/>
      <c r="L23" s="67"/>
      <c r="M23" s="67"/>
      <c r="N23" s="67"/>
      <c r="O23" s="64"/>
    </row>
    <row r="24" spans="1:15" x14ac:dyDescent="0.3">
      <c r="A24" s="68"/>
      <c r="B24" s="67"/>
      <c r="C24" s="67"/>
      <c r="D24" s="67"/>
      <c r="E24" s="67"/>
      <c r="F24" s="67"/>
      <c r="G24" s="67"/>
      <c r="H24" s="66"/>
      <c r="I24" s="65"/>
      <c r="J24" s="67"/>
      <c r="K24" s="67"/>
      <c r="L24" s="67"/>
      <c r="M24" s="67"/>
      <c r="N24" s="67"/>
      <c r="O24" s="64"/>
    </row>
    <row r="25" spans="1:15" x14ac:dyDescent="0.3">
      <c r="A25" s="68"/>
      <c r="B25" s="67"/>
      <c r="C25" s="67"/>
      <c r="D25" s="67"/>
      <c r="E25" s="67"/>
      <c r="F25" s="67"/>
      <c r="G25" s="67"/>
      <c r="H25" s="66"/>
      <c r="I25" s="65"/>
      <c r="J25" s="67"/>
      <c r="K25" s="67"/>
      <c r="L25" s="67"/>
      <c r="M25" s="67"/>
      <c r="N25" s="67"/>
      <c r="O25" s="64"/>
    </row>
    <row r="26" spans="1:15" ht="15" thickBot="1" x14ac:dyDescent="0.35">
      <c r="A26" s="63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1"/>
    </row>
  </sheetData>
  <hyperlinks>
    <hyperlink ref="B4" location="'BR A0002'!A1" display="'BR A0002'!A1"/>
    <hyperlink ref="G2" location="BR_A0002_BOM" display="Back to BOM"/>
  </hyperlinks>
  <pageMargins left="0.78749999999999998" right="0.78749999999999998" top="1.05277777777778" bottom="1.05277777777778" header="0.78749999999999998" footer="0.78749999999999998"/>
  <pageSetup paperSize="9" scale="38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6" max="16383" man="1"/>
    <brk id="6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O26"/>
  <sheetViews>
    <sheetView tabSelected="1" zoomScale="75" zoomScaleNormal="75" workbookViewId="0">
      <selection activeCell="F17" sqref="F17"/>
    </sheetView>
  </sheetViews>
  <sheetFormatPr baseColWidth="10" defaultColWidth="9.109375" defaultRowHeight="14.4" x14ac:dyDescent="0.3"/>
  <cols>
    <col min="1" max="1" width="10.5546875" style="59" customWidth="1"/>
    <col min="2" max="2" width="35" style="59" customWidth="1"/>
    <col min="3" max="3" width="21.44140625" style="59" customWidth="1"/>
    <col min="4" max="4" width="9.33203125" style="59" bestFit="1" customWidth="1"/>
    <col min="5" max="5" width="8.6640625" style="59" bestFit="1" customWidth="1"/>
    <col min="6" max="6" width="9.109375" style="59"/>
    <col min="7" max="7" width="37.109375" style="59" bestFit="1" customWidth="1"/>
    <col min="8" max="8" width="10" style="59" bestFit="1" customWidth="1"/>
    <col min="9" max="9" width="31" style="59" bestFit="1" customWidth="1"/>
    <col min="10" max="10" width="10.33203125" style="59" bestFit="1" customWidth="1"/>
    <col min="11" max="11" width="7.5546875" style="59" bestFit="1" customWidth="1"/>
    <col min="12" max="12" width="8" style="59" bestFit="1" customWidth="1"/>
    <col min="13" max="13" width="13.88671875" style="59" bestFit="1" customWidth="1"/>
    <col min="14" max="14" width="9.33203125" style="59" bestFit="1" customWidth="1"/>
    <col min="15" max="15" width="3.109375" style="59" customWidth="1"/>
    <col min="16" max="16384" width="9.109375" style="59"/>
  </cols>
  <sheetData>
    <row r="1" spans="1:15" x14ac:dyDescent="0.3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3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BR_02002_m+BR_02002_p</f>
        <v>6.1541946657382924</v>
      </c>
      <c r="O2" s="64"/>
    </row>
    <row r="3" spans="1:15" x14ac:dyDescent="0.3">
      <c r="A3" s="133" t="s">
        <v>150</v>
      </c>
      <c r="B3" s="95" t="str">
        <f>'BR A0002'!B3</f>
        <v>Brake System</v>
      </c>
      <c r="C3" s="60"/>
      <c r="D3" s="133" t="s">
        <v>145</v>
      </c>
      <c r="E3" s="136" t="s">
        <v>162</v>
      </c>
      <c r="F3" s="60"/>
      <c r="G3" s="60"/>
      <c r="H3" s="60"/>
      <c r="I3" s="60"/>
      <c r="J3" s="60"/>
      <c r="K3" s="60"/>
      <c r="L3" s="60"/>
      <c r="M3" s="133" t="s">
        <v>148</v>
      </c>
      <c r="N3" s="72">
        <v>1</v>
      </c>
      <c r="O3" s="64"/>
    </row>
    <row r="4" spans="1:15" x14ac:dyDescent="0.3">
      <c r="A4" s="133" t="s">
        <v>147</v>
      </c>
      <c r="B4" s="136" t="str">
        <f>'BR A0002'!B4</f>
        <v>Rear Brake Rotor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3">
      <c r="A5" s="133" t="s">
        <v>137</v>
      </c>
      <c r="B5" s="97" t="s">
        <v>216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6.1541946657382924</v>
      </c>
      <c r="O5" s="64"/>
    </row>
    <row r="6" spans="1:15" x14ac:dyDescent="0.3">
      <c r="A6" s="133" t="s">
        <v>144</v>
      </c>
      <c r="B6" s="135" t="s">
        <v>215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3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3">
      <c r="A8" s="133" t="s">
        <v>139</v>
      </c>
      <c r="B8" s="95" t="s">
        <v>214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3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3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3">
      <c r="A11" s="128">
        <v>10</v>
      </c>
      <c r="B11" s="127" t="s">
        <v>213</v>
      </c>
      <c r="C11" s="125" t="s">
        <v>206</v>
      </c>
      <c r="D11" s="105">
        <v>2.25</v>
      </c>
      <c r="E11" s="153">
        <f>J11*K11*L11</f>
        <v>0.83875318477257421</v>
      </c>
      <c r="F11" s="125" t="s">
        <v>158</v>
      </c>
      <c r="G11" s="125"/>
      <c r="H11" s="124"/>
      <c r="I11" s="123" t="s">
        <v>212</v>
      </c>
      <c r="J11" s="121">
        <f>PI()*(0.16495/2)^2</f>
        <v>2.1369507892294883E-2</v>
      </c>
      <c r="K11" s="152">
        <v>5.0000000000000001E-3</v>
      </c>
      <c r="L11" s="217">
        <v>7850</v>
      </c>
      <c r="M11" s="218">
        <v>1</v>
      </c>
      <c r="N11" s="105">
        <f>IF(J11="",D11*M11,D11*J11*K11*L11*M11)</f>
        <v>1.8871946657382919</v>
      </c>
      <c r="O11" s="119"/>
    </row>
    <row r="12" spans="1:15" x14ac:dyDescent="0.3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1.8871946657382919</v>
      </c>
      <c r="O12" s="64"/>
    </row>
    <row r="13" spans="1:15" x14ac:dyDescent="0.3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3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x14ac:dyDescent="0.3">
      <c r="A15" s="114">
        <v>10</v>
      </c>
      <c r="B15" s="107" t="s">
        <v>156</v>
      </c>
      <c r="C15" s="113" t="s">
        <v>211</v>
      </c>
      <c r="D15" s="112">
        <v>1.3</v>
      </c>
      <c r="E15" s="107" t="s">
        <v>56</v>
      </c>
      <c r="F15" s="113">
        <v>1</v>
      </c>
      <c r="G15" s="113" t="s">
        <v>204</v>
      </c>
      <c r="H15" s="113">
        <f>1/4</f>
        <v>0.25</v>
      </c>
      <c r="I15" s="112">
        <f>IF(H15="",D15*F15,D15*F15*H15)</f>
        <v>0.32500000000000001</v>
      </c>
      <c r="J15" s="111"/>
      <c r="K15" s="111"/>
      <c r="L15" s="111"/>
      <c r="M15" s="111"/>
      <c r="N15" s="111"/>
      <c r="O15" s="83"/>
    </row>
    <row r="16" spans="1:15" x14ac:dyDescent="0.3">
      <c r="A16" s="110">
        <v>20</v>
      </c>
      <c r="B16" s="107" t="s">
        <v>154</v>
      </c>
      <c r="C16" s="109" t="s">
        <v>203</v>
      </c>
      <c r="D16" s="105">
        <v>0.01</v>
      </c>
      <c r="E16" s="109" t="s">
        <v>66</v>
      </c>
      <c r="F16" s="167">
        <v>131.4</v>
      </c>
      <c r="G16" s="107" t="s">
        <v>153</v>
      </c>
      <c r="H16" s="106">
        <v>3</v>
      </c>
      <c r="I16" s="105">
        <f>IF(H16="",D16*F16,D16*F16*H16)</f>
        <v>3.9420000000000002</v>
      </c>
      <c r="J16" s="60"/>
      <c r="K16" s="60"/>
      <c r="L16" s="60"/>
      <c r="M16" s="60"/>
      <c r="N16" s="60"/>
      <c r="O16" s="64"/>
    </row>
    <row r="17" spans="1:15" x14ac:dyDescent="0.3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4.2670000000000003</v>
      </c>
      <c r="J17" s="67"/>
      <c r="K17" s="67"/>
      <c r="L17" s="67"/>
      <c r="M17" s="67"/>
      <c r="N17" s="67"/>
      <c r="O17" s="64"/>
    </row>
    <row r="18" spans="1:15" x14ac:dyDescent="0.3">
      <c r="A18" s="68"/>
      <c r="B18" s="67"/>
      <c r="C18" s="67"/>
      <c r="D18" s="67"/>
      <c r="E18" s="67"/>
      <c r="F18" s="67"/>
      <c r="G18" s="67"/>
      <c r="H18" s="66"/>
      <c r="I18" s="65"/>
      <c r="J18" s="67"/>
      <c r="K18" s="67"/>
      <c r="L18" s="67"/>
      <c r="M18" s="67"/>
      <c r="N18" s="67"/>
      <c r="O18" s="64"/>
    </row>
    <row r="19" spans="1:15" x14ac:dyDescent="0.3">
      <c r="A19" s="68"/>
      <c r="B19" s="67"/>
      <c r="C19" s="67"/>
      <c r="D19" s="67"/>
      <c r="E19" s="67"/>
      <c r="F19" s="67"/>
      <c r="G19" s="67"/>
      <c r="H19" s="66"/>
      <c r="I19" s="65"/>
      <c r="J19" s="67"/>
      <c r="K19" s="67"/>
      <c r="L19" s="67"/>
      <c r="M19" s="67"/>
      <c r="N19" s="67"/>
      <c r="O19" s="64"/>
    </row>
    <row r="20" spans="1:15" x14ac:dyDescent="0.3">
      <c r="A20" s="68"/>
      <c r="B20" s="67"/>
      <c r="C20" s="67"/>
      <c r="D20" s="67"/>
      <c r="E20" s="67"/>
      <c r="F20" s="67"/>
      <c r="G20" s="67"/>
      <c r="H20" s="66"/>
      <c r="I20" s="65"/>
      <c r="J20" s="67"/>
      <c r="K20" s="67"/>
      <c r="L20" s="67"/>
      <c r="M20" s="67"/>
      <c r="N20" s="67"/>
      <c r="O20" s="64"/>
    </row>
    <row r="21" spans="1:15" x14ac:dyDescent="0.3">
      <c r="A21" s="68"/>
      <c r="B21" s="67"/>
      <c r="C21" s="67"/>
      <c r="D21" s="67"/>
      <c r="E21" s="67"/>
      <c r="F21" s="67"/>
      <c r="G21" s="67"/>
      <c r="H21" s="66"/>
      <c r="I21" s="65"/>
      <c r="J21" s="67"/>
      <c r="K21" s="67"/>
      <c r="L21" s="67"/>
      <c r="M21" s="67"/>
      <c r="N21" s="67"/>
      <c r="O21" s="64"/>
    </row>
    <row r="22" spans="1:15" x14ac:dyDescent="0.3">
      <c r="A22" s="68"/>
      <c r="B22" s="67"/>
      <c r="C22" s="67"/>
      <c r="D22" s="67"/>
      <c r="E22" s="67"/>
      <c r="F22" s="67"/>
      <c r="G22" s="67"/>
      <c r="H22" s="66"/>
      <c r="I22" s="65"/>
      <c r="J22" s="67"/>
      <c r="K22" s="67"/>
      <c r="L22" s="67"/>
      <c r="M22" s="67"/>
      <c r="N22" s="67"/>
      <c r="O22" s="64"/>
    </row>
    <row r="23" spans="1:15" x14ac:dyDescent="0.3">
      <c r="A23" s="68"/>
      <c r="B23" s="67"/>
      <c r="C23" s="67"/>
      <c r="D23" s="67"/>
      <c r="E23" s="67"/>
      <c r="F23" s="67"/>
      <c r="G23" s="67"/>
      <c r="H23" s="66"/>
      <c r="I23" s="65"/>
      <c r="J23" s="67"/>
      <c r="K23" s="67"/>
      <c r="L23" s="67"/>
      <c r="M23" s="67"/>
      <c r="N23" s="67"/>
      <c r="O23" s="64"/>
    </row>
    <row r="24" spans="1:15" x14ac:dyDescent="0.3">
      <c r="A24" s="68"/>
      <c r="B24" s="67"/>
      <c r="C24" s="67"/>
      <c r="D24" s="67"/>
      <c r="E24" s="67"/>
      <c r="F24" s="67"/>
      <c r="G24" s="67"/>
      <c r="H24" s="66"/>
      <c r="I24" s="65"/>
      <c r="J24" s="67"/>
      <c r="K24" s="67"/>
      <c r="L24" s="67"/>
      <c r="M24" s="67"/>
      <c r="N24" s="67"/>
      <c r="O24" s="64"/>
    </row>
    <row r="25" spans="1:15" x14ac:dyDescent="0.3">
      <c r="A25" s="68"/>
      <c r="B25" s="67"/>
      <c r="C25" s="67"/>
      <c r="D25" s="67"/>
      <c r="E25" s="67"/>
      <c r="F25" s="67"/>
      <c r="G25" s="67"/>
      <c r="H25" s="66"/>
      <c r="I25" s="65"/>
      <c r="J25" s="67"/>
      <c r="K25" s="67"/>
      <c r="L25" s="67"/>
      <c r="M25" s="67"/>
      <c r="N25" s="67"/>
      <c r="O25" s="64"/>
    </row>
    <row r="26" spans="1:15" ht="15" thickBot="1" x14ac:dyDescent="0.35">
      <c r="A26" s="63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1"/>
    </row>
  </sheetData>
  <hyperlinks>
    <hyperlink ref="B4" location="'BR A0002'!A1" display="'BR A0002'!A1"/>
    <hyperlink ref="E3" location="'dBR 02002'!A1" display="Drawing"/>
    <hyperlink ref="G2" location="BR_A0002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6" max="16383" man="1"/>
    <brk id="6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B1"/>
  <sheetViews>
    <sheetView tabSelected="1" workbookViewId="0">
      <selection activeCell="F17" sqref="F17"/>
    </sheetView>
  </sheetViews>
  <sheetFormatPr baseColWidth="10" defaultColWidth="11.44140625" defaultRowHeight="14.4" x14ac:dyDescent="0.3"/>
  <cols>
    <col min="1" max="1" width="13.33203125" style="59" bestFit="1" customWidth="1"/>
    <col min="2" max="16384" width="11.44140625" style="59"/>
  </cols>
  <sheetData>
    <row r="1" spans="1:2" x14ac:dyDescent="0.3">
      <c r="A1" s="138" t="s">
        <v>163</v>
      </c>
      <c r="B1" s="136" t="s">
        <v>215</v>
      </c>
    </row>
  </sheetData>
  <hyperlinks>
    <hyperlink ref="B1" location="'BR 02002'!A1" display="BR 02002"/>
  </hyperlinks>
  <pageMargins left="0.7" right="0.7" top="0.75" bottom="0.75" header="0.3" footer="0.3"/>
  <pageSetup paperSize="9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O19"/>
  <sheetViews>
    <sheetView tabSelected="1" zoomScale="75" zoomScaleNormal="75" workbookViewId="0">
      <selection activeCell="F17" sqref="F17"/>
    </sheetView>
  </sheetViews>
  <sheetFormatPr baseColWidth="10" defaultColWidth="9.109375" defaultRowHeight="14.4" x14ac:dyDescent="0.3"/>
  <cols>
    <col min="1" max="1" width="10.5546875" style="59" customWidth="1"/>
    <col min="2" max="2" width="48.33203125" style="59" bestFit="1" customWidth="1"/>
    <col min="3" max="3" width="19.109375" style="59" bestFit="1" customWidth="1"/>
    <col min="4" max="4" width="9.33203125" style="59" bestFit="1" customWidth="1"/>
    <col min="5" max="6" width="9.109375" style="59"/>
    <col min="7" max="7" width="19" style="59" bestFit="1" customWidth="1"/>
    <col min="8" max="8" width="10" style="59" bestFit="1" customWidth="1"/>
    <col min="9" max="9" width="26.88671875" style="59" bestFit="1" customWidth="1"/>
    <col min="10" max="10" width="10.33203125" style="59" bestFit="1" customWidth="1"/>
    <col min="11" max="11" width="7.5546875" style="59" bestFit="1" customWidth="1"/>
    <col min="12" max="12" width="8" style="59" bestFit="1" customWidth="1"/>
    <col min="13" max="13" width="13.88671875" style="59" bestFit="1" customWidth="1"/>
    <col min="14" max="14" width="9.33203125" style="59" bestFit="1" customWidth="1"/>
    <col min="15" max="15" width="3.109375" style="59" customWidth="1"/>
    <col min="16" max="16384" width="9.109375" style="59"/>
  </cols>
  <sheetData>
    <row r="1" spans="1:15" x14ac:dyDescent="0.3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3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BR_02003_m+BR_02003_p</f>
        <v>0.26854397491666665</v>
      </c>
      <c r="O2" s="64"/>
    </row>
    <row r="3" spans="1:15" x14ac:dyDescent="0.3">
      <c r="A3" s="133" t="s">
        <v>150</v>
      </c>
      <c r="B3" s="95" t="str">
        <f>'BR A0002'!B3</f>
        <v>Brake System</v>
      </c>
      <c r="C3" s="60"/>
      <c r="D3" s="133" t="s">
        <v>145</v>
      </c>
      <c r="E3" s="136"/>
      <c r="F3" s="60"/>
      <c r="G3" s="60"/>
      <c r="H3" s="60"/>
      <c r="I3" s="60"/>
      <c r="J3" s="60"/>
      <c r="K3" s="60"/>
      <c r="L3" s="60"/>
      <c r="M3" s="133" t="s">
        <v>148</v>
      </c>
      <c r="N3" s="72">
        <v>6</v>
      </c>
      <c r="O3" s="64"/>
    </row>
    <row r="4" spans="1:15" x14ac:dyDescent="0.3">
      <c r="A4" s="133" t="s">
        <v>147</v>
      </c>
      <c r="B4" s="136" t="str">
        <f>'BR A0002'!B4</f>
        <v>Rear Brake Rotor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3">
      <c r="A5" s="133" t="s">
        <v>137</v>
      </c>
      <c r="B5" s="97" t="s">
        <v>222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1.6112638494999998</v>
      </c>
      <c r="O5" s="64"/>
    </row>
    <row r="6" spans="1:15" x14ac:dyDescent="0.3">
      <c r="A6" s="133" t="s">
        <v>144</v>
      </c>
      <c r="B6" s="135" t="s">
        <v>221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3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3">
      <c r="A8" s="133" t="s">
        <v>139</v>
      </c>
      <c r="B8" s="95" t="s">
        <v>220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3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3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3">
      <c r="A11" s="128">
        <v>10</v>
      </c>
      <c r="B11" s="127" t="s">
        <v>213</v>
      </c>
      <c r="C11" s="125" t="s">
        <v>219</v>
      </c>
      <c r="D11" s="105">
        <v>2.25</v>
      </c>
      <c r="E11" s="126">
        <f>L11*K11*J11</f>
        <v>1.6036136999999999E-2</v>
      </c>
      <c r="F11" s="125" t="s">
        <v>158</v>
      </c>
      <c r="G11" s="125"/>
      <c r="H11" s="124"/>
      <c r="I11" s="123" t="s">
        <v>218</v>
      </c>
      <c r="J11" s="121">
        <v>2.2698E-4</v>
      </c>
      <c r="K11" s="152">
        <v>8.9999999999999993E-3</v>
      </c>
      <c r="L11" s="217">
        <v>7850</v>
      </c>
      <c r="M11" s="218">
        <v>1</v>
      </c>
      <c r="N11" s="105">
        <f>IF(J11="",D11*M11,D11*J11*K11*L11*M11)</f>
        <v>3.6081308249999992E-2</v>
      </c>
      <c r="O11" s="119"/>
    </row>
    <row r="12" spans="1:15" x14ac:dyDescent="0.3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3.6081308249999992E-2</v>
      </c>
      <c r="O12" s="64"/>
    </row>
    <row r="13" spans="1:15" x14ac:dyDescent="0.3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3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ht="28.8" x14ac:dyDescent="0.3">
      <c r="A15" s="114">
        <v>10</v>
      </c>
      <c r="B15" s="107" t="s">
        <v>156</v>
      </c>
      <c r="C15" s="113" t="s">
        <v>217</v>
      </c>
      <c r="D15" s="112">
        <v>1.3</v>
      </c>
      <c r="E15" s="107" t="s">
        <v>56</v>
      </c>
      <c r="F15" s="113">
        <v>1</v>
      </c>
      <c r="G15" s="113" t="s">
        <v>239</v>
      </c>
      <c r="H15" s="220">
        <f>1/24</f>
        <v>4.1666666666666664E-2</v>
      </c>
      <c r="I15" s="112">
        <f>IF(H15="",D15*F15,D15*F15*H15)</f>
        <v>5.4166666666666669E-2</v>
      </c>
      <c r="J15" s="111"/>
      <c r="K15" s="111"/>
      <c r="L15" s="111"/>
      <c r="M15" s="111"/>
      <c r="N15" s="111"/>
      <c r="O15" s="83"/>
    </row>
    <row r="16" spans="1:15" x14ac:dyDescent="0.3">
      <c r="A16" s="110">
        <v>20</v>
      </c>
      <c r="B16" s="107" t="s">
        <v>168</v>
      </c>
      <c r="C16" s="109"/>
      <c r="D16" s="105">
        <v>0.04</v>
      </c>
      <c r="E16" s="109" t="s">
        <v>167</v>
      </c>
      <c r="F16" s="108">
        <v>1.4858</v>
      </c>
      <c r="G16" s="107" t="s">
        <v>153</v>
      </c>
      <c r="H16" s="106">
        <v>3</v>
      </c>
      <c r="I16" s="105">
        <f>IF(H16="",D16*F16,D16*F16*H16)</f>
        <v>0.17829600000000001</v>
      </c>
      <c r="J16" s="60"/>
      <c r="K16" s="60"/>
      <c r="L16" s="60"/>
      <c r="M16" s="60"/>
      <c r="N16" s="60"/>
      <c r="O16" s="64"/>
    </row>
    <row r="17" spans="1:15" x14ac:dyDescent="0.3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0.23246266666666668</v>
      </c>
      <c r="J17" s="67"/>
      <c r="K17" s="67"/>
      <c r="L17" s="67"/>
      <c r="M17" s="67"/>
      <c r="N17" s="67"/>
      <c r="O17" s="64"/>
    </row>
    <row r="18" spans="1:15" x14ac:dyDescent="0.3">
      <c r="A18" s="78"/>
      <c r="B18" s="60"/>
      <c r="C18" s="60"/>
      <c r="D18" s="60"/>
      <c r="E18" s="60"/>
      <c r="F18" s="60"/>
      <c r="G18" s="60"/>
      <c r="H18" s="60"/>
      <c r="I18" s="87"/>
      <c r="J18" s="60"/>
      <c r="K18" s="60"/>
      <c r="L18" s="60"/>
      <c r="M18" s="60"/>
      <c r="N18" s="60"/>
      <c r="O18" s="64"/>
    </row>
    <row r="19" spans="1:15" ht="15" thickBot="1" x14ac:dyDescent="0.35">
      <c r="A19" s="63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1"/>
    </row>
  </sheetData>
  <hyperlinks>
    <hyperlink ref="B4" location="'BR A0002'!A1" display="'BR A0002'!A1"/>
    <hyperlink ref="G2" location="BR_A0002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O22"/>
  <sheetViews>
    <sheetView tabSelected="1" zoomScale="75" zoomScaleNormal="75" workbookViewId="0">
      <selection activeCell="F17" sqref="F17"/>
    </sheetView>
  </sheetViews>
  <sheetFormatPr baseColWidth="10" defaultColWidth="9.109375" defaultRowHeight="14.4" x14ac:dyDescent="0.3"/>
  <cols>
    <col min="1" max="1" width="10.5546875" style="59" bestFit="1" customWidth="1"/>
    <col min="2" max="2" width="34.44140625" style="59" bestFit="1" customWidth="1"/>
    <col min="3" max="3" width="30.88671875" style="59" bestFit="1" customWidth="1"/>
    <col min="4" max="4" width="9.33203125" style="59" bestFit="1" customWidth="1"/>
    <col min="5" max="5" width="8.6640625" style="59" bestFit="1" customWidth="1"/>
    <col min="6" max="6" width="9.109375" style="59"/>
    <col min="7" max="7" width="37.109375" style="59" bestFit="1" customWidth="1"/>
    <col min="8" max="8" width="10" style="59" bestFit="1" customWidth="1"/>
    <col min="9" max="9" width="24" style="59" bestFit="1" customWidth="1"/>
    <col min="10" max="10" width="10.33203125" style="59" bestFit="1" customWidth="1"/>
    <col min="11" max="11" width="7.5546875" style="59" bestFit="1" customWidth="1"/>
    <col min="12" max="12" width="8" style="59" bestFit="1" customWidth="1"/>
    <col min="13" max="13" width="13.88671875" style="59" bestFit="1" customWidth="1"/>
    <col min="14" max="14" width="9.33203125" style="59" bestFit="1" customWidth="1"/>
    <col min="15" max="15" width="3.109375" style="59" customWidth="1"/>
    <col min="16" max="16384" width="9.109375" style="59"/>
  </cols>
  <sheetData>
    <row r="1" spans="1:15" x14ac:dyDescent="0.3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3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BR_02004_m+BR_02004_p</f>
        <v>0.28175735472631153</v>
      </c>
      <c r="O2" s="64"/>
    </row>
    <row r="3" spans="1:15" x14ac:dyDescent="0.3">
      <c r="A3" s="133" t="s">
        <v>150</v>
      </c>
      <c r="B3" s="95" t="str">
        <f>'BR A0002'!B3</f>
        <v>Brake System</v>
      </c>
      <c r="C3" s="60"/>
      <c r="D3" s="133" t="s">
        <v>145</v>
      </c>
      <c r="E3" s="136" t="s">
        <v>162</v>
      </c>
      <c r="F3" s="60"/>
      <c r="G3" s="60"/>
      <c r="H3" s="60"/>
      <c r="I3" s="60"/>
      <c r="J3" s="60"/>
      <c r="K3" s="60"/>
      <c r="L3" s="60"/>
      <c r="M3" s="133" t="s">
        <v>148</v>
      </c>
      <c r="N3" s="72">
        <v>2</v>
      </c>
      <c r="O3" s="64"/>
    </row>
    <row r="4" spans="1:15" x14ac:dyDescent="0.3">
      <c r="A4" s="133" t="s">
        <v>147</v>
      </c>
      <c r="B4" s="136" t="str">
        <f>'BR A0002'!B4</f>
        <v>Rear Brake Rotor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3">
      <c r="A5" s="133" t="s">
        <v>137</v>
      </c>
      <c r="B5" s="97" t="s">
        <v>228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0.56351470945262305</v>
      </c>
      <c r="O5" s="64"/>
    </row>
    <row r="6" spans="1:15" x14ac:dyDescent="0.3">
      <c r="A6" s="133" t="s">
        <v>144</v>
      </c>
      <c r="B6" s="135" t="s">
        <v>227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3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3">
      <c r="A8" s="133" t="s">
        <v>139</v>
      </c>
      <c r="B8" s="95" t="s">
        <v>226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3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3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3">
      <c r="A11" s="128">
        <v>10</v>
      </c>
      <c r="B11" s="127" t="s">
        <v>213</v>
      </c>
      <c r="C11" s="125" t="s">
        <v>225</v>
      </c>
      <c r="D11" s="105">
        <v>2.25</v>
      </c>
      <c r="E11" s="153">
        <f>J11*K11*L11</f>
        <v>1.7817935433916212E-2</v>
      </c>
      <c r="F11" s="125" t="s">
        <v>158</v>
      </c>
      <c r="G11" s="125"/>
      <c r="H11" s="124"/>
      <c r="I11" s="123" t="s">
        <v>224</v>
      </c>
      <c r="J11" s="121">
        <f>PI()*(0.017/2)^2</f>
        <v>2.2698006922186259E-4</v>
      </c>
      <c r="K11" s="152">
        <v>0.01</v>
      </c>
      <c r="L11" s="217">
        <v>7850</v>
      </c>
      <c r="M11" s="218">
        <v>1</v>
      </c>
      <c r="N11" s="105">
        <f>IF(J11="",D11*M11,D11*J11*K11*L11*M11)</f>
        <v>4.0090354726311485E-2</v>
      </c>
      <c r="O11" s="119"/>
    </row>
    <row r="12" spans="1:15" x14ac:dyDescent="0.3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4.0090354726311485E-2</v>
      </c>
      <c r="O12" s="64"/>
    </row>
    <row r="13" spans="1:15" x14ac:dyDescent="0.3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3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x14ac:dyDescent="0.3">
      <c r="A15" s="114">
        <v>10</v>
      </c>
      <c r="B15" s="107" t="s">
        <v>156</v>
      </c>
      <c r="C15" s="113" t="s">
        <v>155</v>
      </c>
      <c r="D15" s="112">
        <v>1.3</v>
      </c>
      <c r="E15" s="107" t="s">
        <v>56</v>
      </c>
      <c r="F15" s="113">
        <v>1</v>
      </c>
      <c r="G15" s="113" t="s">
        <v>223</v>
      </c>
      <c r="H15" s="113">
        <f>1/8</f>
        <v>0.125</v>
      </c>
      <c r="I15" s="112">
        <f>IF(H15="",D15*F15,D15*F15*H15)</f>
        <v>0.16250000000000001</v>
      </c>
      <c r="J15" s="111"/>
      <c r="K15" s="111"/>
      <c r="L15" s="111"/>
      <c r="M15" s="111"/>
      <c r="N15" s="111"/>
      <c r="O15" s="83"/>
    </row>
    <row r="16" spans="1:15" x14ac:dyDescent="0.3">
      <c r="A16" s="110">
        <v>20</v>
      </c>
      <c r="B16" s="107" t="s">
        <v>154</v>
      </c>
      <c r="C16" s="109" t="s">
        <v>203</v>
      </c>
      <c r="D16" s="105">
        <v>0.01</v>
      </c>
      <c r="E16" s="109" t="s">
        <v>66</v>
      </c>
      <c r="F16" s="108">
        <v>2.6389</v>
      </c>
      <c r="G16" s="107" t="s">
        <v>153</v>
      </c>
      <c r="H16" s="106">
        <v>3</v>
      </c>
      <c r="I16" s="105">
        <f>IF(H16="",D16*F16,D16*F16*H16)</f>
        <v>7.9167000000000001E-2</v>
      </c>
      <c r="J16" s="60"/>
      <c r="K16" s="60"/>
      <c r="L16" s="60"/>
      <c r="M16" s="60"/>
      <c r="N16" s="60"/>
      <c r="O16" s="64"/>
    </row>
    <row r="17" spans="1:15" x14ac:dyDescent="0.3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0.24166700000000002</v>
      </c>
      <c r="J17" s="67"/>
      <c r="K17" s="67"/>
      <c r="L17" s="67"/>
      <c r="M17" s="67"/>
      <c r="N17" s="67"/>
      <c r="O17" s="64"/>
    </row>
    <row r="18" spans="1:15" x14ac:dyDescent="0.3">
      <c r="A18" s="78"/>
      <c r="B18" s="60"/>
      <c r="C18" s="60"/>
      <c r="D18" s="60"/>
      <c r="E18" s="60"/>
      <c r="F18" s="60"/>
      <c r="G18" s="60"/>
      <c r="H18" s="60"/>
      <c r="I18" s="87"/>
      <c r="J18" s="60"/>
      <c r="K18" s="60"/>
      <c r="L18" s="60"/>
      <c r="M18" s="60"/>
      <c r="N18" s="60"/>
      <c r="O18" s="64"/>
    </row>
    <row r="19" spans="1:15" x14ac:dyDescent="0.3">
      <c r="A19" s="78"/>
      <c r="B19" s="60"/>
      <c r="C19" s="60"/>
      <c r="D19" s="60"/>
      <c r="E19" s="60"/>
      <c r="F19" s="60"/>
      <c r="G19" s="60"/>
      <c r="H19" s="60"/>
      <c r="I19" s="87"/>
      <c r="J19" s="60"/>
      <c r="K19" s="60"/>
      <c r="L19" s="60"/>
      <c r="M19" s="60"/>
      <c r="N19" s="60"/>
      <c r="O19" s="64"/>
    </row>
    <row r="20" spans="1:15" x14ac:dyDescent="0.3">
      <c r="A20" s="78"/>
      <c r="B20" s="60"/>
      <c r="C20" s="60"/>
      <c r="D20" s="60"/>
      <c r="E20" s="60"/>
      <c r="F20" s="60"/>
      <c r="G20" s="60"/>
      <c r="H20" s="60"/>
      <c r="I20" s="87"/>
      <c r="J20" s="60"/>
      <c r="K20" s="60"/>
      <c r="L20" s="60"/>
      <c r="M20" s="60"/>
      <c r="N20" s="60"/>
      <c r="O20" s="64"/>
    </row>
    <row r="21" spans="1:15" x14ac:dyDescent="0.3">
      <c r="A21" s="78"/>
      <c r="B21" s="60"/>
      <c r="C21" s="60"/>
      <c r="D21" s="60"/>
      <c r="E21" s="60"/>
      <c r="F21" s="60"/>
      <c r="G21" s="60"/>
      <c r="H21" s="60"/>
      <c r="I21" s="87"/>
      <c r="J21" s="60"/>
      <c r="K21" s="60"/>
      <c r="L21" s="60"/>
      <c r="M21" s="60"/>
      <c r="N21" s="60"/>
      <c r="O21" s="64"/>
    </row>
    <row r="22" spans="1:15" ht="15" thickBot="1" x14ac:dyDescent="0.35">
      <c r="A22" s="63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1"/>
    </row>
  </sheetData>
  <hyperlinks>
    <hyperlink ref="B4" location="'BR A0002'!A1" display="'BR A0002'!A1"/>
    <hyperlink ref="E3" location="'dBR 02004'!A1" display="Drawing"/>
    <hyperlink ref="G2" location="BR_A0002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B1"/>
  <sheetViews>
    <sheetView tabSelected="1" workbookViewId="0">
      <selection activeCell="F17" sqref="F17"/>
    </sheetView>
  </sheetViews>
  <sheetFormatPr baseColWidth="10" defaultColWidth="11.44140625" defaultRowHeight="14.4" x14ac:dyDescent="0.3"/>
  <cols>
    <col min="1" max="1" width="13.33203125" style="59" bestFit="1" customWidth="1"/>
    <col min="2" max="16384" width="11.44140625" style="59"/>
  </cols>
  <sheetData>
    <row r="1" spans="1:2" x14ac:dyDescent="0.3">
      <c r="A1" s="59" t="s">
        <v>163</v>
      </c>
      <c r="B1" s="136" t="s">
        <v>227</v>
      </c>
    </row>
  </sheetData>
  <hyperlinks>
    <hyperlink ref="B1" location="'BR 02004'!A1" display="BR 02004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O85"/>
  <sheetViews>
    <sheetView tabSelected="1" zoomScale="55" zoomScaleNormal="55" zoomScaleSheetLayoutView="80" workbookViewId="0">
      <selection activeCell="F17" sqref="F17"/>
    </sheetView>
  </sheetViews>
  <sheetFormatPr baseColWidth="10" defaultColWidth="9.109375" defaultRowHeight="14.4" x14ac:dyDescent="0.3"/>
  <cols>
    <col min="1" max="1" width="10.44140625" style="82" bestFit="1" customWidth="1"/>
    <col min="2" max="2" width="45.44140625" style="82" bestFit="1" customWidth="1"/>
    <col min="3" max="3" width="51.88671875" style="82" bestFit="1" customWidth="1"/>
    <col min="4" max="4" width="9.109375" style="82" bestFit="1" customWidth="1"/>
    <col min="5" max="5" width="12.109375" style="82" bestFit="1" customWidth="1"/>
    <col min="6" max="6" width="8.6640625" style="82" bestFit="1" customWidth="1"/>
    <col min="7" max="7" width="10" style="82" bestFit="1" customWidth="1"/>
    <col min="8" max="8" width="9.33203125" style="82" customWidth="1"/>
    <col min="9" max="9" width="11" style="82" bestFit="1" customWidth="1"/>
    <col min="10" max="10" width="9" style="82" bestFit="1" customWidth="1"/>
    <col min="11" max="11" width="7.109375" style="82" bestFit="1" customWidth="1"/>
    <col min="12" max="12" width="7.6640625" style="82" bestFit="1" customWidth="1"/>
    <col min="13" max="13" width="13.6640625" style="82" bestFit="1" customWidth="1"/>
    <col min="14" max="14" width="9.109375" style="82" bestFit="1" customWidth="1"/>
    <col min="15" max="15" width="5.33203125" style="82" customWidth="1"/>
    <col min="16" max="16" width="3.6640625" style="82" customWidth="1"/>
    <col min="17" max="16384" width="9.109375" style="82"/>
  </cols>
  <sheetData>
    <row r="1" spans="1:15" x14ac:dyDescent="0.3">
      <c r="A1" s="191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3"/>
    </row>
    <row r="2" spans="1:15" x14ac:dyDescent="0.3">
      <c r="A2" s="190" t="s">
        <v>24</v>
      </c>
      <c r="B2" s="194" t="s">
        <v>23</v>
      </c>
      <c r="C2" s="111"/>
      <c r="D2" s="111"/>
      <c r="E2" s="195" t="s">
        <v>152</v>
      </c>
      <c r="F2" s="111"/>
      <c r="G2" s="111"/>
      <c r="H2" s="111"/>
      <c r="I2" s="111"/>
      <c r="J2" s="190" t="s">
        <v>18</v>
      </c>
      <c r="K2" s="196">
        <v>81</v>
      </c>
      <c r="L2" s="111"/>
      <c r="M2" s="190" t="s">
        <v>151</v>
      </c>
      <c r="N2" s="197">
        <f>BR_A0003_pa+BR_A0003_m+BR_A0003_p+BR_A0003_f</f>
        <v>705.12513809888117</v>
      </c>
      <c r="O2" s="83"/>
    </row>
    <row r="3" spans="1:15" x14ac:dyDescent="0.3">
      <c r="A3" s="190" t="s">
        <v>150</v>
      </c>
      <c r="B3" s="194" t="s">
        <v>149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90" t="s">
        <v>148</v>
      </c>
      <c r="N3" s="154">
        <v>1</v>
      </c>
      <c r="O3" s="83"/>
    </row>
    <row r="4" spans="1:15" x14ac:dyDescent="0.3">
      <c r="A4" s="190" t="s">
        <v>147</v>
      </c>
      <c r="B4" s="180" t="s">
        <v>146</v>
      </c>
      <c r="C4" s="111"/>
      <c r="D4" s="111"/>
      <c r="E4" s="111"/>
      <c r="F4" s="111"/>
      <c r="G4" s="111"/>
      <c r="H4" s="111"/>
      <c r="I4" s="111"/>
      <c r="J4" s="198" t="s">
        <v>145</v>
      </c>
      <c r="K4" s="111"/>
      <c r="L4" s="111"/>
      <c r="M4" s="111"/>
      <c r="N4" s="111"/>
      <c r="O4" s="83"/>
    </row>
    <row r="5" spans="1:15" x14ac:dyDescent="0.3">
      <c r="A5" s="190" t="s">
        <v>144</v>
      </c>
      <c r="B5" s="199" t="s">
        <v>235</v>
      </c>
      <c r="C5" s="111"/>
      <c r="D5" s="111"/>
      <c r="E5" s="111"/>
      <c r="F5" s="111"/>
      <c r="G5" s="111"/>
      <c r="H5" s="111"/>
      <c r="I5" s="111"/>
      <c r="J5" s="198" t="s">
        <v>143</v>
      </c>
      <c r="K5" s="111"/>
      <c r="L5" s="111"/>
      <c r="M5" s="190" t="s">
        <v>142</v>
      </c>
      <c r="N5" s="178">
        <f>N2*N3</f>
        <v>705.12513809888117</v>
      </c>
      <c r="O5" s="83"/>
    </row>
    <row r="6" spans="1:15" x14ac:dyDescent="0.3">
      <c r="A6" s="190" t="s">
        <v>141</v>
      </c>
      <c r="B6" s="194" t="s">
        <v>1</v>
      </c>
      <c r="C6" s="111"/>
      <c r="D6" s="111"/>
      <c r="E6" s="111"/>
      <c r="F6" s="111"/>
      <c r="G6" s="111"/>
      <c r="H6" s="111"/>
      <c r="I6" s="111"/>
      <c r="J6" s="198" t="s">
        <v>140</v>
      </c>
      <c r="K6" s="111"/>
      <c r="L6" s="111"/>
      <c r="M6" s="111"/>
      <c r="N6" s="111"/>
      <c r="O6" s="83"/>
    </row>
    <row r="7" spans="1:15" x14ac:dyDescent="0.3">
      <c r="A7" s="190" t="s">
        <v>139</v>
      </c>
      <c r="B7" s="194" t="s">
        <v>138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83"/>
    </row>
    <row r="8" spans="1:15" x14ac:dyDescent="0.3">
      <c r="A8" s="189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83"/>
    </row>
    <row r="9" spans="1:15" x14ac:dyDescent="0.3">
      <c r="A9" s="190" t="s">
        <v>35</v>
      </c>
      <c r="B9" s="200" t="s">
        <v>137</v>
      </c>
      <c r="C9" s="190" t="s">
        <v>136</v>
      </c>
      <c r="D9" s="190" t="s">
        <v>8</v>
      </c>
      <c r="E9" s="190" t="s">
        <v>25</v>
      </c>
      <c r="F9" s="111"/>
      <c r="G9" s="111"/>
      <c r="H9" s="111"/>
      <c r="I9" s="111"/>
      <c r="J9" s="111"/>
      <c r="K9" s="111"/>
      <c r="L9" s="111"/>
      <c r="M9" s="111"/>
      <c r="N9" s="111"/>
      <c r="O9" s="83"/>
    </row>
    <row r="10" spans="1:15" x14ac:dyDescent="0.3">
      <c r="A10" s="201">
        <v>10</v>
      </c>
      <c r="B10" s="202" t="str">
        <f>'BR 03001'!B5</f>
        <v>Hydraulic Fluid Reservoir Mount</v>
      </c>
      <c r="C10" s="203">
        <f>'BR 03001'!N2</f>
        <v>1.7156425</v>
      </c>
      <c r="D10" s="204">
        <f>BR_03001_q</f>
        <v>1</v>
      </c>
      <c r="E10" s="178">
        <f>C10*D10</f>
        <v>1.7156425</v>
      </c>
      <c r="F10" s="111"/>
      <c r="G10" s="111"/>
      <c r="H10" s="111"/>
      <c r="I10" s="111"/>
      <c r="J10" s="111"/>
      <c r="K10" s="111"/>
      <c r="L10" s="111"/>
      <c r="M10" s="111"/>
      <c r="N10" s="111"/>
      <c r="O10" s="83"/>
    </row>
    <row r="11" spans="1:15" x14ac:dyDescent="0.3">
      <c r="A11" s="201">
        <v>20</v>
      </c>
      <c r="B11" s="205" t="str">
        <f>'BR 03002'!B5</f>
        <v>Distribution Tee Mount</v>
      </c>
      <c r="C11" s="203">
        <f>'BR 03002'!N2</f>
        <v>1.65790375</v>
      </c>
      <c r="D11" s="204">
        <f>BR_03002_q</f>
        <v>1</v>
      </c>
      <c r="E11" s="178">
        <f>C11*D11</f>
        <v>1.65790375</v>
      </c>
      <c r="F11" s="180"/>
      <c r="G11" s="180"/>
      <c r="H11" s="180"/>
      <c r="I11" s="180"/>
      <c r="J11" s="180"/>
      <c r="K11" s="180"/>
      <c r="L11" s="180"/>
      <c r="M11" s="180"/>
      <c r="N11" s="180"/>
      <c r="O11" s="83"/>
    </row>
    <row r="12" spans="1:15" x14ac:dyDescent="0.3">
      <c r="A12" s="201">
        <v>30</v>
      </c>
      <c r="B12" s="205" t="str">
        <f>'BR 03003'!B5</f>
        <v>Internal Spacer</v>
      </c>
      <c r="C12" s="203">
        <f>'BR 03003'!N2</f>
        <v>0.72533112500000008</v>
      </c>
      <c r="D12" s="204">
        <f>BR_03003_q</f>
        <v>2</v>
      </c>
      <c r="E12" s="178">
        <f>C12*D12</f>
        <v>1.4506622500000002</v>
      </c>
      <c r="F12" s="180"/>
      <c r="G12" s="180"/>
      <c r="H12" s="180"/>
      <c r="I12" s="180"/>
      <c r="J12" s="180"/>
      <c r="K12" s="180"/>
      <c r="L12" s="180"/>
      <c r="M12" s="180"/>
      <c r="N12" s="180"/>
      <c r="O12" s="83"/>
    </row>
    <row r="13" spans="1:15" x14ac:dyDescent="0.3">
      <c r="A13" s="201">
        <v>40</v>
      </c>
      <c r="B13" s="205" t="str">
        <f>'BR 03004'!B5</f>
        <v>External Spacer</v>
      </c>
      <c r="C13" s="203">
        <f>'BR 03004'!N2</f>
        <v>0.66667381250000002</v>
      </c>
      <c r="D13" s="204">
        <f>BR_03004_q</f>
        <v>2</v>
      </c>
      <c r="E13" s="178">
        <f>C13*D13</f>
        <v>1.333347625</v>
      </c>
      <c r="F13" s="180"/>
      <c r="G13" s="206"/>
      <c r="H13" s="180"/>
      <c r="I13" s="180"/>
      <c r="J13" s="180"/>
      <c r="K13" s="180"/>
      <c r="L13" s="180"/>
      <c r="M13" s="180"/>
      <c r="N13" s="180"/>
      <c r="O13" s="83"/>
    </row>
    <row r="14" spans="1:15" x14ac:dyDescent="0.3">
      <c r="A14" s="189"/>
      <c r="B14" s="111"/>
      <c r="C14" s="111"/>
      <c r="D14" s="187" t="s">
        <v>25</v>
      </c>
      <c r="E14" s="188">
        <f>SUM(E10:E13)</f>
        <v>6.1575561250000002</v>
      </c>
      <c r="F14" s="180"/>
      <c r="G14" s="180"/>
      <c r="H14" s="180"/>
      <c r="I14" s="180"/>
      <c r="J14" s="180"/>
      <c r="K14" s="180"/>
      <c r="L14" s="180"/>
      <c r="M14" s="180"/>
      <c r="N14" s="180"/>
      <c r="O14" s="83"/>
    </row>
    <row r="15" spans="1:15" x14ac:dyDescent="0.3">
      <c r="A15" s="189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83"/>
    </row>
    <row r="16" spans="1:15" x14ac:dyDescent="0.3">
      <c r="A16" s="190" t="s">
        <v>35</v>
      </c>
      <c r="B16" s="190" t="s">
        <v>135</v>
      </c>
      <c r="C16" s="190" t="s">
        <v>33</v>
      </c>
      <c r="D16" s="190" t="s">
        <v>32</v>
      </c>
      <c r="E16" s="190" t="s">
        <v>54</v>
      </c>
      <c r="F16" s="190" t="s">
        <v>53</v>
      </c>
      <c r="G16" s="190" t="s">
        <v>52</v>
      </c>
      <c r="H16" s="190" t="s">
        <v>51</v>
      </c>
      <c r="I16" s="190" t="s">
        <v>134</v>
      </c>
      <c r="J16" s="190" t="s">
        <v>133</v>
      </c>
      <c r="K16" s="190" t="s">
        <v>132</v>
      </c>
      <c r="L16" s="190" t="s">
        <v>131</v>
      </c>
      <c r="M16" s="190" t="s">
        <v>8</v>
      </c>
      <c r="N16" s="190" t="s">
        <v>25</v>
      </c>
      <c r="O16" s="83"/>
    </row>
    <row r="17" spans="1:15" x14ac:dyDescent="0.3">
      <c r="A17" s="81">
        <v>10</v>
      </c>
      <c r="B17" s="81" t="s">
        <v>130</v>
      </c>
      <c r="C17" s="81" t="s">
        <v>129</v>
      </c>
      <c r="D17" s="178">
        <v>174.5</v>
      </c>
      <c r="E17" s="81"/>
      <c r="F17" s="81"/>
      <c r="G17" s="81"/>
      <c r="H17" s="207"/>
      <c r="I17" s="208"/>
      <c r="J17" s="209"/>
      <c r="K17" s="207"/>
      <c r="L17" s="207"/>
      <c r="M17" s="222">
        <v>2</v>
      </c>
      <c r="N17" s="178">
        <f t="shared" ref="N17:N33" si="0">M17*D17</f>
        <v>349</v>
      </c>
      <c r="O17" s="83"/>
    </row>
    <row r="18" spans="1:15" x14ac:dyDescent="0.3">
      <c r="A18" s="81">
        <v>20</v>
      </c>
      <c r="B18" s="81" t="s">
        <v>128</v>
      </c>
      <c r="C18" s="81" t="s">
        <v>127</v>
      </c>
      <c r="D18" s="178">
        <v>30</v>
      </c>
      <c r="E18" s="81"/>
      <c r="F18" s="81"/>
      <c r="G18" s="81"/>
      <c r="H18" s="207"/>
      <c r="I18" s="208"/>
      <c r="J18" s="209"/>
      <c r="K18" s="207"/>
      <c r="L18" s="207"/>
      <c r="M18" s="222">
        <v>1</v>
      </c>
      <c r="N18" s="178">
        <f t="shared" si="0"/>
        <v>30</v>
      </c>
      <c r="O18" s="83"/>
    </row>
    <row r="19" spans="1:15" x14ac:dyDescent="0.3">
      <c r="A19" s="81">
        <v>30</v>
      </c>
      <c r="B19" s="81" t="s">
        <v>126</v>
      </c>
      <c r="C19" s="81" t="s">
        <v>125</v>
      </c>
      <c r="D19" s="178">
        <v>5</v>
      </c>
      <c r="E19" s="81"/>
      <c r="F19" s="81"/>
      <c r="G19" s="81"/>
      <c r="H19" s="207"/>
      <c r="I19" s="208"/>
      <c r="J19" s="209"/>
      <c r="K19" s="207"/>
      <c r="L19" s="207"/>
      <c r="M19" s="222">
        <v>2</v>
      </c>
      <c r="N19" s="178">
        <f t="shared" si="0"/>
        <v>10</v>
      </c>
      <c r="O19" s="83"/>
    </row>
    <row r="20" spans="1:15" x14ac:dyDescent="0.3">
      <c r="A20" s="81">
        <v>40</v>
      </c>
      <c r="B20" s="81" t="s">
        <v>124</v>
      </c>
      <c r="C20" s="81" t="s">
        <v>123</v>
      </c>
      <c r="D20" s="178">
        <v>8</v>
      </c>
      <c r="E20" s="81"/>
      <c r="F20" s="81"/>
      <c r="G20" s="81"/>
      <c r="H20" s="207"/>
      <c r="I20" s="208"/>
      <c r="J20" s="209"/>
      <c r="K20" s="207"/>
      <c r="L20" s="207"/>
      <c r="M20" s="222">
        <v>1</v>
      </c>
      <c r="N20" s="178">
        <f t="shared" si="0"/>
        <v>8</v>
      </c>
      <c r="O20" s="83"/>
    </row>
    <row r="21" spans="1:15" x14ac:dyDescent="0.3">
      <c r="A21" s="81">
        <v>50</v>
      </c>
      <c r="B21" s="225" t="s">
        <v>240</v>
      </c>
      <c r="C21" s="81" t="s">
        <v>122</v>
      </c>
      <c r="D21" s="226">
        <f>2.47*E21-2.71</f>
        <v>13.221500000000002</v>
      </c>
      <c r="E21" s="81">
        <v>6.45</v>
      </c>
      <c r="F21" s="81" t="s">
        <v>38</v>
      </c>
      <c r="G21" s="81"/>
      <c r="H21" s="207"/>
      <c r="I21" s="208"/>
      <c r="J21" s="209"/>
      <c r="K21" s="207"/>
      <c r="L21" s="207"/>
      <c r="M21" s="222">
        <v>4.8</v>
      </c>
      <c r="N21" s="178">
        <f t="shared" si="0"/>
        <v>63.463200000000008</v>
      </c>
      <c r="O21" s="83"/>
    </row>
    <row r="22" spans="1:15" ht="28.8" x14ac:dyDescent="0.3">
      <c r="A22" s="81">
        <v>60</v>
      </c>
      <c r="B22" s="81" t="s">
        <v>121</v>
      </c>
      <c r="C22" s="81" t="s">
        <v>120</v>
      </c>
      <c r="D22" s="178">
        <f>0.18*E22</f>
        <v>2.16</v>
      </c>
      <c r="E22" s="81">
        <v>12</v>
      </c>
      <c r="F22" s="81" t="s">
        <v>38</v>
      </c>
      <c r="G22" s="81"/>
      <c r="H22" s="207"/>
      <c r="I22" s="208"/>
      <c r="J22" s="209"/>
      <c r="K22" s="207"/>
      <c r="L22" s="207"/>
      <c r="M22" s="222">
        <v>0.5</v>
      </c>
      <c r="N22" s="178">
        <f t="shared" si="0"/>
        <v>1.08</v>
      </c>
      <c r="O22" s="83"/>
    </row>
    <row r="23" spans="1:15" x14ac:dyDescent="0.3">
      <c r="A23" s="81">
        <v>70</v>
      </c>
      <c r="B23" s="81" t="s">
        <v>114</v>
      </c>
      <c r="C23" s="81" t="s">
        <v>119</v>
      </c>
      <c r="D23" s="178">
        <f>0.0063*E23*G23+1.75</f>
        <v>2.41683334375</v>
      </c>
      <c r="E23" s="227">
        <v>11.112500000000001</v>
      </c>
      <c r="F23" s="81" t="s">
        <v>38</v>
      </c>
      <c r="G23" s="227">
        <v>9.5250000000000004</v>
      </c>
      <c r="H23" s="207" t="s">
        <v>38</v>
      </c>
      <c r="I23" s="208"/>
      <c r="J23" s="209"/>
      <c r="K23" s="207"/>
      <c r="L23" s="207"/>
      <c r="M23" s="222">
        <v>2</v>
      </c>
      <c r="N23" s="178">
        <f t="shared" si="0"/>
        <v>4.8336666875000001</v>
      </c>
      <c r="O23" s="83"/>
    </row>
    <row r="24" spans="1:15" x14ac:dyDescent="0.3">
      <c r="A24" s="81">
        <v>80</v>
      </c>
      <c r="B24" s="81" t="s">
        <v>114</v>
      </c>
      <c r="C24" s="81" t="s">
        <v>118</v>
      </c>
      <c r="D24" s="178">
        <f>0.0063*E24*G24+1.75</f>
        <v>2.3215714375000003</v>
      </c>
      <c r="E24" s="227">
        <v>9.5250000000000004</v>
      </c>
      <c r="F24" s="81" t="s">
        <v>38</v>
      </c>
      <c r="G24" s="227">
        <v>9.5250000000000004</v>
      </c>
      <c r="H24" s="207" t="s">
        <v>38</v>
      </c>
      <c r="I24" s="208"/>
      <c r="J24" s="209"/>
      <c r="K24" s="207"/>
      <c r="L24" s="207"/>
      <c r="M24" s="222">
        <v>2</v>
      </c>
      <c r="N24" s="178">
        <f t="shared" si="0"/>
        <v>4.6431428750000006</v>
      </c>
      <c r="O24" s="83"/>
    </row>
    <row r="25" spans="1:15" x14ac:dyDescent="0.3">
      <c r="A25" s="81">
        <v>90</v>
      </c>
      <c r="B25" s="81" t="s">
        <v>117</v>
      </c>
      <c r="C25" s="81" t="s">
        <v>115</v>
      </c>
      <c r="D25" s="178">
        <f>1.32*E25-6.08</f>
        <v>6.4930000000000003</v>
      </c>
      <c r="E25" s="227">
        <v>9.5250000000000004</v>
      </c>
      <c r="F25" s="81" t="s">
        <v>38</v>
      </c>
      <c r="G25" s="81"/>
      <c r="H25" s="207"/>
      <c r="I25" s="208"/>
      <c r="J25" s="209"/>
      <c r="K25" s="207"/>
      <c r="L25" s="207"/>
      <c r="M25" s="222">
        <v>6</v>
      </c>
      <c r="N25" s="178">
        <f t="shared" si="0"/>
        <v>38.957999999999998</v>
      </c>
      <c r="O25" s="83"/>
    </row>
    <row r="26" spans="1:15" x14ac:dyDescent="0.3">
      <c r="A26" s="81">
        <v>100</v>
      </c>
      <c r="B26" s="81" t="s">
        <v>116</v>
      </c>
      <c r="C26" s="81" t="s">
        <v>115</v>
      </c>
      <c r="D26" s="178">
        <f>2.11*E26-2.68</f>
        <v>17.417750000000002</v>
      </c>
      <c r="E26" s="227">
        <v>9.5250000000000004</v>
      </c>
      <c r="F26" s="81" t="s">
        <v>38</v>
      </c>
      <c r="G26" s="81"/>
      <c r="H26" s="207"/>
      <c r="I26" s="208"/>
      <c r="J26" s="209"/>
      <c r="K26" s="207"/>
      <c r="L26" s="207"/>
      <c r="M26" s="222">
        <v>2</v>
      </c>
      <c r="N26" s="178">
        <f t="shared" si="0"/>
        <v>34.835500000000003</v>
      </c>
      <c r="O26" s="83"/>
    </row>
    <row r="27" spans="1:15" x14ac:dyDescent="0.3">
      <c r="A27" s="81">
        <v>110</v>
      </c>
      <c r="B27" s="81" t="s">
        <v>114</v>
      </c>
      <c r="C27" s="81" t="s">
        <v>113</v>
      </c>
      <c r="D27" s="178">
        <f>0.0063*E27*G27+1.75</f>
        <v>2.3500749999999999</v>
      </c>
      <c r="E27" s="227">
        <v>9.5250000000000004</v>
      </c>
      <c r="F27" s="81" t="s">
        <v>38</v>
      </c>
      <c r="G27" s="81">
        <v>10</v>
      </c>
      <c r="H27" s="207" t="s">
        <v>38</v>
      </c>
      <c r="I27" s="208"/>
      <c r="J27" s="209"/>
      <c r="K27" s="207"/>
      <c r="L27" s="207"/>
      <c r="M27" s="222">
        <v>6</v>
      </c>
      <c r="N27" s="178">
        <f t="shared" si="0"/>
        <v>14.100449999999999</v>
      </c>
      <c r="O27" s="83"/>
    </row>
    <row r="28" spans="1:15" x14ac:dyDescent="0.3">
      <c r="A28" s="81">
        <v>120</v>
      </c>
      <c r="B28" s="81" t="s">
        <v>112</v>
      </c>
      <c r="C28" s="81" t="s">
        <v>241</v>
      </c>
      <c r="D28" s="178">
        <f>0.01*E28*G28+3.02</f>
        <v>3.665</v>
      </c>
      <c r="E28" s="81">
        <v>10</v>
      </c>
      <c r="F28" s="81" t="s">
        <v>38</v>
      </c>
      <c r="G28" s="81">
        <v>6.45</v>
      </c>
      <c r="H28" s="207" t="s">
        <v>38</v>
      </c>
      <c r="I28" s="208"/>
      <c r="J28" s="209"/>
      <c r="K28" s="207"/>
      <c r="L28" s="207"/>
      <c r="M28" s="222">
        <v>2</v>
      </c>
      <c r="N28" s="178">
        <f t="shared" si="0"/>
        <v>7.33</v>
      </c>
      <c r="O28" s="83"/>
    </row>
    <row r="29" spans="1:15" x14ac:dyDescent="0.3">
      <c r="A29" s="81">
        <v>130</v>
      </c>
      <c r="B29" s="81" t="s">
        <v>111</v>
      </c>
      <c r="C29" s="81" t="s">
        <v>108</v>
      </c>
      <c r="D29" s="178">
        <f>2.625*E29</f>
        <v>16.931250000000002</v>
      </c>
      <c r="E29" s="81">
        <v>6.45</v>
      </c>
      <c r="F29" s="81" t="s">
        <v>38</v>
      </c>
      <c r="G29" s="81"/>
      <c r="H29" s="207"/>
      <c r="I29" s="208"/>
      <c r="J29" s="209"/>
      <c r="K29" s="207"/>
      <c r="L29" s="207"/>
      <c r="M29" s="222">
        <v>4</v>
      </c>
      <c r="N29" s="178">
        <f t="shared" si="0"/>
        <v>67.725000000000009</v>
      </c>
      <c r="O29" s="83"/>
    </row>
    <row r="30" spans="1:15" x14ac:dyDescent="0.3">
      <c r="A30" s="81">
        <v>140</v>
      </c>
      <c r="B30" s="81" t="s">
        <v>110</v>
      </c>
      <c r="C30" s="81" t="s">
        <v>108</v>
      </c>
      <c r="D30" s="178">
        <f>0.68*E30</f>
        <v>4.3860000000000001</v>
      </c>
      <c r="E30" s="81">
        <v>6.45</v>
      </c>
      <c r="F30" s="81" t="s">
        <v>38</v>
      </c>
      <c r="G30" s="81"/>
      <c r="H30" s="207"/>
      <c r="I30" s="208"/>
      <c r="J30" s="209"/>
      <c r="K30" s="207"/>
      <c r="L30" s="207"/>
      <c r="M30" s="222">
        <v>4</v>
      </c>
      <c r="N30" s="178">
        <f t="shared" si="0"/>
        <v>17.544</v>
      </c>
      <c r="O30" s="83"/>
    </row>
    <row r="31" spans="1:15" x14ac:dyDescent="0.3">
      <c r="A31" s="81">
        <v>150</v>
      </c>
      <c r="B31" s="81" t="s">
        <v>109</v>
      </c>
      <c r="C31" s="81" t="s">
        <v>108</v>
      </c>
      <c r="D31" s="178">
        <f>0.027*E31+0.12</f>
        <v>0.28200000000000003</v>
      </c>
      <c r="E31" s="81">
        <v>6</v>
      </c>
      <c r="F31" s="81" t="s">
        <v>38</v>
      </c>
      <c r="G31" s="81"/>
      <c r="H31" s="207"/>
      <c r="I31" s="208"/>
      <c r="J31" s="209"/>
      <c r="K31" s="207"/>
      <c r="L31" s="207"/>
      <c r="M31" s="222">
        <v>12</v>
      </c>
      <c r="N31" s="178">
        <f t="shared" si="0"/>
        <v>3.3840000000000003</v>
      </c>
      <c r="O31" s="83"/>
    </row>
    <row r="32" spans="1:15" x14ac:dyDescent="0.3">
      <c r="A32" s="81">
        <v>160</v>
      </c>
      <c r="B32" s="81" t="s">
        <v>107</v>
      </c>
      <c r="C32" s="81" t="s">
        <v>106</v>
      </c>
      <c r="D32" s="178">
        <f>0.75*E32</f>
        <v>0.11249999999999999</v>
      </c>
      <c r="E32" s="81">
        <v>0.15</v>
      </c>
      <c r="F32" s="81" t="s">
        <v>105</v>
      </c>
      <c r="G32" s="81"/>
      <c r="H32" s="207"/>
      <c r="I32" s="208"/>
      <c r="J32" s="209"/>
      <c r="K32" s="207"/>
      <c r="L32" s="207"/>
      <c r="M32" s="222">
        <v>1</v>
      </c>
      <c r="N32" s="178">
        <f t="shared" si="0"/>
        <v>0.11249999999999999</v>
      </c>
      <c r="O32" s="83"/>
    </row>
    <row r="33" spans="1:15" x14ac:dyDescent="0.3">
      <c r="A33" s="81">
        <v>170</v>
      </c>
      <c r="B33" s="81" t="s">
        <v>104</v>
      </c>
      <c r="C33" s="81" t="s">
        <v>103</v>
      </c>
      <c r="D33" s="178">
        <v>10</v>
      </c>
      <c r="E33" s="208">
        <v>2.3999999999999998E-3</v>
      </c>
      <c r="F33" s="81" t="s">
        <v>94</v>
      </c>
      <c r="G33" s="81"/>
      <c r="H33" s="207"/>
      <c r="I33" s="208"/>
      <c r="J33" s="209"/>
      <c r="K33" s="207"/>
      <c r="L33" s="207"/>
      <c r="M33" s="223">
        <v>2.3999999999999998E-3</v>
      </c>
      <c r="N33" s="178">
        <f t="shared" si="0"/>
        <v>2.3999999999999997E-2</v>
      </c>
      <c r="O33" s="83"/>
    </row>
    <row r="34" spans="1:15" x14ac:dyDescent="0.3">
      <c r="A34" s="185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90" t="s">
        <v>25</v>
      </c>
      <c r="N34" s="188">
        <f>SUM(N17:N33)</f>
        <v>655.03345956250007</v>
      </c>
      <c r="O34" s="83"/>
    </row>
    <row r="35" spans="1:15" x14ac:dyDescent="0.3">
      <c r="A35" s="18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83"/>
    </row>
    <row r="36" spans="1:15" x14ac:dyDescent="0.3">
      <c r="A36" s="190" t="s">
        <v>35</v>
      </c>
      <c r="B36" s="190" t="s">
        <v>102</v>
      </c>
      <c r="C36" s="190" t="s">
        <v>33</v>
      </c>
      <c r="D36" s="190" t="s">
        <v>32</v>
      </c>
      <c r="E36" s="190" t="s">
        <v>31</v>
      </c>
      <c r="F36" s="190" t="s">
        <v>8</v>
      </c>
      <c r="G36" s="190" t="s">
        <v>101</v>
      </c>
      <c r="H36" s="190" t="s">
        <v>100</v>
      </c>
      <c r="I36" s="190" t="s">
        <v>25</v>
      </c>
      <c r="J36" s="186"/>
      <c r="K36" s="186"/>
      <c r="L36" s="186"/>
      <c r="M36" s="186"/>
      <c r="N36" s="186"/>
      <c r="O36" s="83"/>
    </row>
    <row r="37" spans="1:15" x14ac:dyDescent="0.3">
      <c r="A37" s="81">
        <v>10</v>
      </c>
      <c r="B37" s="81" t="s">
        <v>98</v>
      </c>
      <c r="C37" s="81" t="s">
        <v>99</v>
      </c>
      <c r="D37" s="178">
        <v>0.15</v>
      </c>
      <c r="E37" s="81" t="s">
        <v>66</v>
      </c>
      <c r="F37" s="179">
        <v>2.8</v>
      </c>
      <c r="G37" s="179"/>
      <c r="H37" s="179"/>
      <c r="I37" s="178">
        <f t="shared" ref="I37:I63" si="1">IF(H37="",D37*F37,D37*F37*H37)</f>
        <v>0.42</v>
      </c>
      <c r="J37" s="111"/>
      <c r="K37" s="111"/>
      <c r="L37" s="111"/>
      <c r="M37" s="111"/>
      <c r="N37" s="111"/>
      <c r="O37" s="83"/>
    </row>
    <row r="38" spans="1:15" x14ac:dyDescent="0.3">
      <c r="A38" s="81">
        <v>20</v>
      </c>
      <c r="B38" s="81" t="s">
        <v>98</v>
      </c>
      <c r="C38" s="81" t="s">
        <v>97</v>
      </c>
      <c r="D38" s="178">
        <v>0.15</v>
      </c>
      <c r="E38" s="81" t="s">
        <v>66</v>
      </c>
      <c r="F38" s="179">
        <v>2.2999999999999998</v>
      </c>
      <c r="G38" s="179"/>
      <c r="H38" s="179"/>
      <c r="I38" s="178">
        <f t="shared" si="1"/>
        <v>0.34499999999999997</v>
      </c>
      <c r="J38" s="111"/>
      <c r="K38" s="111"/>
      <c r="L38" s="111"/>
      <c r="M38" s="111"/>
      <c r="N38" s="111"/>
      <c r="O38" s="83"/>
    </row>
    <row r="39" spans="1:15" x14ac:dyDescent="0.3">
      <c r="A39" s="81">
        <v>30</v>
      </c>
      <c r="B39" s="81" t="s">
        <v>96</v>
      </c>
      <c r="C39" s="81" t="s">
        <v>95</v>
      </c>
      <c r="D39" s="178">
        <v>5.25</v>
      </c>
      <c r="E39" s="81" t="s">
        <v>94</v>
      </c>
      <c r="F39" s="224">
        <v>2.3999999999999998E-3</v>
      </c>
      <c r="G39" s="179"/>
      <c r="H39" s="179"/>
      <c r="I39" s="178">
        <f t="shared" si="1"/>
        <v>1.2599999999999998E-2</v>
      </c>
      <c r="J39" s="111"/>
      <c r="K39" s="111"/>
      <c r="L39" s="111"/>
      <c r="M39" s="111"/>
      <c r="N39" s="111"/>
      <c r="O39" s="83"/>
    </row>
    <row r="40" spans="1:15" x14ac:dyDescent="0.3">
      <c r="A40" s="81">
        <v>40</v>
      </c>
      <c r="B40" s="81" t="s">
        <v>85</v>
      </c>
      <c r="C40" s="81" t="s">
        <v>93</v>
      </c>
      <c r="D40" s="178">
        <v>0.06</v>
      </c>
      <c r="E40" s="81" t="s">
        <v>56</v>
      </c>
      <c r="F40" s="179">
        <v>1</v>
      </c>
      <c r="G40" s="179"/>
      <c r="H40" s="179"/>
      <c r="I40" s="178">
        <f t="shared" si="1"/>
        <v>0.06</v>
      </c>
      <c r="J40" s="111"/>
      <c r="K40" s="111"/>
      <c r="L40" s="111"/>
      <c r="M40" s="111"/>
      <c r="N40" s="111"/>
      <c r="O40" s="83"/>
    </row>
    <row r="41" spans="1:15" x14ac:dyDescent="0.3">
      <c r="A41" s="81">
        <v>50</v>
      </c>
      <c r="B41" s="80" t="s">
        <v>92</v>
      </c>
      <c r="C41" s="81" t="s">
        <v>91</v>
      </c>
      <c r="D41" s="178">
        <v>0.25</v>
      </c>
      <c r="E41" s="80" t="s">
        <v>56</v>
      </c>
      <c r="F41" s="179">
        <v>2</v>
      </c>
      <c r="G41" s="81"/>
      <c r="H41" s="81"/>
      <c r="I41" s="178">
        <f t="shared" si="1"/>
        <v>0.5</v>
      </c>
      <c r="J41" s="111"/>
      <c r="K41" s="111"/>
      <c r="L41" s="111"/>
      <c r="M41" s="111"/>
      <c r="N41" s="111"/>
      <c r="O41" s="83"/>
    </row>
    <row r="42" spans="1:15" ht="28.8" x14ac:dyDescent="0.3">
      <c r="A42" s="81">
        <v>60</v>
      </c>
      <c r="B42" s="80" t="s">
        <v>85</v>
      </c>
      <c r="C42" s="81" t="s">
        <v>90</v>
      </c>
      <c r="D42" s="178">
        <v>0.06</v>
      </c>
      <c r="E42" s="81" t="s">
        <v>56</v>
      </c>
      <c r="F42" s="179">
        <v>1</v>
      </c>
      <c r="G42" s="81"/>
      <c r="H42" s="81"/>
      <c r="I42" s="178">
        <f t="shared" si="1"/>
        <v>0.06</v>
      </c>
      <c r="J42" s="111"/>
      <c r="K42" s="111"/>
      <c r="L42" s="111"/>
      <c r="M42" s="111"/>
      <c r="N42" s="111"/>
      <c r="O42" s="83"/>
    </row>
    <row r="43" spans="1:15" ht="28.8" x14ac:dyDescent="0.3">
      <c r="A43" s="81">
        <v>70</v>
      </c>
      <c r="B43" s="80" t="s">
        <v>89</v>
      </c>
      <c r="C43" s="81" t="s">
        <v>88</v>
      </c>
      <c r="D43" s="178">
        <v>0.5</v>
      </c>
      <c r="E43" s="81" t="s">
        <v>56</v>
      </c>
      <c r="F43" s="179">
        <v>1</v>
      </c>
      <c r="G43" s="81"/>
      <c r="H43" s="81"/>
      <c r="I43" s="178">
        <f t="shared" si="1"/>
        <v>0.5</v>
      </c>
      <c r="J43" s="111"/>
      <c r="K43" s="111"/>
      <c r="L43" s="111"/>
      <c r="M43" s="111"/>
      <c r="N43" s="111"/>
      <c r="O43" s="83"/>
    </row>
    <row r="44" spans="1:15" ht="28.8" x14ac:dyDescent="0.3">
      <c r="A44" s="81">
        <v>80</v>
      </c>
      <c r="B44" s="80" t="s">
        <v>82</v>
      </c>
      <c r="C44" s="81" t="s">
        <v>88</v>
      </c>
      <c r="D44" s="178">
        <v>0.25</v>
      </c>
      <c r="E44" s="81" t="s">
        <v>56</v>
      </c>
      <c r="F44" s="179">
        <v>1</v>
      </c>
      <c r="G44" s="81"/>
      <c r="H44" s="81"/>
      <c r="I44" s="178">
        <f t="shared" si="1"/>
        <v>0.25</v>
      </c>
      <c r="J44" s="111"/>
      <c r="K44" s="111"/>
      <c r="L44" s="111"/>
      <c r="M44" s="111"/>
      <c r="N44" s="111"/>
      <c r="O44" s="83"/>
    </row>
    <row r="45" spans="1:15" ht="28.8" x14ac:dyDescent="0.3">
      <c r="A45" s="81">
        <v>90</v>
      </c>
      <c r="B45" s="80" t="s">
        <v>85</v>
      </c>
      <c r="C45" s="81" t="s">
        <v>87</v>
      </c>
      <c r="D45" s="178">
        <v>0.06</v>
      </c>
      <c r="E45" s="81" t="s">
        <v>56</v>
      </c>
      <c r="F45" s="179">
        <v>1</v>
      </c>
      <c r="G45" s="81"/>
      <c r="H45" s="81"/>
      <c r="I45" s="178">
        <f t="shared" si="1"/>
        <v>0.06</v>
      </c>
      <c r="J45" s="111"/>
      <c r="K45" s="111"/>
      <c r="L45" s="111"/>
      <c r="M45" s="111"/>
      <c r="N45" s="111"/>
      <c r="O45" s="83"/>
    </row>
    <row r="46" spans="1:15" ht="28.8" x14ac:dyDescent="0.3">
      <c r="A46" s="81">
        <v>100</v>
      </c>
      <c r="B46" s="80" t="s">
        <v>83</v>
      </c>
      <c r="C46" s="81" t="s">
        <v>86</v>
      </c>
      <c r="D46" s="178">
        <v>0.5</v>
      </c>
      <c r="E46" s="81" t="s">
        <v>56</v>
      </c>
      <c r="F46" s="179">
        <v>2</v>
      </c>
      <c r="G46" s="81"/>
      <c r="H46" s="81"/>
      <c r="I46" s="178">
        <f t="shared" si="1"/>
        <v>1</v>
      </c>
      <c r="J46" s="111"/>
      <c r="K46" s="111"/>
      <c r="L46" s="111"/>
      <c r="M46" s="111"/>
      <c r="N46" s="111"/>
      <c r="O46" s="83"/>
    </row>
    <row r="47" spans="1:15" ht="28.8" x14ac:dyDescent="0.3">
      <c r="A47" s="81">
        <v>110</v>
      </c>
      <c r="B47" s="80" t="s">
        <v>82</v>
      </c>
      <c r="C47" s="81" t="s">
        <v>86</v>
      </c>
      <c r="D47" s="178">
        <v>0.25</v>
      </c>
      <c r="E47" s="81" t="s">
        <v>56</v>
      </c>
      <c r="F47" s="179">
        <v>2</v>
      </c>
      <c r="G47" s="81"/>
      <c r="H47" s="81"/>
      <c r="I47" s="178">
        <f t="shared" si="1"/>
        <v>0.5</v>
      </c>
      <c r="J47" s="111"/>
      <c r="K47" s="111"/>
      <c r="L47" s="111"/>
      <c r="M47" s="111"/>
      <c r="N47" s="111"/>
      <c r="O47" s="83"/>
    </row>
    <row r="48" spans="1:15" ht="28.8" x14ac:dyDescent="0.3">
      <c r="A48" s="81">
        <v>120</v>
      </c>
      <c r="B48" s="80" t="s">
        <v>85</v>
      </c>
      <c r="C48" s="81" t="s">
        <v>84</v>
      </c>
      <c r="D48" s="178">
        <v>0.06</v>
      </c>
      <c r="E48" s="81" t="s">
        <v>56</v>
      </c>
      <c r="F48" s="179">
        <v>1</v>
      </c>
      <c r="G48" s="81"/>
      <c r="H48" s="81"/>
      <c r="I48" s="178">
        <f t="shared" si="1"/>
        <v>0.06</v>
      </c>
      <c r="J48" s="111"/>
      <c r="K48" s="111"/>
      <c r="L48" s="111"/>
      <c r="M48" s="111"/>
      <c r="N48" s="111"/>
      <c r="O48" s="83"/>
    </row>
    <row r="49" spans="1:15" ht="28.8" x14ac:dyDescent="0.3">
      <c r="A49" s="81">
        <v>130</v>
      </c>
      <c r="B49" s="80" t="s">
        <v>83</v>
      </c>
      <c r="C49" s="81" t="s">
        <v>81</v>
      </c>
      <c r="D49" s="178">
        <v>0.5</v>
      </c>
      <c r="E49" s="81" t="s">
        <v>56</v>
      </c>
      <c r="F49" s="179">
        <v>1</v>
      </c>
      <c r="G49" s="81"/>
      <c r="H49" s="81"/>
      <c r="I49" s="178">
        <f t="shared" si="1"/>
        <v>0.5</v>
      </c>
      <c r="J49" s="111"/>
      <c r="K49" s="111"/>
      <c r="L49" s="111"/>
      <c r="M49" s="111"/>
      <c r="N49" s="111"/>
      <c r="O49" s="83"/>
    </row>
    <row r="50" spans="1:15" ht="28.8" x14ac:dyDescent="0.3">
      <c r="A50" s="81">
        <v>140</v>
      </c>
      <c r="B50" s="80" t="s">
        <v>82</v>
      </c>
      <c r="C50" s="81" t="s">
        <v>81</v>
      </c>
      <c r="D50" s="178">
        <v>0.25</v>
      </c>
      <c r="E50" s="81" t="s">
        <v>56</v>
      </c>
      <c r="F50" s="179">
        <v>1</v>
      </c>
      <c r="G50" s="81"/>
      <c r="H50" s="81"/>
      <c r="I50" s="178">
        <f t="shared" si="1"/>
        <v>0.25</v>
      </c>
      <c r="J50" s="111"/>
      <c r="K50" s="111"/>
      <c r="L50" s="111"/>
      <c r="M50" s="111"/>
      <c r="N50" s="111"/>
      <c r="O50" s="83"/>
    </row>
    <row r="51" spans="1:15" x14ac:dyDescent="0.3">
      <c r="A51" s="81">
        <v>150</v>
      </c>
      <c r="B51" s="80" t="s">
        <v>78</v>
      </c>
      <c r="C51" s="81" t="s">
        <v>80</v>
      </c>
      <c r="D51" s="178">
        <v>0.13</v>
      </c>
      <c r="E51" s="81" t="s">
        <v>56</v>
      </c>
      <c r="F51" s="179">
        <v>2</v>
      </c>
      <c r="G51" s="81"/>
      <c r="H51" s="81"/>
      <c r="I51" s="178">
        <f t="shared" si="1"/>
        <v>0.26</v>
      </c>
      <c r="J51" s="111"/>
      <c r="K51" s="111"/>
      <c r="L51" s="111"/>
      <c r="M51" s="111"/>
      <c r="N51" s="111"/>
      <c r="O51" s="83"/>
    </row>
    <row r="52" spans="1:15" x14ac:dyDescent="0.3">
      <c r="A52" s="81">
        <v>160</v>
      </c>
      <c r="B52" s="80" t="s">
        <v>76</v>
      </c>
      <c r="C52" s="81" t="s">
        <v>79</v>
      </c>
      <c r="D52" s="178">
        <v>0.75</v>
      </c>
      <c r="E52" s="81" t="s">
        <v>56</v>
      </c>
      <c r="F52" s="179">
        <v>2</v>
      </c>
      <c r="G52" s="81"/>
      <c r="H52" s="81"/>
      <c r="I52" s="178">
        <f t="shared" si="1"/>
        <v>1.5</v>
      </c>
      <c r="J52" s="111"/>
      <c r="K52" s="111"/>
      <c r="L52" s="111"/>
      <c r="M52" s="111"/>
      <c r="N52" s="111"/>
      <c r="O52" s="83"/>
    </row>
    <row r="53" spans="1:15" x14ac:dyDescent="0.3">
      <c r="A53" s="81">
        <v>170</v>
      </c>
      <c r="B53" s="80" t="s">
        <v>78</v>
      </c>
      <c r="C53" s="81" t="s">
        <v>77</v>
      </c>
      <c r="D53" s="178">
        <v>0.13</v>
      </c>
      <c r="E53" s="81" t="s">
        <v>56</v>
      </c>
      <c r="F53" s="179">
        <v>2</v>
      </c>
      <c r="G53" s="81"/>
      <c r="H53" s="81"/>
      <c r="I53" s="178">
        <f t="shared" si="1"/>
        <v>0.26</v>
      </c>
      <c r="J53" s="111"/>
      <c r="K53" s="111"/>
      <c r="L53" s="111"/>
      <c r="M53" s="111"/>
      <c r="N53" s="111"/>
      <c r="O53" s="83"/>
    </row>
    <row r="54" spans="1:15" x14ac:dyDescent="0.3">
      <c r="A54" s="81">
        <v>180</v>
      </c>
      <c r="B54" s="80" t="s">
        <v>76</v>
      </c>
      <c r="C54" s="81" t="s">
        <v>75</v>
      </c>
      <c r="D54" s="178">
        <v>0.75</v>
      </c>
      <c r="E54" s="81" t="s">
        <v>56</v>
      </c>
      <c r="F54" s="179">
        <v>2</v>
      </c>
      <c r="G54" s="81"/>
      <c r="H54" s="81"/>
      <c r="I54" s="178">
        <f t="shared" si="1"/>
        <v>1.5</v>
      </c>
      <c r="J54" s="111"/>
      <c r="K54" s="111"/>
      <c r="L54" s="111"/>
      <c r="M54" s="111"/>
      <c r="N54" s="111"/>
      <c r="O54" s="83"/>
    </row>
    <row r="55" spans="1:15" ht="28.8" x14ac:dyDescent="0.3">
      <c r="A55" s="81">
        <v>190</v>
      </c>
      <c r="B55" s="80" t="s">
        <v>74</v>
      </c>
      <c r="C55" s="81" t="s">
        <v>73</v>
      </c>
      <c r="D55" s="178">
        <v>0.06</v>
      </c>
      <c r="E55" s="81" t="s">
        <v>66</v>
      </c>
      <c r="F55" s="179">
        <v>1.2</v>
      </c>
      <c r="G55" s="81" t="s">
        <v>71</v>
      </c>
      <c r="H55" s="81">
        <v>2</v>
      </c>
      <c r="I55" s="178">
        <f t="shared" si="1"/>
        <v>0.14399999999999999</v>
      </c>
      <c r="J55" s="111"/>
      <c r="K55" s="111"/>
      <c r="L55" s="111"/>
      <c r="M55" s="111"/>
      <c r="N55" s="111"/>
      <c r="O55" s="83"/>
    </row>
    <row r="56" spans="1:15" x14ac:dyDescent="0.3">
      <c r="A56" s="81">
        <v>200</v>
      </c>
      <c r="B56" s="80" t="s">
        <v>68</v>
      </c>
      <c r="C56" s="81" t="s">
        <v>72</v>
      </c>
      <c r="D56" s="178">
        <v>0.4</v>
      </c>
      <c r="E56" s="81" t="s">
        <v>66</v>
      </c>
      <c r="F56" s="179">
        <v>0.64500000000000002</v>
      </c>
      <c r="G56" s="81" t="s">
        <v>71</v>
      </c>
      <c r="H56" s="81">
        <v>2</v>
      </c>
      <c r="I56" s="178">
        <f t="shared" si="1"/>
        <v>0.51600000000000001</v>
      </c>
      <c r="J56" s="111"/>
      <c r="K56" s="111"/>
      <c r="L56" s="111"/>
      <c r="M56" s="111"/>
      <c r="N56" s="111"/>
      <c r="O56" s="83"/>
    </row>
    <row r="57" spans="1:15" x14ac:dyDescent="0.3">
      <c r="A57" s="81">
        <v>210</v>
      </c>
      <c r="B57" s="80" t="s">
        <v>68</v>
      </c>
      <c r="C57" s="81" t="s">
        <v>70</v>
      </c>
      <c r="D57" s="178">
        <v>0.4</v>
      </c>
      <c r="E57" s="81" t="s">
        <v>66</v>
      </c>
      <c r="F57" s="179">
        <v>0.64500000000000002</v>
      </c>
      <c r="G57" s="81" t="s">
        <v>69</v>
      </c>
      <c r="H57" s="81">
        <v>4</v>
      </c>
      <c r="I57" s="178">
        <f t="shared" si="1"/>
        <v>1.032</v>
      </c>
      <c r="J57" s="111"/>
      <c r="K57" s="111"/>
      <c r="L57" s="111"/>
      <c r="M57" s="111"/>
      <c r="N57" s="111"/>
      <c r="O57" s="83"/>
    </row>
    <row r="58" spans="1:15" x14ac:dyDescent="0.3">
      <c r="A58" s="81">
        <v>220</v>
      </c>
      <c r="B58" s="80" t="s">
        <v>68</v>
      </c>
      <c r="C58" s="81" t="s">
        <v>67</v>
      </c>
      <c r="D58" s="178">
        <v>0.4</v>
      </c>
      <c r="E58" s="81" t="s">
        <v>66</v>
      </c>
      <c r="F58" s="179">
        <v>0.64500000000000002</v>
      </c>
      <c r="G58" s="81"/>
      <c r="H58" s="81"/>
      <c r="I58" s="178">
        <f t="shared" si="1"/>
        <v>0.25800000000000001</v>
      </c>
      <c r="J58" s="111"/>
      <c r="K58" s="111"/>
      <c r="L58" s="111"/>
      <c r="M58" s="111"/>
      <c r="N58" s="111"/>
      <c r="O58" s="83"/>
    </row>
    <row r="59" spans="1:15" x14ac:dyDescent="0.3">
      <c r="A59" s="81">
        <v>230</v>
      </c>
      <c r="B59" s="80" t="s">
        <v>65</v>
      </c>
      <c r="C59" s="81" t="s">
        <v>64</v>
      </c>
      <c r="D59" s="178">
        <v>0.5</v>
      </c>
      <c r="E59" s="81" t="s">
        <v>56</v>
      </c>
      <c r="F59" s="179">
        <v>12</v>
      </c>
      <c r="G59" s="81"/>
      <c r="H59" s="81"/>
      <c r="I59" s="178">
        <f t="shared" si="1"/>
        <v>6</v>
      </c>
      <c r="J59" s="111"/>
      <c r="K59" s="111"/>
      <c r="L59" s="111"/>
      <c r="M59" s="111"/>
      <c r="N59" s="111"/>
      <c r="O59" s="83"/>
    </row>
    <row r="60" spans="1:15" x14ac:dyDescent="0.3">
      <c r="A60" s="81">
        <v>240</v>
      </c>
      <c r="B60" s="80" t="s">
        <v>63</v>
      </c>
      <c r="C60" s="81" t="s">
        <v>61</v>
      </c>
      <c r="D60" s="178">
        <v>1.5</v>
      </c>
      <c r="E60" s="81" t="s">
        <v>56</v>
      </c>
      <c r="F60" s="179">
        <v>12</v>
      </c>
      <c r="G60" s="81"/>
      <c r="H60" s="81"/>
      <c r="I60" s="178">
        <f t="shared" si="1"/>
        <v>18</v>
      </c>
      <c r="J60" s="111"/>
      <c r="K60" s="111"/>
      <c r="L60" s="111"/>
      <c r="M60" s="111"/>
      <c r="N60" s="111"/>
      <c r="O60" s="83"/>
    </row>
    <row r="61" spans="1:15" x14ac:dyDescent="0.3">
      <c r="A61" s="81">
        <v>250</v>
      </c>
      <c r="B61" s="80" t="s">
        <v>62</v>
      </c>
      <c r="C61" s="81" t="s">
        <v>61</v>
      </c>
      <c r="D61" s="178">
        <v>0.25</v>
      </c>
      <c r="E61" s="81" t="s">
        <v>56</v>
      </c>
      <c r="F61" s="179">
        <v>12</v>
      </c>
      <c r="G61" s="81"/>
      <c r="H61" s="81"/>
      <c r="I61" s="178">
        <f t="shared" si="1"/>
        <v>3</v>
      </c>
      <c r="J61" s="111"/>
      <c r="K61" s="111"/>
      <c r="L61" s="111"/>
      <c r="M61" s="111"/>
      <c r="N61" s="111"/>
      <c r="O61" s="83"/>
    </row>
    <row r="62" spans="1:15" ht="28.8" x14ac:dyDescent="0.3">
      <c r="A62" s="81">
        <v>260</v>
      </c>
      <c r="B62" s="80" t="s">
        <v>60</v>
      </c>
      <c r="C62" s="81" t="s">
        <v>59</v>
      </c>
      <c r="D62" s="178">
        <v>0.5</v>
      </c>
      <c r="E62" s="81" t="s">
        <v>56</v>
      </c>
      <c r="F62" s="179">
        <v>4</v>
      </c>
      <c r="G62" s="81"/>
      <c r="H62" s="81"/>
      <c r="I62" s="178">
        <f t="shared" si="1"/>
        <v>2</v>
      </c>
      <c r="J62" s="111"/>
      <c r="K62" s="111"/>
      <c r="L62" s="111"/>
      <c r="M62" s="111"/>
      <c r="N62" s="111"/>
      <c r="O62" s="83"/>
    </row>
    <row r="63" spans="1:15" x14ac:dyDescent="0.3">
      <c r="A63" s="81">
        <v>270</v>
      </c>
      <c r="B63" s="80" t="s">
        <v>58</v>
      </c>
      <c r="C63" s="81" t="s">
        <v>57</v>
      </c>
      <c r="D63" s="178">
        <v>0.09</v>
      </c>
      <c r="E63" s="81" t="s">
        <v>56</v>
      </c>
      <c r="F63" s="179">
        <v>22</v>
      </c>
      <c r="G63" s="81"/>
      <c r="H63" s="81"/>
      <c r="I63" s="178">
        <f t="shared" si="1"/>
        <v>1.98</v>
      </c>
      <c r="J63" s="111"/>
      <c r="K63" s="111"/>
      <c r="L63" s="111"/>
      <c r="M63" s="111"/>
      <c r="N63" s="111"/>
      <c r="O63" s="83"/>
    </row>
    <row r="64" spans="1:15" x14ac:dyDescent="0.3">
      <c r="A64" s="185"/>
      <c r="B64" s="186"/>
      <c r="C64" s="186"/>
      <c r="D64" s="186"/>
      <c r="E64" s="186"/>
      <c r="F64" s="186"/>
      <c r="G64" s="186"/>
      <c r="H64" s="187" t="s">
        <v>25</v>
      </c>
      <c r="I64" s="188">
        <f>SUM(I37:I63)</f>
        <v>40.967599999999997</v>
      </c>
      <c r="J64" s="111"/>
      <c r="K64" s="111"/>
      <c r="L64" s="111"/>
      <c r="M64" s="111"/>
      <c r="N64" s="111"/>
      <c r="O64" s="83"/>
    </row>
    <row r="65" spans="1:15" x14ac:dyDescent="0.3">
      <c r="A65" s="189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83"/>
    </row>
    <row r="66" spans="1:15" x14ac:dyDescent="0.3">
      <c r="A66" s="190" t="s">
        <v>35</v>
      </c>
      <c r="B66" s="190" t="s">
        <v>55</v>
      </c>
      <c r="C66" s="190" t="s">
        <v>33</v>
      </c>
      <c r="D66" s="190" t="s">
        <v>32</v>
      </c>
      <c r="E66" s="190" t="s">
        <v>54</v>
      </c>
      <c r="F66" s="190" t="s">
        <v>53</v>
      </c>
      <c r="G66" s="190" t="s">
        <v>52</v>
      </c>
      <c r="H66" s="190" t="s">
        <v>51</v>
      </c>
      <c r="I66" s="190" t="s">
        <v>8</v>
      </c>
      <c r="J66" s="190" t="s">
        <v>25</v>
      </c>
      <c r="K66" s="111"/>
      <c r="L66" s="111"/>
      <c r="M66" s="111"/>
      <c r="N66" s="111"/>
      <c r="O66" s="83"/>
    </row>
    <row r="67" spans="1:15" ht="28.8" x14ac:dyDescent="0.3">
      <c r="A67" s="81">
        <v>10</v>
      </c>
      <c r="B67" s="81" t="s">
        <v>50</v>
      </c>
      <c r="C67" s="81" t="s">
        <v>47</v>
      </c>
      <c r="D67" s="156">
        <f>1.25/105154*E67^2*G67*SQRT(G67)+0.005*EXP(0.319*E67)</f>
        <v>0.52761511887802037</v>
      </c>
      <c r="E67" s="76">
        <v>6</v>
      </c>
      <c r="F67" s="76" t="s">
        <v>38</v>
      </c>
      <c r="G67" s="76">
        <v>110</v>
      </c>
      <c r="H67" s="76" t="s">
        <v>38</v>
      </c>
      <c r="I67" s="154">
        <v>1</v>
      </c>
      <c r="J67" s="178">
        <f t="shared" ref="J67:J76" si="2">I67*D67</f>
        <v>0.52761511887802037</v>
      </c>
      <c r="K67" s="111"/>
      <c r="L67" s="111"/>
      <c r="M67" s="111"/>
      <c r="N67" s="111"/>
      <c r="O67" s="83"/>
    </row>
    <row r="68" spans="1:15" ht="28.8" x14ac:dyDescent="0.3">
      <c r="A68" s="81">
        <v>20</v>
      </c>
      <c r="B68" s="81" t="s">
        <v>49</v>
      </c>
      <c r="C68" s="81" t="s">
        <v>47</v>
      </c>
      <c r="D68" s="156">
        <v>0.02</v>
      </c>
      <c r="E68" s="76"/>
      <c r="F68" s="76"/>
      <c r="G68" s="76"/>
      <c r="H68" s="76"/>
      <c r="I68" s="154">
        <v>2</v>
      </c>
      <c r="J68" s="178">
        <f t="shared" si="2"/>
        <v>0.04</v>
      </c>
      <c r="K68" s="111"/>
      <c r="L68" s="111"/>
      <c r="M68" s="111"/>
      <c r="N68" s="111"/>
      <c r="O68" s="83"/>
    </row>
    <row r="69" spans="1:15" ht="28.8" x14ac:dyDescent="0.3">
      <c r="A69" s="81">
        <v>30</v>
      </c>
      <c r="B69" s="81" t="s">
        <v>48</v>
      </c>
      <c r="C69" s="81" t="s">
        <v>47</v>
      </c>
      <c r="D69" s="156">
        <f>0.015*EXP(0.2*E69)</f>
        <v>4.9801753841048221E-2</v>
      </c>
      <c r="E69" s="76">
        <v>6</v>
      </c>
      <c r="F69" s="76" t="s">
        <v>38</v>
      </c>
      <c r="G69" s="76"/>
      <c r="H69" s="76"/>
      <c r="I69" s="154">
        <v>1</v>
      </c>
      <c r="J69" s="178">
        <f t="shared" si="2"/>
        <v>4.9801753841048221E-2</v>
      </c>
      <c r="K69" s="111"/>
      <c r="L69" s="111"/>
      <c r="M69" s="111"/>
      <c r="N69" s="111"/>
      <c r="O69" s="83"/>
    </row>
    <row r="70" spans="1:15" ht="28.8" x14ac:dyDescent="0.3">
      <c r="A70" s="81">
        <v>40</v>
      </c>
      <c r="B70" s="81" t="s">
        <v>46</v>
      </c>
      <c r="C70" s="81" t="s">
        <v>45</v>
      </c>
      <c r="D70" s="156">
        <f>0.8/105154*E70^2*G70*SQRT(G70)+0.003*EXP(0.319*E70)</f>
        <v>0.18074393242837247</v>
      </c>
      <c r="E70" s="76">
        <v>6</v>
      </c>
      <c r="F70" s="76" t="s">
        <v>38</v>
      </c>
      <c r="G70" s="76">
        <v>70</v>
      </c>
      <c r="H70" s="76" t="s">
        <v>38</v>
      </c>
      <c r="I70" s="154">
        <v>1</v>
      </c>
      <c r="J70" s="178">
        <f t="shared" si="2"/>
        <v>0.18074393242837247</v>
      </c>
      <c r="K70" s="111"/>
      <c r="L70" s="111"/>
      <c r="M70" s="111"/>
      <c r="N70" s="111"/>
      <c r="O70" s="83"/>
    </row>
    <row r="71" spans="1:15" ht="28.8" x14ac:dyDescent="0.3">
      <c r="A71" s="81">
        <v>50</v>
      </c>
      <c r="B71" s="81" t="s">
        <v>42</v>
      </c>
      <c r="C71" s="81" t="s">
        <v>45</v>
      </c>
      <c r="D71" s="156">
        <f>0.009*EXP(0.2*E71)</f>
        <v>2.9881052304628931E-2</v>
      </c>
      <c r="E71" s="76">
        <v>6</v>
      </c>
      <c r="F71" s="76" t="s">
        <v>38</v>
      </c>
      <c r="G71" s="76"/>
      <c r="H71" s="76"/>
      <c r="I71" s="154">
        <v>3</v>
      </c>
      <c r="J71" s="178">
        <f t="shared" si="2"/>
        <v>8.9643156913886801E-2</v>
      </c>
      <c r="K71" s="111"/>
      <c r="L71" s="111"/>
      <c r="M71" s="111"/>
      <c r="N71" s="111"/>
      <c r="O71" s="83"/>
    </row>
    <row r="72" spans="1:15" x14ac:dyDescent="0.3">
      <c r="A72" s="81">
        <v>60</v>
      </c>
      <c r="B72" s="81" t="s">
        <v>44</v>
      </c>
      <c r="C72" s="81" t="s">
        <v>41</v>
      </c>
      <c r="D72" s="156">
        <f>0.8/105154*E72^2*G72*SQRT(G72)+0.003*EXP(0.319*E72)</f>
        <v>4.4837397015100443E-2</v>
      </c>
      <c r="E72" s="76">
        <v>6</v>
      </c>
      <c r="F72" s="76" t="s">
        <v>38</v>
      </c>
      <c r="G72" s="76">
        <v>20</v>
      </c>
      <c r="H72" s="76" t="s">
        <v>38</v>
      </c>
      <c r="I72" s="154">
        <v>1</v>
      </c>
      <c r="J72" s="178">
        <f t="shared" si="2"/>
        <v>4.4837397015100443E-2</v>
      </c>
      <c r="K72" s="111"/>
      <c r="L72" s="111"/>
      <c r="M72" s="111"/>
      <c r="N72" s="111"/>
      <c r="O72" s="83"/>
    </row>
    <row r="73" spans="1:15" x14ac:dyDescent="0.3">
      <c r="A73" s="81">
        <v>70</v>
      </c>
      <c r="B73" s="81" t="s">
        <v>43</v>
      </c>
      <c r="C73" s="81" t="s">
        <v>41</v>
      </c>
      <c r="D73" s="156">
        <v>0.01</v>
      </c>
      <c r="E73" s="76"/>
      <c r="F73" s="76"/>
      <c r="G73" s="76"/>
      <c r="H73" s="76"/>
      <c r="I73" s="154">
        <v>2</v>
      </c>
      <c r="J73" s="178">
        <f t="shared" si="2"/>
        <v>0.02</v>
      </c>
      <c r="K73" s="111"/>
      <c r="L73" s="111"/>
      <c r="M73" s="111"/>
      <c r="N73" s="111"/>
      <c r="O73" s="83"/>
    </row>
    <row r="74" spans="1:15" x14ac:dyDescent="0.3">
      <c r="A74" s="81">
        <v>80</v>
      </c>
      <c r="B74" s="81" t="s">
        <v>42</v>
      </c>
      <c r="C74" s="81" t="s">
        <v>41</v>
      </c>
      <c r="D74" s="156">
        <f>0.009*EXP(0.2*E74)</f>
        <v>2.9881052304628931E-2</v>
      </c>
      <c r="E74" s="76">
        <v>6</v>
      </c>
      <c r="F74" s="76" t="s">
        <v>38</v>
      </c>
      <c r="G74" s="76"/>
      <c r="H74" s="76"/>
      <c r="I74" s="154">
        <v>1</v>
      </c>
      <c r="J74" s="178">
        <f t="shared" si="2"/>
        <v>2.9881052304628931E-2</v>
      </c>
      <c r="K74" s="111"/>
      <c r="L74" s="111"/>
      <c r="M74" s="111"/>
      <c r="N74" s="111"/>
      <c r="O74" s="83"/>
    </row>
    <row r="75" spans="1:15" x14ac:dyDescent="0.3">
      <c r="A75" s="81">
        <v>90</v>
      </c>
      <c r="B75" s="81" t="s">
        <v>40</v>
      </c>
      <c r="C75" s="81" t="s">
        <v>39</v>
      </c>
      <c r="D75" s="156">
        <f>0.004*E75+0.5</f>
        <v>0.55200000000000005</v>
      </c>
      <c r="E75" s="81">
        <v>13</v>
      </c>
      <c r="F75" s="155" t="s">
        <v>38</v>
      </c>
      <c r="G75" s="81"/>
      <c r="H75" s="81"/>
      <c r="I75" s="154">
        <v>2</v>
      </c>
      <c r="J75" s="178">
        <f t="shared" si="2"/>
        <v>1.1040000000000001</v>
      </c>
      <c r="K75" s="111"/>
      <c r="L75" s="111"/>
      <c r="M75" s="111"/>
      <c r="N75" s="111"/>
      <c r="O75" s="83"/>
    </row>
    <row r="76" spans="1:15" x14ac:dyDescent="0.3">
      <c r="A76" s="81">
        <v>100</v>
      </c>
      <c r="B76" s="81" t="s">
        <v>37</v>
      </c>
      <c r="C76" s="81" t="s">
        <v>36</v>
      </c>
      <c r="D76" s="156">
        <v>0.04</v>
      </c>
      <c r="E76" s="81"/>
      <c r="F76" s="155"/>
      <c r="G76" s="81"/>
      <c r="H76" s="81"/>
      <c r="I76" s="154">
        <v>22</v>
      </c>
      <c r="J76" s="178">
        <f t="shared" si="2"/>
        <v>0.88</v>
      </c>
      <c r="K76" s="111"/>
      <c r="L76" s="111"/>
      <c r="M76" s="111"/>
      <c r="N76" s="111"/>
      <c r="O76" s="83"/>
    </row>
    <row r="77" spans="1:15" x14ac:dyDescent="0.3">
      <c r="A77" s="185"/>
      <c r="B77" s="186"/>
      <c r="C77" s="186"/>
      <c r="D77" s="186"/>
      <c r="E77" s="186"/>
      <c r="F77" s="186"/>
      <c r="G77" s="186"/>
      <c r="H77" s="186"/>
      <c r="I77" s="187" t="s">
        <v>25</v>
      </c>
      <c r="J77" s="188">
        <f>SUM(J67:J76)</f>
        <v>2.9665224113810575</v>
      </c>
      <c r="K77" s="111"/>
      <c r="L77" s="111"/>
      <c r="M77" s="111"/>
      <c r="N77" s="111"/>
      <c r="O77" s="83"/>
    </row>
    <row r="78" spans="1:15" x14ac:dyDescent="0.3">
      <c r="A78" s="185"/>
      <c r="B78" s="186"/>
      <c r="C78" s="186"/>
      <c r="D78" s="186"/>
      <c r="E78" s="186"/>
      <c r="F78" s="186"/>
      <c r="G78" s="186"/>
      <c r="H78" s="186"/>
      <c r="I78" s="210"/>
      <c r="J78" s="211"/>
      <c r="K78" s="111"/>
      <c r="L78" s="111"/>
      <c r="M78" s="111"/>
      <c r="N78" s="111"/>
      <c r="O78" s="83"/>
    </row>
    <row r="79" spans="1:15" ht="28.8" x14ac:dyDescent="0.3">
      <c r="A79" s="212" t="s">
        <v>35</v>
      </c>
      <c r="B79" s="212" t="s">
        <v>34</v>
      </c>
      <c r="C79" s="212" t="s">
        <v>33</v>
      </c>
      <c r="D79" s="212" t="s">
        <v>32</v>
      </c>
      <c r="E79" s="212" t="s">
        <v>31</v>
      </c>
      <c r="F79" s="212" t="s">
        <v>8</v>
      </c>
      <c r="G79" s="212" t="s">
        <v>30</v>
      </c>
      <c r="H79" s="212" t="s">
        <v>29</v>
      </c>
      <c r="I79" s="213" t="s">
        <v>25</v>
      </c>
      <c r="J79" s="211"/>
      <c r="K79" s="111"/>
      <c r="L79" s="111"/>
      <c r="M79" s="111"/>
      <c r="N79" s="111"/>
      <c r="O79" s="83"/>
    </row>
    <row r="80" spans="1:15" ht="28.8" x14ac:dyDescent="0.3">
      <c r="A80" s="177">
        <v>10</v>
      </c>
      <c r="B80" s="177" t="s">
        <v>28</v>
      </c>
      <c r="C80" s="177" t="s">
        <v>27</v>
      </c>
      <c r="D80" s="177">
        <v>500</v>
      </c>
      <c r="E80" s="177" t="s">
        <v>26</v>
      </c>
      <c r="F80" s="177">
        <v>4</v>
      </c>
      <c r="G80" s="177">
        <v>3000</v>
      </c>
      <c r="H80" s="177">
        <v>1</v>
      </c>
      <c r="I80" s="178">
        <f>D80*F80/G80</f>
        <v>0.66666666666666663</v>
      </c>
      <c r="J80" s="211"/>
      <c r="K80" s="111"/>
      <c r="L80" s="111"/>
      <c r="M80" s="111"/>
      <c r="N80" s="111"/>
      <c r="O80" s="83"/>
    </row>
    <row r="81" spans="1:15" x14ac:dyDescent="0.3">
      <c r="A81" s="185"/>
      <c r="B81" s="186"/>
      <c r="C81" s="186"/>
      <c r="D81" s="186"/>
      <c r="E81" s="186"/>
      <c r="F81" s="186"/>
      <c r="G81" s="186"/>
      <c r="H81" s="187" t="s">
        <v>25</v>
      </c>
      <c r="I81" s="188">
        <f>SUM(I80:I80)</f>
        <v>0.66666666666666663</v>
      </c>
      <c r="J81" s="211"/>
      <c r="K81" s="111"/>
      <c r="L81" s="111"/>
      <c r="M81" s="111"/>
      <c r="N81" s="111"/>
      <c r="O81" s="83"/>
    </row>
    <row r="82" spans="1:15" x14ac:dyDescent="0.3">
      <c r="A82" s="185"/>
      <c r="B82" s="186"/>
      <c r="C82" s="186"/>
      <c r="D82" s="186"/>
      <c r="E82" s="186"/>
      <c r="F82" s="186"/>
      <c r="G82" s="186"/>
      <c r="H82" s="186"/>
      <c r="I82" s="210"/>
      <c r="J82" s="211"/>
      <c r="K82" s="111"/>
      <c r="L82" s="111"/>
      <c r="M82" s="111"/>
      <c r="N82" s="111"/>
      <c r="O82" s="83"/>
    </row>
    <row r="83" spans="1:15" ht="15" thickBot="1" x14ac:dyDescent="0.35">
      <c r="A83" s="214"/>
      <c r="B83" s="215"/>
      <c r="C83" s="215"/>
      <c r="D83" s="215"/>
      <c r="E83" s="215"/>
      <c r="F83" s="215"/>
      <c r="G83" s="215"/>
      <c r="H83" s="215"/>
      <c r="I83" s="215"/>
      <c r="J83" s="215"/>
      <c r="K83" s="215"/>
      <c r="L83" s="215"/>
      <c r="M83" s="215"/>
      <c r="N83" s="215"/>
      <c r="O83" s="216"/>
    </row>
    <row r="84" spans="1:15" x14ac:dyDescent="0.3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</row>
    <row r="85" spans="1:15" x14ac:dyDescent="0.3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</row>
  </sheetData>
  <hyperlinks>
    <hyperlink ref="B10" location="'BR 03001'!A1" display="'BR 03001'!A1"/>
    <hyperlink ref="B11" location="'BR 03002'!A1" display="'BR 03002'!A1"/>
    <hyperlink ref="B12" location="'BR 03003'!A1" display="'BR 03003'!A1"/>
    <hyperlink ref="B13" location="'BR 03004'!A1" display="'BR 03004'!A1"/>
    <hyperlink ref="E2" location="BR_A0003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84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O22"/>
  <sheetViews>
    <sheetView tabSelected="1" zoomScale="70" zoomScaleNormal="70" workbookViewId="0">
      <selection activeCell="F17" sqref="F17"/>
    </sheetView>
  </sheetViews>
  <sheetFormatPr baseColWidth="10" defaultColWidth="9.109375" defaultRowHeight="14.4" x14ac:dyDescent="0.3"/>
  <cols>
    <col min="1" max="1" width="10.33203125" style="59" bestFit="1" customWidth="1"/>
    <col min="2" max="2" width="35.6640625" style="59" bestFit="1" customWidth="1"/>
    <col min="3" max="3" width="17.109375" style="59" bestFit="1" customWidth="1"/>
    <col min="4" max="4" width="8.88671875" style="59" bestFit="1" customWidth="1"/>
    <col min="5" max="5" width="8.33203125" style="59" bestFit="1" customWidth="1"/>
    <col min="6" max="6" width="8.6640625" style="59" bestFit="1" customWidth="1"/>
    <col min="7" max="7" width="15.44140625" style="59" bestFit="1" customWidth="1"/>
    <col min="8" max="8" width="9.6640625" style="59" bestFit="1" customWidth="1"/>
    <col min="9" max="9" width="25.44140625" style="59" bestFit="1" customWidth="1"/>
    <col min="10" max="10" width="8.88671875" style="59" bestFit="1" customWidth="1"/>
    <col min="11" max="11" width="8.6640625" style="59" bestFit="1" customWidth="1"/>
    <col min="12" max="12" width="7.6640625" style="59" bestFit="1" customWidth="1"/>
    <col min="13" max="13" width="13.6640625" style="59" bestFit="1" customWidth="1"/>
    <col min="14" max="14" width="9.109375" style="59" bestFit="1" customWidth="1"/>
    <col min="15" max="15" width="3.109375" style="59" customWidth="1"/>
    <col min="16" max="16384" width="9.109375" style="59"/>
  </cols>
  <sheetData>
    <row r="1" spans="1:15" x14ac:dyDescent="0.3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3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BR_03001_m+BR_03001_p</f>
        <v>1.7156425</v>
      </c>
      <c r="O2" s="64"/>
    </row>
    <row r="3" spans="1:15" x14ac:dyDescent="0.3">
      <c r="A3" s="133" t="s">
        <v>150</v>
      </c>
      <c r="B3" s="95" t="str">
        <f>'BR A0003'!B3</f>
        <v>Brake System</v>
      </c>
      <c r="C3" s="60"/>
      <c r="D3" s="133" t="s">
        <v>145</v>
      </c>
      <c r="E3" s="136" t="s">
        <v>162</v>
      </c>
      <c r="F3" s="60"/>
      <c r="G3" s="60"/>
      <c r="H3" s="60"/>
      <c r="I3" s="60"/>
      <c r="J3" s="60"/>
      <c r="K3" s="60"/>
      <c r="L3" s="60"/>
      <c r="M3" s="133" t="s">
        <v>148</v>
      </c>
      <c r="N3" s="72">
        <v>1</v>
      </c>
      <c r="O3" s="64"/>
    </row>
    <row r="4" spans="1:15" x14ac:dyDescent="0.3">
      <c r="A4" s="133" t="s">
        <v>147</v>
      </c>
      <c r="B4" s="136" t="str">
        <f>'BR A0003'!B4</f>
        <v>Brake Circuit Assembly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3">
      <c r="A5" s="133" t="s">
        <v>137</v>
      </c>
      <c r="B5" s="60" t="s">
        <v>161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1.7156425</v>
      </c>
      <c r="O5" s="64"/>
    </row>
    <row r="6" spans="1:15" x14ac:dyDescent="0.3">
      <c r="A6" s="133" t="s">
        <v>144</v>
      </c>
      <c r="B6" s="135" t="s">
        <v>160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3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3">
      <c r="A8" s="133" t="s">
        <v>139</v>
      </c>
      <c r="B8" s="95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3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3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3">
      <c r="A11" s="128">
        <v>10</v>
      </c>
      <c r="B11" s="127" t="s">
        <v>159</v>
      </c>
      <c r="C11" s="125"/>
      <c r="D11" s="105">
        <v>2.25</v>
      </c>
      <c r="E11" s="153">
        <f>J11*K11*L11</f>
        <v>1.413E-2</v>
      </c>
      <c r="F11" s="125" t="s">
        <v>158</v>
      </c>
      <c r="G11" s="125"/>
      <c r="H11" s="124"/>
      <c r="I11" s="123" t="s">
        <v>157</v>
      </c>
      <c r="J11" s="121">
        <f>0.04*0.03</f>
        <v>1.1999999999999999E-3</v>
      </c>
      <c r="K11" s="121">
        <v>1.5E-3</v>
      </c>
      <c r="L11" s="217">
        <v>7850</v>
      </c>
      <c r="M11" s="218">
        <v>1</v>
      </c>
      <c r="N11" s="105">
        <f>IF(J11="",D11*M11,D11*J11*K11*L11*M11)</f>
        <v>3.1792499999999994E-2</v>
      </c>
      <c r="O11" s="119"/>
    </row>
    <row r="12" spans="1:15" x14ac:dyDescent="0.3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3.1792499999999994E-2</v>
      </c>
      <c r="O12" s="64"/>
    </row>
    <row r="13" spans="1:15" x14ac:dyDescent="0.3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3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ht="15" customHeight="1" x14ac:dyDescent="0.3">
      <c r="A15" s="114">
        <v>10</v>
      </c>
      <c r="B15" s="107" t="s">
        <v>156</v>
      </c>
      <c r="C15" s="113" t="s">
        <v>155</v>
      </c>
      <c r="D15" s="112">
        <v>1.3</v>
      </c>
      <c r="E15" s="107" t="s">
        <v>56</v>
      </c>
      <c r="F15" s="113">
        <v>1</v>
      </c>
      <c r="G15" s="113"/>
      <c r="H15" s="113">
        <v>1</v>
      </c>
      <c r="I15" s="112">
        <f>IF(H15="",D15*F15,D15*F15*H15)</f>
        <v>1.3</v>
      </c>
      <c r="J15" s="111"/>
      <c r="K15" s="111"/>
      <c r="L15" s="111"/>
      <c r="M15" s="111"/>
      <c r="N15" s="111"/>
      <c r="O15" s="83"/>
    </row>
    <row r="16" spans="1:15" x14ac:dyDescent="0.3">
      <c r="A16" s="110">
        <v>20</v>
      </c>
      <c r="B16" s="107" t="s">
        <v>154</v>
      </c>
      <c r="C16" s="109"/>
      <c r="D16" s="105">
        <v>0.01</v>
      </c>
      <c r="E16" s="109" t="s">
        <v>66</v>
      </c>
      <c r="F16" s="108">
        <v>12.795</v>
      </c>
      <c r="G16" s="107" t="s">
        <v>153</v>
      </c>
      <c r="H16" s="106">
        <v>3</v>
      </c>
      <c r="I16" s="105">
        <f>IF(H16="",D16*F16,D16*F16*H16)</f>
        <v>0.38385000000000002</v>
      </c>
      <c r="J16" s="60"/>
      <c r="K16" s="60"/>
      <c r="L16" s="60"/>
      <c r="M16" s="60"/>
      <c r="N16" s="60"/>
      <c r="O16" s="64"/>
    </row>
    <row r="17" spans="1:15" x14ac:dyDescent="0.3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1.6838500000000001</v>
      </c>
      <c r="J17" s="67"/>
      <c r="K17" s="67"/>
      <c r="L17" s="67"/>
      <c r="M17" s="67"/>
      <c r="N17" s="67"/>
      <c r="O17" s="64"/>
    </row>
    <row r="18" spans="1:15" x14ac:dyDescent="0.3">
      <c r="A18" s="68"/>
      <c r="B18" s="67"/>
      <c r="C18" s="67"/>
      <c r="D18" s="67"/>
      <c r="E18" s="67"/>
      <c r="F18" s="67"/>
      <c r="G18" s="67"/>
      <c r="H18" s="66"/>
      <c r="I18" s="65"/>
      <c r="J18" s="67"/>
      <c r="K18" s="67"/>
      <c r="L18" s="67"/>
      <c r="M18" s="67"/>
      <c r="N18" s="67"/>
      <c r="O18" s="64"/>
    </row>
    <row r="19" spans="1:15" x14ac:dyDescent="0.3">
      <c r="A19" s="68"/>
      <c r="B19" s="67"/>
      <c r="C19" s="67"/>
      <c r="D19" s="67"/>
      <c r="E19" s="67"/>
      <c r="F19" s="67"/>
      <c r="G19" s="67"/>
      <c r="H19" s="66"/>
      <c r="I19" s="65"/>
      <c r="J19" s="67"/>
      <c r="K19" s="67"/>
      <c r="L19" s="67"/>
      <c r="M19" s="67"/>
      <c r="N19" s="67"/>
      <c r="O19" s="64"/>
    </row>
    <row r="20" spans="1:15" x14ac:dyDescent="0.3">
      <c r="A20" s="68"/>
      <c r="B20" s="67"/>
      <c r="C20" s="67"/>
      <c r="D20" s="67"/>
      <c r="E20" s="67"/>
      <c r="F20" s="67"/>
      <c r="G20" s="67"/>
      <c r="H20" s="66"/>
      <c r="I20" s="65"/>
      <c r="J20" s="67"/>
      <c r="K20" s="67"/>
      <c r="L20" s="67"/>
      <c r="M20" s="67"/>
      <c r="N20" s="67"/>
      <c r="O20" s="64"/>
    </row>
    <row r="21" spans="1:15" x14ac:dyDescent="0.3">
      <c r="A21" s="68"/>
      <c r="B21" s="67"/>
      <c r="C21" s="67"/>
      <c r="D21" s="67"/>
      <c r="E21" s="67"/>
      <c r="F21" s="67"/>
      <c r="G21" s="67"/>
      <c r="H21" s="66"/>
      <c r="I21" s="65"/>
      <c r="J21" s="67"/>
      <c r="K21" s="67"/>
      <c r="L21" s="67"/>
      <c r="M21" s="67"/>
      <c r="N21" s="67"/>
      <c r="O21" s="64"/>
    </row>
    <row r="22" spans="1:15" ht="15" thickBot="1" x14ac:dyDescent="0.35">
      <c r="A22" s="63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1"/>
    </row>
  </sheetData>
  <hyperlinks>
    <hyperlink ref="B4" location="'BR A0003'!A1" display="'BR A0003'!A1"/>
    <hyperlink ref="E3" location="'dBR 03001'!A1" display="Drawing"/>
    <hyperlink ref="G2" location="BR_A0003_BOM" display="Back to BOM"/>
  </hyperlinks>
  <pageMargins left="0.78749999999999998" right="0.78749999999999998" top="1.05277777777778" bottom="1.05277777777778" header="0.78749999999999998" footer="0.78749999999999998"/>
  <pageSetup paperSize="9" scale="38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B1"/>
  <sheetViews>
    <sheetView tabSelected="1" workbookViewId="0">
      <selection activeCell="F17" sqref="F17"/>
    </sheetView>
  </sheetViews>
  <sheetFormatPr baseColWidth="10" defaultColWidth="11.44140625" defaultRowHeight="14.4" x14ac:dyDescent="0.3"/>
  <cols>
    <col min="1" max="1" width="13.33203125" style="59" bestFit="1" customWidth="1"/>
    <col min="2" max="16384" width="11.44140625" style="59"/>
  </cols>
  <sheetData>
    <row r="1" spans="1:2" x14ac:dyDescent="0.3">
      <c r="A1" s="138" t="s">
        <v>163</v>
      </c>
      <c r="B1" s="136" t="s">
        <v>160</v>
      </c>
    </row>
  </sheetData>
  <hyperlinks>
    <hyperlink ref="B1" location="'BR 03001'!A1" display="BR 03001"/>
  </hyperlinks>
  <pageMargins left="0.7" right="0.7" top="0.75" bottom="0.75" header="0.3" footer="0.3"/>
  <pageSetup paperSize="9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O22"/>
  <sheetViews>
    <sheetView tabSelected="1" zoomScale="75" zoomScaleNormal="75" workbookViewId="0">
      <selection activeCell="F17" sqref="F17"/>
    </sheetView>
  </sheetViews>
  <sheetFormatPr baseColWidth="10" defaultColWidth="9.109375" defaultRowHeight="14.4" x14ac:dyDescent="0.3"/>
  <cols>
    <col min="1" max="1" width="10.5546875" style="59" customWidth="1"/>
    <col min="2" max="2" width="34.44140625" style="59" bestFit="1" customWidth="1"/>
    <col min="3" max="3" width="17.44140625" style="59" bestFit="1" customWidth="1"/>
    <col min="4" max="4" width="9.33203125" style="59" bestFit="1" customWidth="1"/>
    <col min="5" max="5" width="9.109375" style="59" bestFit="1" customWidth="1"/>
    <col min="6" max="6" width="9.109375" style="59"/>
    <col min="7" max="7" width="15" style="59" bestFit="1" customWidth="1"/>
    <col min="8" max="8" width="10" style="59" customWidth="1"/>
    <col min="9" max="9" width="27" style="59" bestFit="1" customWidth="1"/>
    <col min="10" max="10" width="9.33203125" style="59" bestFit="1" customWidth="1"/>
    <col min="11" max="11" width="9.109375" style="59" bestFit="1" customWidth="1"/>
    <col min="12" max="12" width="8" style="59" bestFit="1" customWidth="1"/>
    <col min="13" max="13" width="13.88671875" style="59" bestFit="1" customWidth="1"/>
    <col min="14" max="14" width="9.33203125" style="59" bestFit="1" customWidth="1"/>
    <col min="15" max="15" width="3.109375" style="59" customWidth="1"/>
    <col min="16" max="16384" width="9.109375" style="59"/>
  </cols>
  <sheetData>
    <row r="1" spans="1:15" x14ac:dyDescent="0.3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3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BR_03002_m+BR_03002_p</f>
        <v>1.65790375</v>
      </c>
      <c r="O2" s="64"/>
    </row>
    <row r="3" spans="1:15" x14ac:dyDescent="0.3">
      <c r="A3" s="133" t="s">
        <v>150</v>
      </c>
      <c r="B3" s="95" t="str">
        <f>'BR A0003'!B3</f>
        <v>Brake System</v>
      </c>
      <c r="C3" s="60"/>
      <c r="D3" s="133" t="s">
        <v>145</v>
      </c>
      <c r="E3" s="136" t="s">
        <v>162</v>
      </c>
      <c r="F3" s="60"/>
      <c r="G3" s="60"/>
      <c r="H3" s="60"/>
      <c r="I3" s="60"/>
      <c r="J3" s="60"/>
      <c r="K3" s="60"/>
      <c r="L3" s="60"/>
      <c r="M3" s="133" t="s">
        <v>148</v>
      </c>
      <c r="N3" s="72">
        <v>1</v>
      </c>
      <c r="O3" s="64"/>
    </row>
    <row r="4" spans="1:15" x14ac:dyDescent="0.3">
      <c r="A4" s="133" t="s">
        <v>147</v>
      </c>
      <c r="B4" s="136" t="str">
        <f>'BR A0003'!B4</f>
        <v>Brake Circuit Assembly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3">
      <c r="A5" s="133" t="s">
        <v>137</v>
      </c>
      <c r="B5" s="88" t="s">
        <v>166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1.65790375</v>
      </c>
      <c r="O5" s="64"/>
    </row>
    <row r="6" spans="1:15" x14ac:dyDescent="0.3">
      <c r="A6" s="133" t="s">
        <v>144</v>
      </c>
      <c r="B6" s="135" t="s">
        <v>165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3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3">
      <c r="A8" s="133" t="s">
        <v>139</v>
      </c>
      <c r="B8" s="95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3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3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3">
      <c r="A11" s="128">
        <v>10</v>
      </c>
      <c r="B11" s="127" t="s">
        <v>159</v>
      </c>
      <c r="C11" s="125"/>
      <c r="D11" s="105">
        <v>2.25</v>
      </c>
      <c r="E11" s="126">
        <f>J11*K11*L11</f>
        <v>1.1775000000000001E-2</v>
      </c>
      <c r="F11" s="125" t="s">
        <v>158</v>
      </c>
      <c r="G11" s="125"/>
      <c r="H11" s="124"/>
      <c r="I11" s="123" t="s">
        <v>164</v>
      </c>
      <c r="J11" s="122">
        <f>0.04*0.025</f>
        <v>1E-3</v>
      </c>
      <c r="K11" s="121">
        <v>1.5E-3</v>
      </c>
      <c r="L11" s="217">
        <v>7850</v>
      </c>
      <c r="M11" s="120">
        <v>1</v>
      </c>
      <c r="N11" s="105">
        <f>IF(J11="",D11*M11,D11*J11*K11*L11*M11)</f>
        <v>2.6493750000000003E-2</v>
      </c>
      <c r="O11" s="119"/>
    </row>
    <row r="12" spans="1:15" x14ac:dyDescent="0.3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2.6493750000000003E-2</v>
      </c>
      <c r="O12" s="64"/>
    </row>
    <row r="13" spans="1:15" x14ac:dyDescent="0.3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3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x14ac:dyDescent="0.3">
      <c r="A15" s="114">
        <v>10</v>
      </c>
      <c r="B15" s="107" t="s">
        <v>156</v>
      </c>
      <c r="C15" s="113" t="s">
        <v>155</v>
      </c>
      <c r="D15" s="112">
        <v>1.3</v>
      </c>
      <c r="E15" s="107" t="s">
        <v>56</v>
      </c>
      <c r="F15" s="113">
        <v>1</v>
      </c>
      <c r="G15" s="113"/>
      <c r="H15" s="113">
        <v>1</v>
      </c>
      <c r="I15" s="112">
        <f>IF(H15="",D15*F15,D15*F15*H15)</f>
        <v>1.3</v>
      </c>
      <c r="J15" s="111"/>
      <c r="K15" s="111"/>
      <c r="L15" s="111"/>
      <c r="M15" s="111"/>
      <c r="N15" s="111"/>
      <c r="O15" s="83"/>
    </row>
    <row r="16" spans="1:15" x14ac:dyDescent="0.3">
      <c r="A16" s="110">
        <v>20</v>
      </c>
      <c r="B16" s="107" t="s">
        <v>154</v>
      </c>
      <c r="C16" s="109"/>
      <c r="D16" s="105">
        <v>0.01</v>
      </c>
      <c r="E16" s="109" t="s">
        <v>66</v>
      </c>
      <c r="F16" s="108">
        <v>11.047000000000001</v>
      </c>
      <c r="G16" s="107" t="s">
        <v>153</v>
      </c>
      <c r="H16" s="106">
        <v>3</v>
      </c>
      <c r="I16" s="105">
        <f>IF(H16="",D16*F16,D16*F16*H16)</f>
        <v>0.33141000000000004</v>
      </c>
      <c r="J16" s="60"/>
      <c r="K16" s="60"/>
      <c r="L16" s="60"/>
      <c r="M16" s="60"/>
      <c r="N16" s="60"/>
      <c r="O16" s="64"/>
    </row>
    <row r="17" spans="1:15" x14ac:dyDescent="0.3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1.63141</v>
      </c>
      <c r="J17" s="67"/>
      <c r="K17" s="67"/>
      <c r="L17" s="67"/>
      <c r="M17" s="67"/>
      <c r="N17" s="67"/>
      <c r="O17" s="64"/>
    </row>
    <row r="18" spans="1:15" x14ac:dyDescent="0.3">
      <c r="A18" s="78"/>
      <c r="B18" s="60"/>
      <c r="C18" s="60"/>
      <c r="D18" s="60"/>
      <c r="E18" s="60"/>
      <c r="F18" s="60"/>
      <c r="G18" s="60"/>
      <c r="H18" s="60"/>
      <c r="I18" s="87"/>
      <c r="J18" s="60"/>
      <c r="K18" s="60"/>
      <c r="L18" s="60"/>
      <c r="M18" s="60"/>
      <c r="N18" s="60"/>
      <c r="O18" s="64"/>
    </row>
    <row r="19" spans="1:15" x14ac:dyDescent="0.3">
      <c r="A19" s="78"/>
      <c r="B19" s="60"/>
      <c r="C19" s="60"/>
      <c r="D19" s="60"/>
      <c r="E19" s="60"/>
      <c r="F19" s="60"/>
      <c r="G19" s="60"/>
      <c r="H19" s="60"/>
      <c r="I19" s="87"/>
      <c r="J19" s="60"/>
      <c r="K19" s="60"/>
      <c r="L19" s="60"/>
      <c r="M19" s="60"/>
      <c r="N19" s="60"/>
      <c r="O19" s="64"/>
    </row>
    <row r="20" spans="1:15" x14ac:dyDescent="0.3">
      <c r="A20" s="78"/>
      <c r="B20" s="60"/>
      <c r="C20" s="60"/>
      <c r="D20" s="60"/>
      <c r="E20" s="60"/>
      <c r="F20" s="60"/>
      <c r="G20" s="60"/>
      <c r="H20" s="60"/>
      <c r="I20" s="87"/>
      <c r="J20" s="60"/>
      <c r="K20" s="60"/>
      <c r="L20" s="60"/>
      <c r="M20" s="60"/>
      <c r="N20" s="60"/>
      <c r="O20" s="64"/>
    </row>
    <row r="21" spans="1:15" x14ac:dyDescent="0.3">
      <c r="A21" s="78"/>
      <c r="B21" s="60"/>
      <c r="C21" s="60"/>
      <c r="D21" s="60"/>
      <c r="E21" s="60"/>
      <c r="F21" s="60"/>
      <c r="G21" s="60"/>
      <c r="H21" s="60"/>
      <c r="I21" s="87"/>
      <c r="J21" s="60"/>
      <c r="K21" s="60"/>
      <c r="L21" s="60"/>
      <c r="M21" s="60"/>
      <c r="N21" s="60"/>
      <c r="O21" s="64"/>
    </row>
    <row r="22" spans="1:15" ht="15" thickBot="1" x14ac:dyDescent="0.35">
      <c r="A22" s="63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1"/>
    </row>
  </sheetData>
  <hyperlinks>
    <hyperlink ref="B4" location="'BR A0003'!A1" display="'BR A0003'!A1"/>
    <hyperlink ref="E3" location="'dBR 03002'!A1" display="Drawing"/>
    <hyperlink ref="G2" location="BR_A0003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O39"/>
  <sheetViews>
    <sheetView tabSelected="1" zoomScale="70" zoomScaleNormal="70" zoomScaleSheetLayoutView="80" workbookViewId="0">
      <selection activeCell="F17" sqref="F17"/>
    </sheetView>
  </sheetViews>
  <sheetFormatPr baseColWidth="10" defaultColWidth="9.109375" defaultRowHeight="14.4" x14ac:dyDescent="0.3"/>
  <cols>
    <col min="1" max="1" width="10.33203125" style="59" bestFit="1" customWidth="1"/>
    <col min="2" max="2" width="27.44140625" style="59" bestFit="1" customWidth="1"/>
    <col min="3" max="3" width="42.6640625" style="59" bestFit="1" customWidth="1"/>
    <col min="4" max="4" width="9.109375" style="59" bestFit="1" customWidth="1"/>
    <col min="5" max="5" width="12" style="59" bestFit="1" customWidth="1"/>
    <col min="6" max="6" width="8.6640625" style="59" bestFit="1" customWidth="1"/>
    <col min="7" max="7" width="10" style="59" bestFit="1" customWidth="1"/>
    <col min="8" max="8" width="9.6640625" style="59" bestFit="1" customWidth="1"/>
    <col min="9" max="9" width="13.5546875" style="59" bestFit="1" customWidth="1"/>
    <col min="10" max="10" width="9.6640625" style="59" bestFit="1" customWidth="1"/>
    <col min="11" max="11" width="7.33203125" style="59" bestFit="1" customWidth="1"/>
    <col min="12" max="12" width="7.6640625" style="59" bestFit="1" customWidth="1"/>
    <col min="13" max="13" width="13.6640625" style="59" bestFit="1" customWidth="1"/>
    <col min="14" max="14" width="9.33203125" style="59" bestFit="1" customWidth="1"/>
    <col min="15" max="15" width="5.33203125" style="59" customWidth="1"/>
    <col min="16" max="16384" width="9.109375" style="59"/>
  </cols>
  <sheetData>
    <row r="1" spans="1:15" x14ac:dyDescent="0.3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3">
      <c r="A2" s="77" t="s">
        <v>24</v>
      </c>
      <c r="B2" s="95" t="s">
        <v>23</v>
      </c>
      <c r="C2" s="60"/>
      <c r="D2" s="60"/>
      <c r="E2" s="176" t="s">
        <v>152</v>
      </c>
      <c r="F2" s="60"/>
      <c r="G2" s="60"/>
      <c r="H2" s="60"/>
      <c r="I2" s="60"/>
      <c r="J2" s="77" t="s">
        <v>18</v>
      </c>
      <c r="K2" s="99">
        <v>81</v>
      </c>
      <c r="L2" s="60"/>
      <c r="M2" s="77" t="s">
        <v>151</v>
      </c>
      <c r="N2" s="98">
        <f>BR_A0001_pa+BR_A0001_m+BR_A0001_p+BR_A0001_f</f>
        <v>101.32729258387884</v>
      </c>
      <c r="O2" s="64"/>
    </row>
    <row r="3" spans="1:15" x14ac:dyDescent="0.3">
      <c r="A3" s="77" t="s">
        <v>150</v>
      </c>
      <c r="B3" s="95" t="s">
        <v>149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77" t="s">
        <v>148</v>
      </c>
      <c r="N3" s="72">
        <v>2</v>
      </c>
      <c r="O3" s="64"/>
    </row>
    <row r="4" spans="1:15" x14ac:dyDescent="0.3">
      <c r="A4" s="77" t="s">
        <v>147</v>
      </c>
      <c r="B4" s="87" t="s">
        <v>230</v>
      </c>
      <c r="C4" s="60"/>
      <c r="D4" s="60"/>
      <c r="E4" s="60"/>
      <c r="F4" s="60"/>
      <c r="G4" s="60"/>
      <c r="H4" s="60"/>
      <c r="I4" s="60"/>
      <c r="J4" s="96" t="s">
        <v>145</v>
      </c>
      <c r="K4" s="60"/>
      <c r="L4" s="60"/>
      <c r="M4" s="60"/>
      <c r="N4" s="60"/>
      <c r="O4" s="64"/>
    </row>
    <row r="5" spans="1:15" x14ac:dyDescent="0.3">
      <c r="A5" s="77" t="s">
        <v>144</v>
      </c>
      <c r="B5" s="97" t="s">
        <v>237</v>
      </c>
      <c r="C5" s="60"/>
      <c r="D5" s="60"/>
      <c r="E5" s="60"/>
      <c r="F5" s="60"/>
      <c r="G5" s="60"/>
      <c r="H5" s="60"/>
      <c r="I5" s="60"/>
      <c r="J5" s="96" t="s">
        <v>143</v>
      </c>
      <c r="K5" s="60"/>
      <c r="L5" s="60"/>
      <c r="M5" s="77" t="s">
        <v>142</v>
      </c>
      <c r="N5" s="71">
        <f>N2*N3</f>
        <v>202.65458516775769</v>
      </c>
      <c r="O5" s="64"/>
    </row>
    <row r="6" spans="1:15" x14ac:dyDescent="0.3">
      <c r="A6" s="77" t="s">
        <v>141</v>
      </c>
      <c r="B6" s="95" t="s">
        <v>1</v>
      </c>
      <c r="C6" s="60"/>
      <c r="D6" s="60"/>
      <c r="E6" s="60"/>
      <c r="F6" s="60"/>
      <c r="G6" s="60"/>
      <c r="H6" s="60"/>
      <c r="I6" s="60"/>
      <c r="J6" s="96" t="s">
        <v>140</v>
      </c>
      <c r="K6" s="60"/>
      <c r="L6" s="60"/>
      <c r="M6" s="60"/>
      <c r="N6" s="60"/>
      <c r="O6" s="64"/>
    </row>
    <row r="7" spans="1:15" x14ac:dyDescent="0.3">
      <c r="A7" s="77" t="s">
        <v>139</v>
      </c>
      <c r="B7" s="95" t="s">
        <v>229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3">
      <c r="A8" s="78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3">
      <c r="A9" s="77" t="s">
        <v>35</v>
      </c>
      <c r="B9" s="94" t="s">
        <v>137</v>
      </c>
      <c r="C9" s="77" t="s">
        <v>136</v>
      </c>
      <c r="D9" s="77" t="s">
        <v>8</v>
      </c>
      <c r="E9" s="77" t="s">
        <v>25</v>
      </c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3">
      <c r="A10" s="92">
        <v>10</v>
      </c>
      <c r="B10" s="93" t="str">
        <f>'BR 01001'!B5</f>
        <v>Brake Rotor</v>
      </c>
      <c r="C10" s="90">
        <f>'BR 01001'!N2</f>
        <v>3.3906536124999995</v>
      </c>
      <c r="D10" s="89">
        <f>BR_01001_q</f>
        <v>1</v>
      </c>
      <c r="E10" s="71">
        <f>C10*D10</f>
        <v>3.3906536124999995</v>
      </c>
      <c r="F10" s="60"/>
      <c r="G10" s="60"/>
      <c r="H10" s="60"/>
      <c r="I10" s="60"/>
      <c r="J10" s="60"/>
      <c r="K10" s="60"/>
      <c r="L10" s="60"/>
      <c r="M10" s="60"/>
      <c r="N10" s="60"/>
      <c r="O10" s="64"/>
    </row>
    <row r="11" spans="1:15" x14ac:dyDescent="0.3">
      <c r="A11" s="92">
        <v>20</v>
      </c>
      <c r="B11" s="91" t="str">
        <f>'BR 01002'!B5</f>
        <v>Brake Shrink Disc</v>
      </c>
      <c r="C11" s="90">
        <f>'BR 01002'!N2</f>
        <v>6.0191946657382926</v>
      </c>
      <c r="D11" s="89">
        <f>BR_01002_q</f>
        <v>1</v>
      </c>
      <c r="E11" s="71">
        <f>C11*D11</f>
        <v>6.0191946657382926</v>
      </c>
      <c r="F11" s="87"/>
      <c r="G11" s="87"/>
      <c r="H11" s="87"/>
      <c r="I11" s="87"/>
      <c r="J11" s="87"/>
      <c r="K11" s="87"/>
      <c r="L11" s="87"/>
      <c r="M11" s="87"/>
      <c r="N11" s="87"/>
      <c r="O11" s="64"/>
    </row>
    <row r="12" spans="1:15" x14ac:dyDescent="0.3">
      <c r="A12" s="92">
        <v>30</v>
      </c>
      <c r="B12" s="93" t="str">
        <f>'BR 01003'!B5</f>
        <v>Brake Bobbin</v>
      </c>
      <c r="C12" s="90">
        <f>'BR 01003'!N2</f>
        <v>0.26854397491666665</v>
      </c>
      <c r="D12" s="89">
        <f>BR_01003_q</f>
        <v>6</v>
      </c>
      <c r="E12" s="71">
        <f>C12*D12</f>
        <v>1.6112638494999998</v>
      </c>
      <c r="F12" s="87"/>
      <c r="G12" s="87"/>
      <c r="H12" s="87"/>
      <c r="I12" s="87"/>
      <c r="J12" s="87"/>
      <c r="K12" s="87"/>
      <c r="L12" s="87"/>
      <c r="M12" s="87"/>
      <c r="N12" s="87"/>
      <c r="O12" s="165"/>
    </row>
    <row r="13" spans="1:15" s="158" customFormat="1" x14ac:dyDescent="0.3">
      <c r="A13" s="92">
        <v>40</v>
      </c>
      <c r="B13" s="93" t="str">
        <f>'BR 01004'!B5</f>
        <v>Brake Caliper Spacer</v>
      </c>
      <c r="C13" s="90">
        <f>'BR 01004'!N2</f>
        <v>0.28175735472631153</v>
      </c>
      <c r="D13" s="89">
        <f>BR_01004_q</f>
        <v>2</v>
      </c>
      <c r="E13" s="71">
        <f>C13*D13</f>
        <v>0.56351470945262305</v>
      </c>
      <c r="F13" s="87"/>
      <c r="G13" s="87"/>
      <c r="H13" s="87"/>
      <c r="I13" s="87"/>
      <c r="J13" s="87"/>
      <c r="K13" s="87"/>
      <c r="L13" s="87"/>
      <c r="M13" s="87"/>
      <c r="N13" s="87"/>
      <c r="O13" s="165"/>
    </row>
    <row r="14" spans="1:15" x14ac:dyDescent="0.3">
      <c r="A14" s="78"/>
      <c r="B14" s="60"/>
      <c r="C14" s="60"/>
      <c r="D14" s="70" t="s">
        <v>25</v>
      </c>
      <c r="E14" s="69">
        <f>SUM(E10:E13)</f>
        <v>11.584626837190916</v>
      </c>
      <c r="F14" s="87"/>
      <c r="G14" s="87"/>
      <c r="H14" s="87"/>
      <c r="I14" s="87"/>
      <c r="J14" s="87"/>
      <c r="K14" s="87"/>
      <c r="L14" s="87"/>
      <c r="M14" s="87"/>
      <c r="N14" s="87"/>
      <c r="O14" s="64"/>
    </row>
    <row r="15" spans="1:15" x14ac:dyDescent="0.3">
      <c r="A15" s="7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4"/>
    </row>
    <row r="16" spans="1:15" x14ac:dyDescent="0.3">
      <c r="A16" s="77" t="s">
        <v>35</v>
      </c>
      <c r="B16" s="77" t="s">
        <v>135</v>
      </c>
      <c r="C16" s="77" t="s">
        <v>33</v>
      </c>
      <c r="D16" s="77" t="s">
        <v>32</v>
      </c>
      <c r="E16" s="77" t="s">
        <v>54</v>
      </c>
      <c r="F16" s="77" t="s">
        <v>53</v>
      </c>
      <c r="G16" s="77" t="s">
        <v>52</v>
      </c>
      <c r="H16" s="77" t="s">
        <v>51</v>
      </c>
      <c r="I16" s="77" t="s">
        <v>134</v>
      </c>
      <c r="J16" s="77" t="s">
        <v>133</v>
      </c>
      <c r="K16" s="77" t="s">
        <v>132</v>
      </c>
      <c r="L16" s="77" t="s">
        <v>131</v>
      </c>
      <c r="M16" s="77" t="s">
        <v>8</v>
      </c>
      <c r="N16" s="77" t="s">
        <v>25</v>
      </c>
      <c r="O16" s="64"/>
    </row>
    <row r="17" spans="1:15" x14ac:dyDescent="0.3">
      <c r="A17" s="73">
        <v>10</v>
      </c>
      <c r="B17" s="73" t="s">
        <v>199</v>
      </c>
      <c r="C17" s="163" t="s">
        <v>198</v>
      </c>
      <c r="D17" s="71">
        <v>83</v>
      </c>
      <c r="E17" s="73"/>
      <c r="F17" s="73" t="s">
        <v>56</v>
      </c>
      <c r="G17" s="73"/>
      <c r="H17" s="84"/>
      <c r="I17" s="86"/>
      <c r="J17" s="85"/>
      <c r="K17" s="84"/>
      <c r="L17" s="84"/>
      <c r="M17" s="221">
        <v>1</v>
      </c>
      <c r="N17" s="71">
        <f>M17*D17</f>
        <v>83</v>
      </c>
      <c r="O17" s="64"/>
    </row>
    <row r="18" spans="1:15" s="118" customFormat="1" x14ac:dyDescent="0.3">
      <c r="A18" s="73">
        <v>20</v>
      </c>
      <c r="B18" s="73" t="s">
        <v>197</v>
      </c>
      <c r="C18" s="81" t="s">
        <v>196</v>
      </c>
      <c r="D18" s="71">
        <v>2.0000000000000001E-4</v>
      </c>
      <c r="E18" s="164">
        <f>J18*K18*1000000000</f>
        <v>4272.3900000000003</v>
      </c>
      <c r="F18" s="163" t="s">
        <v>195</v>
      </c>
      <c r="G18" s="163"/>
      <c r="H18" s="84"/>
      <c r="I18" s="162" t="s">
        <v>194</v>
      </c>
      <c r="J18" s="161">
        <v>1.42413E-3</v>
      </c>
      <c r="K18" s="160">
        <v>3.0000000000000001E-3</v>
      </c>
      <c r="L18" s="159"/>
      <c r="M18" s="221">
        <v>2</v>
      </c>
      <c r="N18" s="71">
        <f>M18*D18*E18</f>
        <v>1.7089560000000001</v>
      </c>
      <c r="O18" s="119"/>
    </row>
    <row r="19" spans="1:15" x14ac:dyDescent="0.3">
      <c r="A19" s="68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77" t="s">
        <v>25</v>
      </c>
      <c r="N19" s="69">
        <f>SUM(N17:N18)</f>
        <v>84.708956000000001</v>
      </c>
      <c r="O19" s="64"/>
    </row>
    <row r="20" spans="1:15" x14ac:dyDescent="0.3">
      <c r="A20" s="78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4"/>
    </row>
    <row r="21" spans="1:15" s="82" customFormat="1" x14ac:dyDescent="0.3">
      <c r="A21" s="77" t="s">
        <v>35</v>
      </c>
      <c r="B21" s="77" t="s">
        <v>102</v>
      </c>
      <c r="C21" s="77" t="s">
        <v>33</v>
      </c>
      <c r="D21" s="77" t="s">
        <v>32</v>
      </c>
      <c r="E21" s="77" t="s">
        <v>31</v>
      </c>
      <c r="F21" s="77" t="s">
        <v>8</v>
      </c>
      <c r="G21" s="77" t="s">
        <v>101</v>
      </c>
      <c r="H21" s="77" t="s">
        <v>100</v>
      </c>
      <c r="I21" s="77" t="s">
        <v>25</v>
      </c>
      <c r="J21" s="67"/>
      <c r="K21" s="67"/>
      <c r="L21" s="67"/>
      <c r="M21" s="67"/>
      <c r="N21" s="67"/>
      <c r="O21" s="83"/>
    </row>
    <row r="22" spans="1:15" x14ac:dyDescent="0.3">
      <c r="A22" s="73">
        <v>10</v>
      </c>
      <c r="B22" s="73" t="s">
        <v>189</v>
      </c>
      <c r="C22" s="73" t="s">
        <v>193</v>
      </c>
      <c r="D22" s="71">
        <v>0.13</v>
      </c>
      <c r="E22" s="73" t="s">
        <v>56</v>
      </c>
      <c r="F22" s="79">
        <v>2</v>
      </c>
      <c r="G22" s="79"/>
      <c r="H22" s="79"/>
      <c r="I22" s="71">
        <f t="shared" ref="I22:I29" si="0">IF(H22="",D22*F22,D22*F22*H22)</f>
        <v>0.26</v>
      </c>
      <c r="J22" s="60"/>
      <c r="K22" s="60"/>
      <c r="L22" s="60"/>
      <c r="M22" s="60"/>
      <c r="N22" s="60"/>
      <c r="O22" s="64"/>
    </row>
    <row r="23" spans="1:15" s="82" customFormat="1" x14ac:dyDescent="0.3">
      <c r="A23" s="81">
        <v>20</v>
      </c>
      <c r="B23" s="80" t="s">
        <v>85</v>
      </c>
      <c r="C23" s="81" t="s">
        <v>192</v>
      </c>
      <c r="D23" s="178">
        <v>0.06</v>
      </c>
      <c r="E23" s="80" t="s">
        <v>56</v>
      </c>
      <c r="F23" s="179">
        <v>6</v>
      </c>
      <c r="G23" s="81"/>
      <c r="H23" s="81"/>
      <c r="I23" s="178">
        <f t="shared" si="0"/>
        <v>0.36</v>
      </c>
      <c r="J23" s="111"/>
      <c r="K23" s="111"/>
      <c r="L23" s="111"/>
      <c r="M23" s="111"/>
      <c r="N23" s="111"/>
      <c r="O23" s="83"/>
    </row>
    <row r="24" spans="1:15" s="82" customFormat="1" x14ac:dyDescent="0.3">
      <c r="A24" s="81">
        <v>30</v>
      </c>
      <c r="B24" s="80" t="s">
        <v>189</v>
      </c>
      <c r="C24" s="81" t="s">
        <v>191</v>
      </c>
      <c r="D24" s="178">
        <v>0.13</v>
      </c>
      <c r="E24" s="81" t="s">
        <v>56</v>
      </c>
      <c r="F24" s="179">
        <v>1</v>
      </c>
      <c r="G24" s="81"/>
      <c r="H24" s="81"/>
      <c r="I24" s="178">
        <f t="shared" si="0"/>
        <v>0.13</v>
      </c>
      <c r="J24" s="111"/>
      <c r="K24" s="111"/>
      <c r="L24" s="111"/>
      <c r="M24" s="111"/>
      <c r="N24" s="111"/>
      <c r="O24" s="83"/>
    </row>
    <row r="25" spans="1:15" s="82" customFormat="1" x14ac:dyDescent="0.3">
      <c r="A25" s="81">
        <v>40</v>
      </c>
      <c r="B25" s="80" t="s">
        <v>189</v>
      </c>
      <c r="C25" s="81" t="s">
        <v>190</v>
      </c>
      <c r="D25" s="178">
        <v>0.13</v>
      </c>
      <c r="E25" s="81" t="s">
        <v>56</v>
      </c>
      <c r="F25" s="179">
        <v>6</v>
      </c>
      <c r="G25" s="81"/>
      <c r="H25" s="81"/>
      <c r="I25" s="178">
        <f t="shared" si="0"/>
        <v>0.78</v>
      </c>
      <c r="J25" s="111"/>
      <c r="K25" s="111"/>
      <c r="L25" s="111"/>
      <c r="M25" s="111"/>
      <c r="N25" s="111"/>
      <c r="O25" s="83"/>
    </row>
    <row r="26" spans="1:15" s="82" customFormat="1" x14ac:dyDescent="0.3">
      <c r="A26" s="81">
        <v>50</v>
      </c>
      <c r="B26" s="80" t="s">
        <v>189</v>
      </c>
      <c r="C26" s="81" t="s">
        <v>188</v>
      </c>
      <c r="D26" s="178">
        <v>0.13</v>
      </c>
      <c r="E26" s="81" t="s">
        <v>56</v>
      </c>
      <c r="F26" s="179">
        <v>1</v>
      </c>
      <c r="G26" s="81"/>
      <c r="H26" s="81"/>
      <c r="I26" s="178">
        <f t="shared" si="0"/>
        <v>0.13</v>
      </c>
      <c r="J26" s="111"/>
      <c r="K26" s="111"/>
      <c r="L26" s="111"/>
      <c r="M26" s="111"/>
      <c r="N26" s="111"/>
      <c r="O26" s="83"/>
    </row>
    <row r="27" spans="1:15" s="82" customFormat="1" x14ac:dyDescent="0.3">
      <c r="A27" s="81">
        <v>60</v>
      </c>
      <c r="B27" s="80" t="s">
        <v>85</v>
      </c>
      <c r="C27" s="81" t="s">
        <v>187</v>
      </c>
      <c r="D27" s="178">
        <v>0.06</v>
      </c>
      <c r="E27" s="81" t="s">
        <v>56</v>
      </c>
      <c r="F27" s="179">
        <v>1</v>
      </c>
      <c r="G27" s="81"/>
      <c r="H27" s="81"/>
      <c r="I27" s="178">
        <f t="shared" si="0"/>
        <v>0.06</v>
      </c>
      <c r="J27" s="111"/>
      <c r="K27" s="111"/>
      <c r="L27" s="111"/>
      <c r="M27" s="111"/>
      <c r="N27" s="111"/>
      <c r="O27" s="83"/>
    </row>
    <row r="28" spans="1:15" s="182" customFormat="1" x14ac:dyDescent="0.3">
      <c r="A28" s="81">
        <v>70</v>
      </c>
      <c r="B28" s="80" t="s">
        <v>186</v>
      </c>
      <c r="C28" s="81" t="s">
        <v>185</v>
      </c>
      <c r="D28" s="178">
        <v>0.75</v>
      </c>
      <c r="E28" s="81" t="s">
        <v>56</v>
      </c>
      <c r="F28" s="179">
        <v>2</v>
      </c>
      <c r="G28" s="81"/>
      <c r="H28" s="81"/>
      <c r="I28" s="178">
        <f t="shared" si="0"/>
        <v>1.5</v>
      </c>
      <c r="J28" s="180"/>
      <c r="K28" s="180"/>
      <c r="L28" s="180"/>
      <c r="M28" s="180"/>
      <c r="N28" s="180"/>
      <c r="O28" s="181"/>
    </row>
    <row r="29" spans="1:15" s="82" customFormat="1" x14ac:dyDescent="0.3">
      <c r="A29" s="73">
        <v>80</v>
      </c>
      <c r="B29" s="73" t="s">
        <v>184</v>
      </c>
      <c r="C29" s="73" t="s">
        <v>183</v>
      </c>
      <c r="D29" s="71">
        <v>0.6</v>
      </c>
      <c r="E29" s="73" t="s">
        <v>56</v>
      </c>
      <c r="F29" s="79">
        <v>2</v>
      </c>
      <c r="G29" s="79"/>
      <c r="H29" s="79"/>
      <c r="I29" s="71">
        <f t="shared" si="0"/>
        <v>1.2</v>
      </c>
      <c r="J29" s="87"/>
      <c r="K29" s="87"/>
      <c r="L29" s="87"/>
      <c r="M29" s="87"/>
      <c r="N29" s="87"/>
      <c r="O29" s="83"/>
    </row>
    <row r="30" spans="1:15" x14ac:dyDescent="0.3">
      <c r="A30" s="68"/>
      <c r="B30" s="67"/>
      <c r="C30" s="67"/>
      <c r="D30" s="67"/>
      <c r="E30" s="67"/>
      <c r="F30" s="67"/>
      <c r="G30" s="67"/>
      <c r="H30" s="70" t="s">
        <v>25</v>
      </c>
      <c r="I30" s="69">
        <f>SUM(I22:I29)</f>
        <v>4.42</v>
      </c>
      <c r="J30" s="60"/>
      <c r="K30" s="60"/>
      <c r="L30" s="60"/>
      <c r="M30" s="60"/>
      <c r="N30" s="60"/>
      <c r="O30" s="64"/>
    </row>
    <row r="31" spans="1:15" x14ac:dyDescent="0.3">
      <c r="A31" s="78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4"/>
    </row>
    <row r="32" spans="1:15" x14ac:dyDescent="0.3">
      <c r="A32" s="77" t="s">
        <v>35</v>
      </c>
      <c r="B32" s="77" t="s">
        <v>55</v>
      </c>
      <c r="C32" s="77" t="s">
        <v>33</v>
      </c>
      <c r="D32" s="77" t="s">
        <v>32</v>
      </c>
      <c r="E32" s="77" t="s">
        <v>54</v>
      </c>
      <c r="F32" s="77" t="s">
        <v>53</v>
      </c>
      <c r="G32" s="77" t="s">
        <v>52</v>
      </c>
      <c r="H32" s="77" t="s">
        <v>51</v>
      </c>
      <c r="I32" s="77" t="s">
        <v>8</v>
      </c>
      <c r="J32" s="77" t="s">
        <v>25</v>
      </c>
      <c r="K32" s="60"/>
      <c r="L32" s="60"/>
      <c r="M32" s="60"/>
      <c r="N32" s="60"/>
      <c r="O32" s="64"/>
    </row>
    <row r="33" spans="1:15" x14ac:dyDescent="0.3">
      <c r="A33" s="73">
        <v>10</v>
      </c>
      <c r="B33" s="73" t="s">
        <v>182</v>
      </c>
      <c r="C33" s="73" t="s">
        <v>181</v>
      </c>
      <c r="D33" s="75">
        <f>0.8/105154*E33^2*G33*SQRT(G33)+(0.003*EXP(0.319*E33))</f>
        <v>0.11850487334396681</v>
      </c>
      <c r="E33" s="76">
        <v>8</v>
      </c>
      <c r="F33" s="76" t="s">
        <v>38</v>
      </c>
      <c r="G33" s="76">
        <v>30</v>
      </c>
      <c r="H33" s="76" t="s">
        <v>38</v>
      </c>
      <c r="I33" s="72">
        <v>2</v>
      </c>
      <c r="J33" s="71">
        <f>I33*D33</f>
        <v>0.23700974668793362</v>
      </c>
      <c r="K33" s="60"/>
      <c r="L33" s="60"/>
      <c r="M33" s="60"/>
      <c r="N33" s="60"/>
      <c r="O33" s="64"/>
    </row>
    <row r="34" spans="1:15" x14ac:dyDescent="0.3">
      <c r="A34" s="73">
        <v>20</v>
      </c>
      <c r="B34" s="73" t="s">
        <v>43</v>
      </c>
      <c r="C34" s="73" t="s">
        <v>181</v>
      </c>
      <c r="D34" s="75">
        <v>0.01</v>
      </c>
      <c r="E34" s="73">
        <v>8</v>
      </c>
      <c r="F34" s="74" t="s">
        <v>38</v>
      </c>
      <c r="G34" s="73"/>
      <c r="H34" s="73"/>
      <c r="I34" s="72">
        <v>2</v>
      </c>
      <c r="J34" s="71">
        <f>I34*D34</f>
        <v>0.02</v>
      </c>
      <c r="K34" s="60"/>
      <c r="L34" s="60"/>
      <c r="M34" s="60"/>
      <c r="N34" s="60"/>
      <c r="O34" s="64"/>
    </row>
    <row r="35" spans="1:15" x14ac:dyDescent="0.3">
      <c r="A35" s="73">
        <v>30</v>
      </c>
      <c r="B35" s="73" t="s">
        <v>180</v>
      </c>
      <c r="C35" s="73" t="s">
        <v>179</v>
      </c>
      <c r="D35" s="75">
        <f>0.0002*E35^2+0.013</f>
        <v>3.9449999999999999E-2</v>
      </c>
      <c r="E35" s="73">
        <v>11.5</v>
      </c>
      <c r="F35" s="74" t="s">
        <v>38</v>
      </c>
      <c r="G35" s="73"/>
      <c r="H35" s="73"/>
      <c r="I35" s="72">
        <v>6</v>
      </c>
      <c r="J35" s="71">
        <f>I35*D35</f>
        <v>0.23669999999999999</v>
      </c>
      <c r="K35" s="60"/>
      <c r="L35" s="60"/>
      <c r="M35" s="60"/>
      <c r="N35" s="60"/>
      <c r="O35" s="64"/>
    </row>
    <row r="36" spans="1:15" s="118" customFormat="1" x14ac:dyDescent="0.3">
      <c r="A36" s="163">
        <v>40</v>
      </c>
      <c r="B36" s="183" t="s">
        <v>43</v>
      </c>
      <c r="C36" s="163" t="s">
        <v>178</v>
      </c>
      <c r="D36" s="184">
        <v>0.01</v>
      </c>
      <c r="E36" s="163">
        <v>12</v>
      </c>
      <c r="F36" s="74" t="s">
        <v>38</v>
      </c>
      <c r="G36" s="163"/>
      <c r="H36" s="163"/>
      <c r="I36" s="72">
        <v>12</v>
      </c>
      <c r="J36" s="71">
        <f>I36*D36</f>
        <v>0.12</v>
      </c>
      <c r="K36" s="146"/>
      <c r="L36" s="146"/>
      <c r="M36" s="146"/>
      <c r="N36" s="146"/>
      <c r="O36" s="119"/>
    </row>
    <row r="37" spans="1:15" x14ac:dyDescent="0.3">
      <c r="A37" s="68"/>
      <c r="B37" s="67"/>
      <c r="C37" s="67"/>
      <c r="D37" s="67"/>
      <c r="E37" s="67"/>
      <c r="F37" s="67"/>
      <c r="G37" s="67"/>
      <c r="H37" s="67"/>
      <c r="I37" s="70" t="s">
        <v>25</v>
      </c>
      <c r="J37" s="69">
        <f>SUM(J33:J36)</f>
        <v>0.61370974668793365</v>
      </c>
      <c r="K37" s="60"/>
      <c r="L37" s="60"/>
      <c r="M37" s="60"/>
      <c r="N37" s="60"/>
      <c r="O37" s="64"/>
    </row>
    <row r="38" spans="1:15" ht="15" thickBot="1" x14ac:dyDescent="0.35">
      <c r="A38" s="63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1"/>
    </row>
    <row r="39" spans="1:15" x14ac:dyDescent="0.3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</row>
  </sheetData>
  <hyperlinks>
    <hyperlink ref="B10" location="'BR 01001'!A1" display="'BR 01001'!A1"/>
    <hyperlink ref="B11" location="'BR 01002'!A1" display="'BR 01002'!A1"/>
    <hyperlink ref="B12" location="'BR 01003'!A1" display="'BR 01003'!A1"/>
    <hyperlink ref="B13" location="'BR 01004'!A1" display="'BR 01004'!A1"/>
    <hyperlink ref="E2" location="BR_A0001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8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B1"/>
  <sheetViews>
    <sheetView tabSelected="1" workbookViewId="0">
      <selection activeCell="F17" sqref="F17"/>
    </sheetView>
  </sheetViews>
  <sheetFormatPr baseColWidth="10" defaultColWidth="11.44140625" defaultRowHeight="14.4" x14ac:dyDescent="0.3"/>
  <cols>
    <col min="1" max="1" width="13.33203125" style="59" bestFit="1" customWidth="1"/>
    <col min="2" max="16384" width="11.44140625" style="59"/>
  </cols>
  <sheetData>
    <row r="1" spans="1:2" x14ac:dyDescent="0.3">
      <c r="A1" s="59" t="s">
        <v>163</v>
      </c>
      <c r="B1" s="136" t="s">
        <v>165</v>
      </c>
    </row>
  </sheetData>
  <hyperlinks>
    <hyperlink ref="B1" location="'BR 03002'!A1" display="BR 03002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O22"/>
  <sheetViews>
    <sheetView tabSelected="1" zoomScale="75" zoomScaleNormal="75" workbookViewId="0">
      <selection activeCell="F17" sqref="F17"/>
    </sheetView>
  </sheetViews>
  <sheetFormatPr baseColWidth="10" defaultColWidth="9.109375" defaultRowHeight="14.4" x14ac:dyDescent="0.3"/>
  <cols>
    <col min="1" max="1" width="10.5546875" style="59" customWidth="1"/>
    <col min="2" max="2" width="35" style="59" customWidth="1"/>
    <col min="3" max="3" width="4.6640625" style="59" customWidth="1"/>
    <col min="4" max="4" width="9.33203125" style="59" bestFit="1" customWidth="1"/>
    <col min="5" max="5" width="7.44140625" style="59" customWidth="1"/>
    <col min="6" max="6" width="8.44140625" style="59" customWidth="1"/>
    <col min="7" max="7" width="36.44140625" style="59" customWidth="1"/>
    <col min="8" max="8" width="10" style="59" customWidth="1"/>
    <col min="9" max="10" width="11" style="59" bestFit="1" customWidth="1"/>
    <col min="11" max="11" width="7.5546875" style="59" bestFit="1" customWidth="1"/>
    <col min="12" max="12" width="8" style="59" bestFit="1" customWidth="1"/>
    <col min="13" max="13" width="13.88671875" style="59" bestFit="1" customWidth="1"/>
    <col min="14" max="14" width="9.33203125" style="59" bestFit="1" customWidth="1"/>
    <col min="15" max="15" width="3.109375" style="59" customWidth="1"/>
    <col min="16" max="16384" width="9.109375" style="59"/>
  </cols>
  <sheetData>
    <row r="1" spans="1:15" x14ac:dyDescent="0.3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3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BR_03003_m+BR_03003_p</f>
        <v>0.72533112500000008</v>
      </c>
      <c r="O2" s="64"/>
    </row>
    <row r="3" spans="1:15" x14ac:dyDescent="0.3">
      <c r="A3" s="133" t="s">
        <v>150</v>
      </c>
      <c r="B3" s="95" t="str">
        <f>'BR A0003'!B3</f>
        <v>Brake System</v>
      </c>
      <c r="C3" s="60"/>
      <c r="D3" s="133" t="s">
        <v>145</v>
      </c>
      <c r="E3" s="136" t="s">
        <v>162</v>
      </c>
      <c r="F3" s="60"/>
      <c r="G3" s="60"/>
      <c r="H3" s="60"/>
      <c r="I3" s="60"/>
      <c r="J3" s="60"/>
      <c r="K3" s="60"/>
      <c r="L3" s="60"/>
      <c r="M3" s="133" t="s">
        <v>148</v>
      </c>
      <c r="N3" s="72">
        <v>2</v>
      </c>
      <c r="O3" s="64"/>
    </row>
    <row r="4" spans="1:15" x14ac:dyDescent="0.3">
      <c r="A4" s="133" t="s">
        <v>147</v>
      </c>
      <c r="B4" s="136" t="str">
        <f>'BR A0003'!B4</f>
        <v>Brake Circuit Assembly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3">
      <c r="A5" s="133" t="s">
        <v>137</v>
      </c>
      <c r="B5" s="87" t="s">
        <v>173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1.4506622500000002</v>
      </c>
      <c r="O5" s="64"/>
    </row>
    <row r="6" spans="1:15" x14ac:dyDescent="0.3">
      <c r="A6" s="133" t="s">
        <v>144</v>
      </c>
      <c r="B6" s="135" t="s">
        <v>172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3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3">
      <c r="A8" s="133" t="s">
        <v>139</v>
      </c>
      <c r="B8" s="95" t="s">
        <v>171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3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3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3">
      <c r="A11" s="128">
        <v>10</v>
      </c>
      <c r="B11" s="127" t="s">
        <v>170</v>
      </c>
      <c r="C11" s="125"/>
      <c r="D11" s="105">
        <v>2.25</v>
      </c>
      <c r="E11" s="153">
        <v>1.0440500000000002E-2</v>
      </c>
      <c r="F11" s="125" t="s">
        <v>158</v>
      </c>
      <c r="G11" s="125"/>
      <c r="H11" s="124"/>
      <c r="I11" s="123"/>
      <c r="J11" s="121">
        <v>9.5000000000000005E-5</v>
      </c>
      <c r="K11" s="152">
        <v>1.4E-2</v>
      </c>
      <c r="L11" s="217">
        <v>7850</v>
      </c>
      <c r="M11" s="218">
        <v>1</v>
      </c>
      <c r="N11" s="105">
        <f>IF(J11="",D11*M11,D11*J11*K11*L11*M11)</f>
        <v>2.3491125000000002E-2</v>
      </c>
      <c r="O11" s="119"/>
    </row>
    <row r="12" spans="1:15" x14ac:dyDescent="0.3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2.3491125000000002E-2</v>
      </c>
      <c r="O12" s="64"/>
    </row>
    <row r="13" spans="1:15" x14ac:dyDescent="0.3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3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118" customFormat="1" x14ac:dyDescent="0.3">
      <c r="A15" s="151">
        <v>10</v>
      </c>
      <c r="B15" s="150" t="s">
        <v>156</v>
      </c>
      <c r="C15" s="147"/>
      <c r="D15" s="105">
        <v>1.3</v>
      </c>
      <c r="E15" s="149" t="s">
        <v>56</v>
      </c>
      <c r="F15" s="148">
        <v>1</v>
      </c>
      <c r="G15" s="147" t="s">
        <v>169</v>
      </c>
      <c r="H15" s="147">
        <v>0.5</v>
      </c>
      <c r="I15" s="105">
        <f>IF(H15="",D15*F15,D15*F15*H15)</f>
        <v>0.65</v>
      </c>
      <c r="J15" s="146"/>
      <c r="K15" s="146"/>
      <c r="L15" s="146"/>
      <c r="M15" s="146"/>
      <c r="N15" s="146"/>
      <c r="O15" s="119"/>
    </row>
    <row r="16" spans="1:15" s="82" customFormat="1" x14ac:dyDescent="0.3">
      <c r="A16" s="145">
        <v>20</v>
      </c>
      <c r="B16" s="144" t="s">
        <v>168</v>
      </c>
      <c r="C16" s="143"/>
      <c r="D16" s="112">
        <v>0.04</v>
      </c>
      <c r="E16" s="143" t="s">
        <v>167</v>
      </c>
      <c r="F16" s="142">
        <v>0.432</v>
      </c>
      <c r="G16" s="141" t="s">
        <v>153</v>
      </c>
      <c r="H16" s="113">
        <v>3</v>
      </c>
      <c r="I16" s="112">
        <f>IF(H16="",D16*F16,D16*F16*H16)</f>
        <v>5.1839999999999997E-2</v>
      </c>
      <c r="J16" s="111"/>
      <c r="K16" s="111"/>
      <c r="L16" s="111"/>
      <c r="M16" s="111"/>
      <c r="N16" s="111"/>
      <c r="O16" s="83"/>
    </row>
    <row r="17" spans="1:15" x14ac:dyDescent="0.3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0.70184000000000002</v>
      </c>
      <c r="J17" s="67"/>
      <c r="K17" s="67"/>
      <c r="L17" s="67"/>
      <c r="M17" s="67"/>
      <c r="N17" s="67"/>
      <c r="O17" s="64"/>
    </row>
    <row r="18" spans="1:15" x14ac:dyDescent="0.3">
      <c r="A18" s="68"/>
      <c r="B18" s="67"/>
      <c r="C18" s="67"/>
      <c r="D18" s="67"/>
      <c r="E18" s="67"/>
      <c r="F18" s="67"/>
      <c r="G18" s="140"/>
      <c r="H18" s="66"/>
      <c r="I18" s="65"/>
      <c r="J18" s="67"/>
      <c r="K18" s="67"/>
      <c r="L18" s="67"/>
      <c r="M18" s="67"/>
      <c r="N18" s="67"/>
      <c r="O18" s="64"/>
    </row>
    <row r="19" spans="1:15" x14ac:dyDescent="0.3">
      <c r="A19" s="68"/>
      <c r="B19" s="67"/>
      <c r="C19" s="67"/>
      <c r="D19" s="67"/>
      <c r="E19" s="67"/>
      <c r="F19" s="67"/>
      <c r="G19" s="140"/>
      <c r="H19" s="66"/>
      <c r="I19" s="65"/>
      <c r="J19" s="67"/>
      <c r="K19" s="67"/>
      <c r="L19" s="67"/>
      <c r="M19" s="67"/>
      <c r="N19" s="67"/>
      <c r="O19" s="64"/>
    </row>
    <row r="20" spans="1:15" x14ac:dyDescent="0.3">
      <c r="A20" s="68"/>
      <c r="B20" s="67"/>
      <c r="C20" s="67"/>
      <c r="D20" s="67"/>
      <c r="E20" s="67"/>
      <c r="F20" s="67"/>
      <c r="G20" s="140"/>
      <c r="H20" s="66"/>
      <c r="I20" s="65"/>
      <c r="J20" s="67"/>
      <c r="K20" s="67"/>
      <c r="L20" s="67"/>
      <c r="M20" s="67"/>
      <c r="N20" s="67"/>
      <c r="O20" s="64"/>
    </row>
    <row r="21" spans="1:15" x14ac:dyDescent="0.3">
      <c r="A21" s="68"/>
      <c r="B21" s="67"/>
      <c r="C21" s="67"/>
      <c r="D21" s="67"/>
      <c r="E21" s="67"/>
      <c r="F21" s="67"/>
      <c r="G21" s="140"/>
      <c r="H21" s="66"/>
      <c r="I21" s="65"/>
      <c r="J21" s="67"/>
      <c r="K21" s="67"/>
      <c r="L21" s="67"/>
      <c r="M21" s="67"/>
      <c r="N21" s="67"/>
      <c r="O21" s="64"/>
    </row>
    <row r="22" spans="1:15" ht="15" thickBot="1" x14ac:dyDescent="0.35">
      <c r="A22" s="63"/>
      <c r="B22" s="62"/>
      <c r="C22" s="62"/>
      <c r="D22" s="62"/>
      <c r="E22" s="62"/>
      <c r="F22" s="62"/>
      <c r="G22" s="139"/>
      <c r="H22" s="139"/>
      <c r="I22" s="139"/>
      <c r="J22" s="62"/>
      <c r="K22" s="62"/>
      <c r="L22" s="62"/>
      <c r="M22" s="62"/>
      <c r="N22" s="62"/>
      <c r="O22" s="61"/>
    </row>
  </sheetData>
  <hyperlinks>
    <hyperlink ref="B4" location="'BR A0003'!A1" display="'BR A0003'!A1"/>
    <hyperlink ref="E3" location="'dBR 03003'!A1" display="Drawing"/>
    <hyperlink ref="G2" location="BR_A0003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B1"/>
  <sheetViews>
    <sheetView tabSelected="1" workbookViewId="0">
      <selection activeCell="F17" sqref="F17"/>
    </sheetView>
  </sheetViews>
  <sheetFormatPr baseColWidth="10" defaultColWidth="11.44140625" defaultRowHeight="14.4" x14ac:dyDescent="0.3"/>
  <cols>
    <col min="1" max="1" width="13.88671875" style="59" customWidth="1"/>
    <col min="2" max="16384" width="11.44140625" style="59"/>
  </cols>
  <sheetData>
    <row r="1" spans="1:2" x14ac:dyDescent="0.3">
      <c r="A1" s="59" t="s">
        <v>174</v>
      </c>
      <c r="B1" s="136" t="str">
        <f>BR_03003</f>
        <v>BR 03003</v>
      </c>
    </row>
  </sheetData>
  <hyperlinks>
    <hyperlink ref="B1" location="BR_03003" display="BR_03003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O21"/>
  <sheetViews>
    <sheetView tabSelected="1" zoomScale="75" zoomScaleNormal="75" workbookViewId="0">
      <selection activeCell="F17" sqref="F17"/>
    </sheetView>
  </sheetViews>
  <sheetFormatPr baseColWidth="10" defaultColWidth="9.109375" defaultRowHeight="14.4" x14ac:dyDescent="0.3"/>
  <cols>
    <col min="1" max="1" width="10.5546875" style="59" customWidth="1"/>
    <col min="2" max="2" width="34.109375" style="59" customWidth="1"/>
    <col min="3" max="3" width="5" style="59" customWidth="1"/>
    <col min="4" max="4" width="9.33203125" style="59" bestFit="1" customWidth="1"/>
    <col min="5" max="5" width="9.109375" style="59"/>
    <col min="6" max="6" width="8.44140625" style="59" customWidth="1"/>
    <col min="7" max="7" width="36.33203125" style="59" customWidth="1"/>
    <col min="8" max="8" width="9.44140625" style="59" customWidth="1"/>
    <col min="9" max="10" width="11" style="59" bestFit="1" customWidth="1"/>
    <col min="11" max="11" width="7.5546875" style="59" bestFit="1" customWidth="1"/>
    <col min="12" max="12" width="8" style="59" bestFit="1" customWidth="1"/>
    <col min="13" max="13" width="13.88671875" style="59" bestFit="1" customWidth="1"/>
    <col min="14" max="14" width="9.33203125" style="59" bestFit="1" customWidth="1"/>
    <col min="15" max="15" width="3.109375" style="59" customWidth="1"/>
    <col min="16" max="16384" width="9.109375" style="59"/>
  </cols>
  <sheetData>
    <row r="1" spans="1:15" x14ac:dyDescent="0.3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3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BR_03004_m+BR_03004_p</f>
        <v>0.66667381250000002</v>
      </c>
      <c r="O2" s="64"/>
    </row>
    <row r="3" spans="1:15" x14ac:dyDescent="0.3">
      <c r="A3" s="133" t="s">
        <v>150</v>
      </c>
      <c r="B3" s="95" t="str">
        <f>'BR A0003'!B3</f>
        <v>Brake System</v>
      </c>
      <c r="C3" s="60"/>
      <c r="D3" s="133" t="s">
        <v>145</v>
      </c>
      <c r="E3" s="136" t="s">
        <v>162</v>
      </c>
      <c r="F3" s="60"/>
      <c r="G3" s="60"/>
      <c r="H3" s="60"/>
      <c r="I3" s="60"/>
      <c r="J3" s="60"/>
      <c r="K3" s="60"/>
      <c r="L3" s="60"/>
      <c r="M3" s="133" t="s">
        <v>148</v>
      </c>
      <c r="N3" s="72">
        <v>2</v>
      </c>
      <c r="O3" s="64"/>
    </row>
    <row r="4" spans="1:15" x14ac:dyDescent="0.3">
      <c r="A4" s="133" t="s">
        <v>147</v>
      </c>
      <c r="B4" s="136" t="str">
        <f>'BR A0003'!B4</f>
        <v>Brake Circuit Assembly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3">
      <c r="A5" s="133" t="s">
        <v>137</v>
      </c>
      <c r="B5" s="87" t="s">
        <v>177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1.333347625</v>
      </c>
      <c r="O5" s="64"/>
    </row>
    <row r="6" spans="1:15" x14ac:dyDescent="0.3">
      <c r="A6" s="133" t="s">
        <v>144</v>
      </c>
      <c r="B6" s="135" t="s">
        <v>176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3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3">
      <c r="A8" s="133" t="s">
        <v>139</v>
      </c>
      <c r="B8" s="95" t="s">
        <v>175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3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3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3">
      <c r="A11" s="128">
        <v>10</v>
      </c>
      <c r="B11" s="127" t="s">
        <v>170</v>
      </c>
      <c r="C11" s="125"/>
      <c r="D11" s="105">
        <v>2.25</v>
      </c>
      <c r="E11" s="123">
        <v>2.2372500000000001E-3</v>
      </c>
      <c r="F11" s="125" t="s">
        <v>158</v>
      </c>
      <c r="G11" s="125"/>
      <c r="H11" s="124"/>
      <c r="I11" s="123"/>
      <c r="J11" s="121">
        <v>9.5000000000000005E-5</v>
      </c>
      <c r="K11" s="152">
        <v>3.0000000000000001E-3</v>
      </c>
      <c r="L11" s="217">
        <v>7850</v>
      </c>
      <c r="M11" s="218">
        <v>1</v>
      </c>
      <c r="N11" s="105">
        <f>IF(J11="",D11*M11,D11*J11*K11*L11*M11)</f>
        <v>5.033812500000001E-3</v>
      </c>
      <c r="O11" s="119"/>
    </row>
    <row r="12" spans="1:15" x14ac:dyDescent="0.3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5.033812500000001E-3</v>
      </c>
      <c r="O12" s="64"/>
    </row>
    <row r="13" spans="1:15" x14ac:dyDescent="0.3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3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118" customFormat="1" x14ac:dyDescent="0.3">
      <c r="A15" s="151">
        <v>10</v>
      </c>
      <c r="B15" s="150" t="s">
        <v>156</v>
      </c>
      <c r="C15" s="147"/>
      <c r="D15" s="105">
        <v>1.3</v>
      </c>
      <c r="E15" s="149" t="s">
        <v>56</v>
      </c>
      <c r="F15" s="148">
        <v>1</v>
      </c>
      <c r="G15" s="147" t="s">
        <v>169</v>
      </c>
      <c r="H15" s="147">
        <v>0.5</v>
      </c>
      <c r="I15" s="105">
        <f>IF(H15="",D15*F15,D15*F15*H15)</f>
        <v>0.65</v>
      </c>
      <c r="J15" s="146"/>
      <c r="K15" s="146"/>
      <c r="L15" s="146"/>
      <c r="M15" s="146"/>
      <c r="N15" s="146"/>
      <c r="O15" s="119"/>
    </row>
    <row r="16" spans="1:15" x14ac:dyDescent="0.3">
      <c r="A16" s="110">
        <v>20</v>
      </c>
      <c r="B16" s="144" t="s">
        <v>168</v>
      </c>
      <c r="C16" s="109"/>
      <c r="D16" s="105">
        <v>0.04</v>
      </c>
      <c r="E16" s="109" t="s">
        <v>167</v>
      </c>
      <c r="F16" s="108">
        <v>9.7000000000000003E-2</v>
      </c>
      <c r="G16" s="141" t="s">
        <v>153</v>
      </c>
      <c r="H16" s="106">
        <v>3</v>
      </c>
      <c r="I16" s="105">
        <v>1.1640000000000001E-2</v>
      </c>
      <c r="J16" s="60"/>
      <c r="K16" s="60"/>
      <c r="L16" s="60"/>
      <c r="M16" s="60"/>
      <c r="N16" s="60"/>
      <c r="O16" s="64"/>
    </row>
    <row r="17" spans="1:15" x14ac:dyDescent="0.3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0.66164000000000001</v>
      </c>
      <c r="J17" s="67"/>
      <c r="K17" s="67"/>
      <c r="L17" s="67"/>
      <c r="M17" s="67"/>
      <c r="N17" s="67"/>
      <c r="O17" s="64"/>
    </row>
    <row r="18" spans="1:15" x14ac:dyDescent="0.3">
      <c r="A18" s="78"/>
      <c r="B18" s="60"/>
      <c r="C18" s="60"/>
      <c r="D18" s="60"/>
      <c r="E18" s="60"/>
      <c r="F18" s="60"/>
      <c r="G18" s="60"/>
      <c r="H18" s="60"/>
      <c r="I18" s="87"/>
      <c r="J18" s="60"/>
      <c r="K18" s="60"/>
      <c r="L18" s="60"/>
      <c r="M18" s="60"/>
      <c r="N18" s="60"/>
      <c r="O18" s="64"/>
    </row>
    <row r="19" spans="1:15" x14ac:dyDescent="0.3">
      <c r="A19" s="78"/>
      <c r="B19" s="60"/>
      <c r="C19" s="60"/>
      <c r="D19" s="60"/>
      <c r="E19" s="60"/>
      <c r="F19" s="60"/>
      <c r="G19" s="60"/>
      <c r="H19" s="60"/>
      <c r="I19" s="87"/>
      <c r="J19" s="60"/>
      <c r="K19" s="60"/>
      <c r="L19" s="60"/>
      <c r="M19" s="60"/>
      <c r="N19" s="60"/>
      <c r="O19" s="64"/>
    </row>
    <row r="20" spans="1:15" x14ac:dyDescent="0.3">
      <c r="A20" s="78"/>
      <c r="B20" s="60"/>
      <c r="C20" s="60"/>
      <c r="D20" s="60"/>
      <c r="E20" s="60"/>
      <c r="F20" s="60"/>
      <c r="G20" s="60"/>
      <c r="H20" s="60"/>
      <c r="I20" s="87"/>
      <c r="J20" s="60"/>
      <c r="K20" s="60"/>
      <c r="L20" s="60"/>
      <c r="M20" s="60"/>
      <c r="N20" s="60"/>
      <c r="O20" s="64"/>
    </row>
    <row r="21" spans="1:15" ht="15" thickBot="1" x14ac:dyDescent="0.35">
      <c r="A21" s="63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1"/>
    </row>
  </sheetData>
  <hyperlinks>
    <hyperlink ref="B4" location="'BR A0003'!A1" display="'BR A0003'!A1"/>
    <hyperlink ref="E3" location="'dBR 03004'!A1" display="Drawing"/>
    <hyperlink ref="G2" location="BR_A0003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5B3D7"/>
  </sheetPr>
  <dimension ref="A1:B1"/>
  <sheetViews>
    <sheetView tabSelected="1" workbookViewId="0">
      <selection activeCell="F17" sqref="F17"/>
    </sheetView>
  </sheetViews>
  <sheetFormatPr baseColWidth="10" defaultColWidth="11.44140625" defaultRowHeight="14.4" x14ac:dyDescent="0.3"/>
  <cols>
    <col min="1" max="1" width="13.44140625" style="59" customWidth="1"/>
    <col min="2" max="16384" width="11.44140625" style="59"/>
  </cols>
  <sheetData>
    <row r="1" spans="1:2" x14ac:dyDescent="0.3">
      <c r="A1" s="59" t="s">
        <v>174</v>
      </c>
      <c r="B1" s="136" t="str">
        <f>BR_03004</f>
        <v>BR 03004</v>
      </c>
    </row>
  </sheetData>
  <hyperlinks>
    <hyperlink ref="B1" location="BR_03004" display="BR_03004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O26"/>
  <sheetViews>
    <sheetView tabSelected="1" zoomScale="75" zoomScaleNormal="75" workbookViewId="0">
      <selection activeCell="F17" sqref="F17"/>
    </sheetView>
  </sheetViews>
  <sheetFormatPr baseColWidth="10" defaultColWidth="9.109375" defaultRowHeight="14.4" x14ac:dyDescent="0.3"/>
  <cols>
    <col min="1" max="1" width="10.5546875" style="59" customWidth="1"/>
    <col min="2" max="2" width="34.44140625" style="59" bestFit="1" customWidth="1"/>
    <col min="3" max="3" width="21.44140625" style="59" bestFit="1" customWidth="1"/>
    <col min="4" max="4" width="9.33203125" style="59" bestFit="1" customWidth="1"/>
    <col min="5" max="6" width="9.109375" style="59" bestFit="1" customWidth="1"/>
    <col min="7" max="7" width="37.109375" style="59" bestFit="1" customWidth="1"/>
    <col min="8" max="8" width="10" style="59" bestFit="1" customWidth="1"/>
    <col min="9" max="9" width="28" style="59" bestFit="1" customWidth="1"/>
    <col min="10" max="10" width="9.33203125" style="59" bestFit="1" customWidth="1"/>
    <col min="11" max="11" width="7.5546875" style="59" bestFit="1" customWidth="1"/>
    <col min="12" max="12" width="8" style="59" bestFit="1" customWidth="1"/>
    <col min="13" max="13" width="13.88671875" style="59" bestFit="1" customWidth="1"/>
    <col min="14" max="14" width="9.33203125" style="59" bestFit="1" customWidth="1"/>
    <col min="15" max="15" width="3.109375" style="59" customWidth="1"/>
    <col min="16" max="16384" width="9.109375" style="59"/>
  </cols>
  <sheetData>
    <row r="1" spans="1:15" x14ac:dyDescent="0.3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3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BR_01001_m+BR_01001_p</f>
        <v>3.3906536124999995</v>
      </c>
      <c r="O2" s="64"/>
    </row>
    <row r="3" spans="1:15" x14ac:dyDescent="0.3">
      <c r="A3" s="133" t="s">
        <v>150</v>
      </c>
      <c r="B3" s="95" t="str">
        <f>'BR A0001'!B3</f>
        <v>Brake System</v>
      </c>
      <c r="C3" s="60"/>
      <c r="D3" s="133" t="s">
        <v>145</v>
      </c>
      <c r="E3" s="136"/>
      <c r="F3" s="60"/>
      <c r="G3" s="60"/>
      <c r="H3" s="60"/>
      <c r="I3" s="60"/>
      <c r="J3" s="60"/>
      <c r="K3" s="60"/>
      <c r="L3" s="60"/>
      <c r="M3" s="133" t="s">
        <v>148</v>
      </c>
      <c r="N3" s="72">
        <v>1</v>
      </c>
      <c r="O3" s="64"/>
    </row>
    <row r="4" spans="1:15" x14ac:dyDescent="0.3">
      <c r="A4" s="133" t="s">
        <v>147</v>
      </c>
      <c r="B4" s="136" t="str">
        <f>'BR A0001'!B4</f>
        <v>Front Brake Rotor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3">
      <c r="A5" s="133" t="s">
        <v>137</v>
      </c>
      <c r="B5" s="97" t="s">
        <v>210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3.3906536124999995</v>
      </c>
      <c r="O5" s="64"/>
    </row>
    <row r="6" spans="1:15" x14ac:dyDescent="0.3">
      <c r="A6" s="133" t="s">
        <v>144</v>
      </c>
      <c r="B6" s="135" t="s">
        <v>231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3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3">
      <c r="A8" s="133" t="s">
        <v>139</v>
      </c>
      <c r="B8" s="95" t="s">
        <v>208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3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3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3">
      <c r="A11" s="128">
        <v>10</v>
      </c>
      <c r="B11" s="127" t="s">
        <v>207</v>
      </c>
      <c r="C11" s="125" t="s">
        <v>206</v>
      </c>
      <c r="D11" s="105">
        <v>1</v>
      </c>
      <c r="E11" s="126">
        <f>L11*J11*K11</f>
        <v>1.4669236124999998</v>
      </c>
      <c r="F11" s="125" t="s">
        <v>158</v>
      </c>
      <c r="G11" s="125"/>
      <c r="H11" s="124"/>
      <c r="I11" s="123" t="s">
        <v>205</v>
      </c>
      <c r="J11" s="122">
        <f>(0.5*230*10^-3)^2*3.14</f>
        <v>4.1526500000000001E-2</v>
      </c>
      <c r="K11" s="152">
        <v>4.4999999999999997E-3</v>
      </c>
      <c r="L11" s="217">
        <v>7850</v>
      </c>
      <c r="M11" s="218">
        <v>1</v>
      </c>
      <c r="N11" s="105">
        <f>IF(J11="",D11*M11,D11*J11*K11*L11*M11)</f>
        <v>1.4669236125</v>
      </c>
      <c r="O11" s="119"/>
    </row>
    <row r="12" spans="1:15" x14ac:dyDescent="0.3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1.4669236125</v>
      </c>
      <c r="O12" s="64"/>
    </row>
    <row r="13" spans="1:15" x14ac:dyDescent="0.3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3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ht="15" customHeight="1" x14ac:dyDescent="0.3">
      <c r="A15" s="114">
        <v>10</v>
      </c>
      <c r="B15" s="107" t="s">
        <v>156</v>
      </c>
      <c r="C15" s="113" t="s">
        <v>155</v>
      </c>
      <c r="D15" s="112">
        <v>1.3</v>
      </c>
      <c r="E15" s="107" t="s">
        <v>56</v>
      </c>
      <c r="F15" s="113">
        <v>1</v>
      </c>
      <c r="G15" s="113" t="s">
        <v>204</v>
      </c>
      <c r="H15" s="113">
        <f>1/4</f>
        <v>0.25</v>
      </c>
      <c r="I15" s="112">
        <f>IF(H15="",D15*F15,D15*F15*H15)</f>
        <v>0.32500000000000001</v>
      </c>
      <c r="J15" s="111"/>
      <c r="K15" s="111"/>
      <c r="L15" s="111"/>
      <c r="M15" s="111"/>
      <c r="N15" s="111"/>
      <c r="O15" s="83"/>
    </row>
    <row r="16" spans="1:15" x14ac:dyDescent="0.3">
      <c r="A16" s="110">
        <v>20</v>
      </c>
      <c r="B16" s="107" t="s">
        <v>154</v>
      </c>
      <c r="C16" s="109" t="s">
        <v>203</v>
      </c>
      <c r="D16" s="105">
        <v>0.01</v>
      </c>
      <c r="E16" s="109" t="s">
        <v>66</v>
      </c>
      <c r="F16" s="166">
        <v>63.949199999999998</v>
      </c>
      <c r="G16" s="107" t="s">
        <v>202</v>
      </c>
      <c r="H16" s="106">
        <v>2.5</v>
      </c>
      <c r="I16" s="105">
        <f>IF(H16="",D16*F16,D16*F16*H16)</f>
        <v>1.5987299999999998</v>
      </c>
      <c r="J16" s="60"/>
      <c r="K16" s="60"/>
      <c r="L16" s="60"/>
      <c r="M16" s="60"/>
      <c r="N16" s="60"/>
      <c r="O16" s="64"/>
    </row>
    <row r="17" spans="1:15" x14ac:dyDescent="0.3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1.9237299999999997</v>
      </c>
      <c r="J17" s="67"/>
      <c r="K17" s="67"/>
      <c r="L17" s="67"/>
      <c r="M17" s="67"/>
      <c r="N17" s="67"/>
      <c r="O17" s="64"/>
    </row>
    <row r="18" spans="1:15" x14ac:dyDescent="0.3">
      <c r="A18" s="68"/>
      <c r="B18" s="67"/>
      <c r="C18" s="67"/>
      <c r="D18" s="67"/>
      <c r="E18" s="67"/>
      <c r="F18" s="67"/>
      <c r="G18" s="67"/>
      <c r="H18" s="66"/>
      <c r="I18" s="65"/>
      <c r="J18" s="67"/>
      <c r="K18" s="67"/>
      <c r="L18" s="67"/>
      <c r="M18" s="67"/>
      <c r="N18" s="67"/>
      <c r="O18" s="64"/>
    </row>
    <row r="19" spans="1:15" x14ac:dyDescent="0.3">
      <c r="A19" s="68"/>
      <c r="B19" s="67"/>
      <c r="C19" s="67"/>
      <c r="D19" s="67"/>
      <c r="E19" s="67"/>
      <c r="F19" s="67"/>
      <c r="G19" s="67"/>
      <c r="H19" s="66"/>
      <c r="I19" s="65"/>
      <c r="J19" s="67"/>
      <c r="K19" s="67"/>
      <c r="L19" s="67"/>
      <c r="M19" s="67"/>
      <c r="N19" s="67"/>
      <c r="O19" s="64"/>
    </row>
    <row r="20" spans="1:15" x14ac:dyDescent="0.3">
      <c r="A20" s="68"/>
      <c r="B20" s="67"/>
      <c r="C20" s="67"/>
      <c r="D20" s="67"/>
      <c r="E20" s="67"/>
      <c r="F20" s="67"/>
      <c r="G20" s="67"/>
      <c r="H20" s="66"/>
      <c r="I20" s="65"/>
      <c r="J20" s="67"/>
      <c r="K20" s="67"/>
      <c r="L20" s="67"/>
      <c r="M20" s="67"/>
      <c r="N20" s="67"/>
      <c r="O20" s="64"/>
    </row>
    <row r="21" spans="1:15" x14ac:dyDescent="0.3">
      <c r="A21" s="68"/>
      <c r="B21" s="67"/>
      <c r="C21" s="67"/>
      <c r="D21" s="67"/>
      <c r="E21" s="67"/>
      <c r="F21" s="67"/>
      <c r="G21" s="67"/>
      <c r="H21" s="66"/>
      <c r="I21" s="65"/>
      <c r="J21" s="67"/>
      <c r="K21" s="67"/>
      <c r="L21" s="67"/>
      <c r="M21" s="67"/>
      <c r="N21" s="67"/>
      <c r="O21" s="64"/>
    </row>
    <row r="22" spans="1:15" x14ac:dyDescent="0.3">
      <c r="A22" s="68"/>
      <c r="B22" s="67"/>
      <c r="C22" s="67"/>
      <c r="D22" s="67"/>
      <c r="E22" s="67"/>
      <c r="F22" s="67"/>
      <c r="G22" s="67"/>
      <c r="H22" s="66"/>
      <c r="I22" s="65"/>
      <c r="J22" s="67"/>
      <c r="K22" s="67"/>
      <c r="L22" s="67"/>
      <c r="M22" s="67"/>
      <c r="N22" s="67"/>
      <c r="O22" s="64"/>
    </row>
    <row r="23" spans="1:15" x14ac:dyDescent="0.3">
      <c r="A23" s="68"/>
      <c r="B23" s="67"/>
      <c r="C23" s="67"/>
      <c r="D23" s="67"/>
      <c r="E23" s="67"/>
      <c r="F23" s="67"/>
      <c r="G23" s="67"/>
      <c r="H23" s="66"/>
      <c r="I23" s="65"/>
      <c r="J23" s="67"/>
      <c r="K23" s="67"/>
      <c r="L23" s="67"/>
      <c r="M23" s="67"/>
      <c r="N23" s="67"/>
      <c r="O23" s="64"/>
    </row>
    <row r="24" spans="1:15" x14ac:dyDescent="0.3">
      <c r="A24" s="68"/>
      <c r="B24" s="67"/>
      <c r="C24" s="67"/>
      <c r="D24" s="67"/>
      <c r="E24" s="67"/>
      <c r="F24" s="67"/>
      <c r="G24" s="67"/>
      <c r="H24" s="66"/>
      <c r="I24" s="65"/>
      <c r="J24" s="67"/>
      <c r="K24" s="67"/>
      <c r="L24" s="67"/>
      <c r="M24" s="67"/>
      <c r="N24" s="67"/>
      <c r="O24" s="64"/>
    </row>
    <row r="25" spans="1:15" x14ac:dyDescent="0.3">
      <c r="A25" s="68"/>
      <c r="B25" s="67"/>
      <c r="C25" s="67"/>
      <c r="D25" s="67"/>
      <c r="E25" s="67"/>
      <c r="F25" s="67"/>
      <c r="G25" s="67"/>
      <c r="H25" s="66"/>
      <c r="I25" s="65"/>
      <c r="J25" s="67"/>
      <c r="K25" s="67"/>
      <c r="L25" s="67"/>
      <c r="M25" s="67"/>
      <c r="N25" s="67"/>
      <c r="O25" s="64"/>
    </row>
    <row r="26" spans="1:15" ht="15" thickBot="1" x14ac:dyDescent="0.35">
      <c r="A26" s="63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1"/>
    </row>
  </sheetData>
  <hyperlinks>
    <hyperlink ref="B4" location="'BR A0001'!A1" display="'BR A0001'!A1"/>
    <hyperlink ref="G2" location="BR_A0001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6" max="16383" man="1"/>
    <brk id="6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O28"/>
  <sheetViews>
    <sheetView tabSelected="1" zoomScale="75" zoomScaleNormal="75" workbookViewId="0">
      <selection activeCell="F17" sqref="F17"/>
    </sheetView>
  </sheetViews>
  <sheetFormatPr baseColWidth="10" defaultColWidth="9.109375" defaultRowHeight="14.4" x14ac:dyDescent="0.3"/>
  <cols>
    <col min="1" max="1" width="10.5546875" style="59" customWidth="1"/>
    <col min="2" max="2" width="35" style="59" customWidth="1"/>
    <col min="3" max="3" width="21.44140625" style="59" customWidth="1"/>
    <col min="4" max="4" width="9.33203125" style="59" bestFit="1" customWidth="1"/>
    <col min="5" max="5" width="8.6640625" style="59" bestFit="1" customWidth="1"/>
    <col min="6" max="6" width="9.109375" style="59"/>
    <col min="7" max="7" width="37.109375" style="59" bestFit="1" customWidth="1"/>
    <col min="8" max="8" width="10" style="59" bestFit="1" customWidth="1"/>
    <col min="9" max="9" width="31" style="59" bestFit="1" customWidth="1"/>
    <col min="10" max="10" width="10.33203125" style="59" bestFit="1" customWidth="1"/>
    <col min="11" max="11" width="7.5546875" style="59" bestFit="1" customWidth="1"/>
    <col min="12" max="12" width="8" style="59" bestFit="1" customWidth="1"/>
    <col min="13" max="13" width="13.88671875" style="59" bestFit="1" customWidth="1"/>
    <col min="14" max="14" width="9.33203125" style="59" bestFit="1" customWidth="1"/>
    <col min="15" max="15" width="3.109375" style="59" customWidth="1"/>
    <col min="16" max="16384" width="9.109375" style="59"/>
  </cols>
  <sheetData>
    <row r="1" spans="1:15" x14ac:dyDescent="0.3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3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BR_01002_m+BR_01002_p</f>
        <v>6.0191946657382926</v>
      </c>
      <c r="O2" s="64"/>
    </row>
    <row r="3" spans="1:15" x14ac:dyDescent="0.3">
      <c r="A3" s="133" t="s">
        <v>150</v>
      </c>
      <c r="B3" s="95" t="str">
        <f>'BR A0001'!B3</f>
        <v>Brake System</v>
      </c>
      <c r="C3" s="60"/>
      <c r="D3" s="133" t="s">
        <v>145</v>
      </c>
      <c r="E3" s="136" t="s">
        <v>162</v>
      </c>
      <c r="F3" s="60"/>
      <c r="G3" s="60"/>
      <c r="H3" s="60"/>
      <c r="I3" s="60"/>
      <c r="J3" s="60"/>
      <c r="K3" s="60"/>
      <c r="L3" s="60"/>
      <c r="M3" s="133" t="s">
        <v>148</v>
      </c>
      <c r="N3" s="72">
        <v>1</v>
      </c>
      <c r="O3" s="64"/>
    </row>
    <row r="4" spans="1:15" x14ac:dyDescent="0.3">
      <c r="A4" s="133" t="s">
        <v>147</v>
      </c>
      <c r="B4" s="136" t="str">
        <f>'BR A0001'!B4</f>
        <v>Front Brake Rotor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3">
      <c r="A5" s="133" t="s">
        <v>137</v>
      </c>
      <c r="B5" s="97" t="s">
        <v>216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6.0191946657382926</v>
      </c>
      <c r="O5" s="64"/>
    </row>
    <row r="6" spans="1:15" x14ac:dyDescent="0.3">
      <c r="A6" s="133" t="s">
        <v>144</v>
      </c>
      <c r="B6" s="135" t="s">
        <v>232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3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3">
      <c r="A8" s="133" t="s">
        <v>139</v>
      </c>
      <c r="B8" s="95" t="s">
        <v>214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3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3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3">
      <c r="A11" s="128">
        <v>10</v>
      </c>
      <c r="B11" s="127" t="s">
        <v>213</v>
      </c>
      <c r="C11" s="125" t="s">
        <v>206</v>
      </c>
      <c r="D11" s="105">
        <v>2.25</v>
      </c>
      <c r="E11" s="153">
        <f>J11*K11*L11</f>
        <v>0.83875318477257421</v>
      </c>
      <c r="F11" s="125" t="s">
        <v>158</v>
      </c>
      <c r="G11" s="125"/>
      <c r="H11" s="124"/>
      <c r="I11" s="123" t="s">
        <v>212</v>
      </c>
      <c r="J11" s="121">
        <f>PI()*(0.16495/2)^2</f>
        <v>2.1369507892294883E-2</v>
      </c>
      <c r="K11" s="219">
        <v>5.0000000000000001E-3</v>
      </c>
      <c r="L11" s="217">
        <v>7850</v>
      </c>
      <c r="M11" s="218">
        <v>1</v>
      </c>
      <c r="N11" s="105">
        <f>IF(J11="",D11*M11,D11*J11*K11*L11*M11)</f>
        <v>1.8871946657382919</v>
      </c>
      <c r="O11" s="119"/>
    </row>
    <row r="12" spans="1:15" x14ac:dyDescent="0.3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1.8871946657382919</v>
      </c>
      <c r="O12" s="64"/>
    </row>
    <row r="13" spans="1:15" x14ac:dyDescent="0.3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3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x14ac:dyDescent="0.3">
      <c r="A15" s="114">
        <v>10</v>
      </c>
      <c r="B15" s="107" t="s">
        <v>156</v>
      </c>
      <c r="C15" s="113" t="s">
        <v>211</v>
      </c>
      <c r="D15" s="112">
        <v>1.3</v>
      </c>
      <c r="E15" s="107" t="s">
        <v>56</v>
      </c>
      <c r="F15" s="113">
        <v>1</v>
      </c>
      <c r="G15" s="113" t="s">
        <v>204</v>
      </c>
      <c r="H15" s="113">
        <f>1/4</f>
        <v>0.25</v>
      </c>
      <c r="I15" s="112">
        <f>IF(H15="",D15*F15,D15*F15*H15)</f>
        <v>0.32500000000000001</v>
      </c>
      <c r="J15" s="111"/>
      <c r="K15" s="111"/>
      <c r="L15" s="111"/>
      <c r="M15" s="111"/>
      <c r="N15" s="111"/>
      <c r="O15" s="83"/>
    </row>
    <row r="16" spans="1:15" x14ac:dyDescent="0.3">
      <c r="A16" s="110">
        <v>20</v>
      </c>
      <c r="B16" s="107" t="s">
        <v>154</v>
      </c>
      <c r="C16" s="109" t="s">
        <v>203</v>
      </c>
      <c r="D16" s="105">
        <v>0.01</v>
      </c>
      <c r="E16" s="109" t="s">
        <v>66</v>
      </c>
      <c r="F16" s="167">
        <v>126.9</v>
      </c>
      <c r="G16" s="107" t="s">
        <v>153</v>
      </c>
      <c r="H16" s="106">
        <v>3</v>
      </c>
      <c r="I16" s="105">
        <f>IF(H16="",D16*F16,D16*F16*H16)</f>
        <v>3.8070000000000004</v>
      </c>
      <c r="J16" s="60"/>
      <c r="K16" s="60"/>
      <c r="L16" s="60"/>
      <c r="M16" s="60"/>
      <c r="N16" s="60"/>
      <c r="O16" s="64"/>
    </row>
    <row r="17" spans="1:15" x14ac:dyDescent="0.3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4.1320000000000006</v>
      </c>
      <c r="J17" s="67"/>
      <c r="K17" s="67"/>
      <c r="L17" s="67"/>
      <c r="M17" s="67"/>
      <c r="N17" s="67"/>
      <c r="O17" s="64"/>
    </row>
    <row r="18" spans="1:15" x14ac:dyDescent="0.3">
      <c r="A18" s="68"/>
      <c r="B18" s="67"/>
      <c r="C18" s="67"/>
      <c r="D18" s="67"/>
      <c r="E18" s="67"/>
      <c r="F18" s="67"/>
      <c r="G18" s="67"/>
      <c r="H18" s="66"/>
      <c r="I18" s="65"/>
      <c r="J18" s="67"/>
      <c r="K18" s="67"/>
      <c r="L18" s="67"/>
      <c r="M18" s="67"/>
      <c r="N18" s="67"/>
      <c r="O18" s="64"/>
    </row>
    <row r="19" spans="1:15" x14ac:dyDescent="0.3">
      <c r="A19" s="68"/>
      <c r="B19" s="67"/>
      <c r="C19" s="67"/>
      <c r="D19" s="67"/>
      <c r="E19" s="67"/>
      <c r="F19" s="67"/>
      <c r="G19" s="67"/>
      <c r="H19" s="66"/>
      <c r="I19" s="65"/>
      <c r="J19" s="67"/>
      <c r="K19" s="67"/>
      <c r="L19" s="67"/>
      <c r="M19" s="67"/>
      <c r="N19" s="67"/>
      <c r="O19" s="64"/>
    </row>
    <row r="20" spans="1:15" x14ac:dyDescent="0.3">
      <c r="A20" s="68"/>
      <c r="B20" s="67"/>
      <c r="C20" s="67"/>
      <c r="D20" s="67"/>
      <c r="E20" s="67"/>
      <c r="F20" s="67"/>
      <c r="G20" s="67"/>
      <c r="H20" s="66"/>
      <c r="I20" s="65"/>
      <c r="J20" s="67"/>
      <c r="K20" s="67"/>
      <c r="L20" s="67"/>
      <c r="M20" s="67"/>
      <c r="N20" s="67"/>
      <c r="O20" s="64"/>
    </row>
    <row r="21" spans="1:15" x14ac:dyDescent="0.3">
      <c r="A21" s="68"/>
      <c r="B21" s="67"/>
      <c r="C21" s="67"/>
      <c r="D21" s="67"/>
      <c r="E21" s="67"/>
      <c r="F21" s="67"/>
      <c r="G21" s="67"/>
      <c r="H21" s="66"/>
      <c r="I21" s="65"/>
      <c r="J21" s="67"/>
      <c r="K21" s="67"/>
      <c r="L21" s="67"/>
      <c r="M21" s="67"/>
      <c r="N21" s="67"/>
      <c r="O21" s="64"/>
    </row>
    <row r="22" spans="1:15" x14ac:dyDescent="0.3">
      <c r="A22" s="68"/>
      <c r="B22" s="67"/>
      <c r="C22" s="67"/>
      <c r="D22" s="67"/>
      <c r="E22" s="67"/>
      <c r="F22" s="67"/>
      <c r="G22" s="67"/>
      <c r="H22" s="66"/>
      <c r="I22" s="65"/>
      <c r="J22" s="67"/>
      <c r="K22" s="67"/>
      <c r="L22" s="67"/>
      <c r="M22" s="67"/>
      <c r="N22" s="67"/>
      <c r="O22" s="64"/>
    </row>
    <row r="23" spans="1:15" x14ac:dyDescent="0.3">
      <c r="A23" s="68"/>
      <c r="B23" s="67"/>
      <c r="C23" s="67"/>
      <c r="D23" s="67"/>
      <c r="E23" s="67"/>
      <c r="F23" s="67"/>
      <c r="G23" s="67"/>
      <c r="H23" s="66"/>
      <c r="I23" s="65"/>
      <c r="J23" s="67"/>
      <c r="K23" s="67"/>
      <c r="L23" s="67"/>
      <c r="M23" s="67"/>
      <c r="N23" s="67"/>
      <c r="O23" s="64"/>
    </row>
    <row r="24" spans="1:15" x14ac:dyDescent="0.3">
      <c r="A24" s="68"/>
      <c r="B24" s="67"/>
      <c r="C24" s="67"/>
      <c r="D24" s="67"/>
      <c r="E24" s="67"/>
      <c r="F24" s="67"/>
      <c r="G24" s="67"/>
      <c r="H24" s="66"/>
      <c r="I24" s="65"/>
      <c r="J24" s="67"/>
      <c r="K24" s="67"/>
      <c r="L24" s="67"/>
      <c r="M24" s="67"/>
      <c r="N24" s="67"/>
      <c r="O24" s="64"/>
    </row>
    <row r="25" spans="1:15" x14ac:dyDescent="0.3">
      <c r="A25" s="68"/>
      <c r="B25" s="67"/>
      <c r="C25" s="67"/>
      <c r="D25" s="67"/>
      <c r="E25" s="67"/>
      <c r="F25" s="67"/>
      <c r="G25" s="67"/>
      <c r="H25" s="66"/>
      <c r="I25" s="65"/>
      <c r="J25" s="67"/>
      <c r="K25" s="67"/>
      <c r="L25" s="67"/>
      <c r="M25" s="67"/>
      <c r="N25" s="67"/>
      <c r="O25" s="64"/>
    </row>
    <row r="26" spans="1:15" x14ac:dyDescent="0.3">
      <c r="A26" s="68"/>
      <c r="B26" s="67"/>
      <c r="C26" s="67"/>
      <c r="D26" s="67"/>
      <c r="E26" s="67"/>
      <c r="F26" s="67"/>
      <c r="G26" s="67"/>
      <c r="H26" s="66"/>
      <c r="I26" s="65"/>
      <c r="J26" s="67"/>
      <c r="K26" s="67"/>
      <c r="L26" s="67"/>
      <c r="M26" s="67"/>
      <c r="N26" s="67"/>
      <c r="O26" s="64"/>
    </row>
    <row r="27" spans="1:15" x14ac:dyDescent="0.3">
      <c r="A27" s="68"/>
      <c r="B27" s="67"/>
      <c r="C27" s="67"/>
      <c r="D27" s="67"/>
      <c r="E27" s="67"/>
      <c r="F27" s="67"/>
      <c r="G27" s="67"/>
      <c r="H27" s="66"/>
      <c r="I27" s="65"/>
      <c r="J27" s="67"/>
      <c r="K27" s="67"/>
      <c r="L27" s="67"/>
      <c r="M27" s="67"/>
      <c r="N27" s="67"/>
      <c r="O27" s="64"/>
    </row>
    <row r="28" spans="1:15" ht="15" thickBot="1" x14ac:dyDescent="0.35">
      <c r="A28" s="63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1"/>
    </row>
  </sheetData>
  <hyperlinks>
    <hyperlink ref="E3" location="dBR_01002" display="Drawing"/>
    <hyperlink ref="B4" location="'BR A0001'!A1" display="'BR A0001'!A1"/>
    <hyperlink ref="G2" location="BR_A0001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8" max="16383" man="1"/>
    <brk id="6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B1"/>
  <sheetViews>
    <sheetView tabSelected="1" zoomScale="85" zoomScaleNormal="85" workbookViewId="0">
      <selection activeCell="F17" sqref="F17"/>
    </sheetView>
  </sheetViews>
  <sheetFormatPr baseColWidth="10" defaultColWidth="11.44140625" defaultRowHeight="14.4" x14ac:dyDescent="0.3"/>
  <cols>
    <col min="1" max="1" width="14" style="59" customWidth="1"/>
    <col min="2" max="16384" width="11.44140625" style="59"/>
  </cols>
  <sheetData>
    <row r="1" spans="1:2" x14ac:dyDescent="0.3">
      <c r="A1" s="138" t="s">
        <v>163</v>
      </c>
      <c r="B1" s="136" t="s">
        <v>232</v>
      </c>
    </row>
  </sheetData>
  <hyperlinks>
    <hyperlink ref="B1" location="'BR 01002'!A1" display="BR 01002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O19"/>
  <sheetViews>
    <sheetView tabSelected="1" zoomScale="75" zoomScaleNormal="75" workbookViewId="0">
      <selection activeCell="F17" sqref="F17"/>
    </sheetView>
  </sheetViews>
  <sheetFormatPr baseColWidth="10" defaultColWidth="9.109375" defaultRowHeight="14.4" x14ac:dyDescent="0.3"/>
  <cols>
    <col min="1" max="1" width="10.5546875" style="59" customWidth="1"/>
    <col min="2" max="2" width="48.33203125" style="59" bestFit="1" customWidth="1"/>
    <col min="3" max="3" width="19.109375" style="59" bestFit="1" customWidth="1"/>
    <col min="4" max="4" width="9.33203125" style="59" bestFit="1" customWidth="1"/>
    <col min="5" max="6" width="9.109375" style="59"/>
    <col min="7" max="7" width="19" style="59" bestFit="1" customWidth="1"/>
    <col min="8" max="8" width="13.33203125" style="59" bestFit="1" customWidth="1"/>
    <col min="9" max="9" width="26.88671875" style="59" bestFit="1" customWidth="1"/>
    <col min="10" max="10" width="10.33203125" style="59" bestFit="1" customWidth="1"/>
    <col min="11" max="11" width="7.5546875" style="59" bestFit="1" customWidth="1"/>
    <col min="12" max="12" width="8" style="59" bestFit="1" customWidth="1"/>
    <col min="13" max="13" width="13.88671875" style="59" bestFit="1" customWidth="1"/>
    <col min="14" max="14" width="9.33203125" style="59" bestFit="1" customWidth="1"/>
    <col min="15" max="15" width="3.109375" style="59" customWidth="1"/>
    <col min="16" max="16384" width="9.109375" style="59"/>
  </cols>
  <sheetData>
    <row r="1" spans="1:15" x14ac:dyDescent="0.3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3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BR_01003_m+BR_01003_p</f>
        <v>0.26854397491666665</v>
      </c>
      <c r="O2" s="64"/>
    </row>
    <row r="3" spans="1:15" x14ac:dyDescent="0.3">
      <c r="A3" s="133" t="s">
        <v>150</v>
      </c>
      <c r="B3" s="95" t="str">
        <f>'BR A0001'!B3</f>
        <v>Brake System</v>
      </c>
      <c r="C3" s="60"/>
      <c r="D3" s="133" t="s">
        <v>145</v>
      </c>
      <c r="E3" s="136"/>
      <c r="F3" s="60"/>
      <c r="G3" s="60"/>
      <c r="H3" s="60"/>
      <c r="I3" s="60"/>
      <c r="J3" s="60"/>
      <c r="K3" s="60"/>
      <c r="L3" s="60"/>
      <c r="M3" s="133" t="s">
        <v>148</v>
      </c>
      <c r="N3" s="72">
        <v>6</v>
      </c>
      <c r="O3" s="64"/>
    </row>
    <row r="4" spans="1:15" x14ac:dyDescent="0.3">
      <c r="A4" s="133" t="s">
        <v>147</v>
      </c>
      <c r="B4" s="136" t="str">
        <f>'BR A0001'!B4</f>
        <v>Front Brake Rotor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3">
      <c r="A5" s="133" t="s">
        <v>137</v>
      </c>
      <c r="B5" s="97" t="s">
        <v>222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1.6112638494999998</v>
      </c>
      <c r="O5" s="64"/>
    </row>
    <row r="6" spans="1:15" x14ac:dyDescent="0.3">
      <c r="A6" s="133" t="s">
        <v>144</v>
      </c>
      <c r="B6" s="135" t="s">
        <v>233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3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3">
      <c r="A8" s="133" t="s">
        <v>139</v>
      </c>
      <c r="B8" s="95" t="s">
        <v>220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3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3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3">
      <c r="A11" s="128">
        <v>10</v>
      </c>
      <c r="B11" s="127" t="s">
        <v>213</v>
      </c>
      <c r="C11" s="125" t="s">
        <v>219</v>
      </c>
      <c r="D11" s="105">
        <v>2.25</v>
      </c>
      <c r="E11" s="126">
        <f>L11*K11*J11</f>
        <v>1.6036136999999999E-2</v>
      </c>
      <c r="F11" s="125" t="s">
        <v>158</v>
      </c>
      <c r="G11" s="125"/>
      <c r="H11" s="124"/>
      <c r="I11" s="123" t="s">
        <v>218</v>
      </c>
      <c r="J11" s="168">
        <v>2.2698E-4</v>
      </c>
      <c r="K11" s="152">
        <v>8.9999999999999993E-3</v>
      </c>
      <c r="L11" s="217">
        <v>7850</v>
      </c>
      <c r="M11" s="218">
        <v>1</v>
      </c>
      <c r="N11" s="105">
        <f>IF(J11="",D11*M11,D11*J11*K11*L11*M11)</f>
        <v>3.6081308249999992E-2</v>
      </c>
      <c r="O11" s="119"/>
    </row>
    <row r="12" spans="1:15" x14ac:dyDescent="0.3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3.6081308249999992E-2</v>
      </c>
      <c r="O12" s="64"/>
    </row>
    <row r="13" spans="1:15" x14ac:dyDescent="0.3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3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ht="28.8" x14ac:dyDescent="0.3">
      <c r="A15" s="114">
        <v>10</v>
      </c>
      <c r="B15" s="107" t="s">
        <v>156</v>
      </c>
      <c r="C15" s="113" t="s">
        <v>217</v>
      </c>
      <c r="D15" s="112">
        <v>1.3</v>
      </c>
      <c r="E15" s="107" t="s">
        <v>56</v>
      </c>
      <c r="F15" s="113">
        <v>1</v>
      </c>
      <c r="G15" s="113" t="s">
        <v>239</v>
      </c>
      <c r="H15" s="220">
        <f>1/24</f>
        <v>4.1666666666666664E-2</v>
      </c>
      <c r="I15" s="112">
        <f>IF(H15="",D15*F15,D15*F15*H15)</f>
        <v>5.4166666666666669E-2</v>
      </c>
      <c r="J15" s="111"/>
      <c r="K15" s="111"/>
      <c r="L15" s="111"/>
      <c r="M15" s="111"/>
      <c r="N15" s="111"/>
      <c r="O15" s="83"/>
    </row>
    <row r="16" spans="1:15" x14ac:dyDescent="0.3">
      <c r="A16" s="110">
        <v>20</v>
      </c>
      <c r="B16" s="107" t="s">
        <v>168</v>
      </c>
      <c r="C16" s="109"/>
      <c r="D16" s="105">
        <v>0.04</v>
      </c>
      <c r="E16" s="109" t="s">
        <v>167</v>
      </c>
      <c r="F16" s="108">
        <v>1.4858</v>
      </c>
      <c r="G16" s="107" t="s">
        <v>153</v>
      </c>
      <c r="H16" s="106">
        <v>3</v>
      </c>
      <c r="I16" s="105">
        <f>IF(H16="",D16*F16,D16*F16*H16)</f>
        <v>0.17829600000000001</v>
      </c>
      <c r="J16" s="60"/>
      <c r="K16" s="60"/>
      <c r="L16" s="60"/>
      <c r="M16" s="60"/>
      <c r="N16" s="60"/>
      <c r="O16" s="64"/>
    </row>
    <row r="17" spans="1:15" x14ac:dyDescent="0.3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0.23246266666666668</v>
      </c>
      <c r="J17" s="67"/>
      <c r="K17" s="67"/>
      <c r="L17" s="67"/>
      <c r="M17" s="67"/>
      <c r="N17" s="67"/>
      <c r="O17" s="64"/>
    </row>
    <row r="18" spans="1:15" x14ac:dyDescent="0.3">
      <c r="A18" s="78"/>
      <c r="B18" s="60"/>
      <c r="C18" s="60"/>
      <c r="D18" s="60"/>
      <c r="E18" s="60"/>
      <c r="F18" s="60"/>
      <c r="G18" s="60"/>
      <c r="H18" s="60"/>
      <c r="I18" s="87"/>
      <c r="J18" s="60"/>
      <c r="K18" s="60"/>
      <c r="L18" s="60"/>
      <c r="M18" s="60"/>
      <c r="N18" s="60"/>
      <c r="O18" s="64"/>
    </row>
    <row r="19" spans="1:15" ht="15" thickBot="1" x14ac:dyDescent="0.35">
      <c r="A19" s="63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1"/>
    </row>
  </sheetData>
  <hyperlinks>
    <hyperlink ref="B4" location="'BR A0001'!A1" display="'BR A0001'!A1"/>
    <hyperlink ref="G2" location="BR_A0001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O22"/>
  <sheetViews>
    <sheetView tabSelected="1" zoomScale="75" zoomScaleNormal="75" workbookViewId="0">
      <selection activeCell="F17" sqref="F17"/>
    </sheetView>
  </sheetViews>
  <sheetFormatPr baseColWidth="10" defaultColWidth="9.109375" defaultRowHeight="14.4" x14ac:dyDescent="0.3"/>
  <cols>
    <col min="1" max="1" width="10.5546875" style="59" bestFit="1" customWidth="1"/>
    <col min="2" max="2" width="34.44140625" style="59" bestFit="1" customWidth="1"/>
    <col min="3" max="3" width="30.88671875" style="59" bestFit="1" customWidth="1"/>
    <col min="4" max="4" width="9.33203125" style="59" bestFit="1" customWidth="1"/>
    <col min="5" max="5" width="8.6640625" style="59" bestFit="1" customWidth="1"/>
    <col min="6" max="6" width="9.109375" style="59"/>
    <col min="7" max="7" width="37.109375" style="59" bestFit="1" customWidth="1"/>
    <col min="8" max="8" width="10" style="59" bestFit="1" customWidth="1"/>
    <col min="9" max="9" width="24" style="59" bestFit="1" customWidth="1"/>
    <col min="10" max="10" width="10.33203125" style="59" bestFit="1" customWidth="1"/>
    <col min="11" max="11" width="7.5546875" style="59" bestFit="1" customWidth="1"/>
    <col min="12" max="12" width="8" style="59" bestFit="1" customWidth="1"/>
    <col min="13" max="13" width="13.88671875" style="59" bestFit="1" customWidth="1"/>
    <col min="14" max="14" width="9.33203125" style="59" bestFit="1" customWidth="1"/>
    <col min="15" max="15" width="3.109375" style="59" customWidth="1"/>
    <col min="16" max="16384" width="9.109375" style="59"/>
  </cols>
  <sheetData>
    <row r="1" spans="1:15" x14ac:dyDescent="0.3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3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BR_01004_m+BR_01004_p</f>
        <v>0.28175735472631153</v>
      </c>
      <c r="O2" s="64"/>
    </row>
    <row r="3" spans="1:15" x14ac:dyDescent="0.3">
      <c r="A3" s="133" t="s">
        <v>150</v>
      </c>
      <c r="B3" s="95" t="str">
        <f>'BR A0001'!B3</f>
        <v>Brake System</v>
      </c>
      <c r="C3" s="60"/>
      <c r="D3" s="133" t="s">
        <v>145</v>
      </c>
      <c r="E3" s="136" t="s">
        <v>162</v>
      </c>
      <c r="F3" s="60"/>
      <c r="G3" s="60"/>
      <c r="H3" s="60"/>
      <c r="I3" s="60"/>
      <c r="J3" s="60"/>
      <c r="K3" s="60"/>
      <c r="L3" s="60"/>
      <c r="M3" s="133" t="s">
        <v>148</v>
      </c>
      <c r="N3" s="72">
        <v>2</v>
      </c>
      <c r="O3" s="64"/>
    </row>
    <row r="4" spans="1:15" x14ac:dyDescent="0.3">
      <c r="A4" s="133" t="s">
        <v>147</v>
      </c>
      <c r="B4" s="136" t="str">
        <f>'BR A0001'!B4</f>
        <v>Front Brake Rotor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3">
      <c r="A5" s="133" t="s">
        <v>137</v>
      </c>
      <c r="B5" s="97" t="s">
        <v>228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0.56351470945262305</v>
      </c>
      <c r="O5" s="64"/>
    </row>
    <row r="6" spans="1:15" x14ac:dyDescent="0.3">
      <c r="A6" s="133" t="s">
        <v>144</v>
      </c>
      <c r="B6" s="135" t="s">
        <v>234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3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3">
      <c r="A8" s="133" t="s">
        <v>139</v>
      </c>
      <c r="B8" s="95" t="s">
        <v>226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3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3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3">
      <c r="A11" s="128">
        <v>10</v>
      </c>
      <c r="B11" s="127" t="s">
        <v>213</v>
      </c>
      <c r="C11" s="125" t="s">
        <v>225</v>
      </c>
      <c r="D11" s="105">
        <v>2.25</v>
      </c>
      <c r="E11" s="153">
        <f>J11*K11*L11</f>
        <v>1.7817935433916212E-2</v>
      </c>
      <c r="F11" s="125" t="s">
        <v>158</v>
      </c>
      <c r="G11" s="125"/>
      <c r="H11" s="124"/>
      <c r="I11" s="123" t="s">
        <v>224</v>
      </c>
      <c r="J11" s="121">
        <f>PI()*(0.017/2)^2</f>
        <v>2.2698006922186259E-4</v>
      </c>
      <c r="K11" s="152">
        <v>0.01</v>
      </c>
      <c r="L11" s="217">
        <v>7850</v>
      </c>
      <c r="M11" s="218">
        <v>1</v>
      </c>
      <c r="N11" s="105">
        <f>IF(J11="",D11*M11,D11*J11*K11*L11*M11)</f>
        <v>4.0090354726311485E-2</v>
      </c>
      <c r="O11" s="119"/>
    </row>
    <row r="12" spans="1:15" x14ac:dyDescent="0.3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4.0090354726311485E-2</v>
      </c>
      <c r="O12" s="64"/>
    </row>
    <row r="13" spans="1:15" x14ac:dyDescent="0.3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3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x14ac:dyDescent="0.3">
      <c r="A15" s="114">
        <v>10</v>
      </c>
      <c r="B15" s="107" t="s">
        <v>156</v>
      </c>
      <c r="C15" s="113" t="s">
        <v>155</v>
      </c>
      <c r="D15" s="112">
        <v>1.3</v>
      </c>
      <c r="E15" s="107" t="s">
        <v>56</v>
      </c>
      <c r="F15" s="113">
        <v>1</v>
      </c>
      <c r="G15" s="113" t="s">
        <v>223</v>
      </c>
      <c r="H15" s="174">
        <f>1/8</f>
        <v>0.125</v>
      </c>
      <c r="I15" s="112">
        <f>IF(H15="",D15*F15,D15*F15*H15)</f>
        <v>0.16250000000000001</v>
      </c>
      <c r="J15" s="111"/>
      <c r="K15" s="111"/>
      <c r="L15" s="111"/>
      <c r="M15" s="111"/>
      <c r="N15" s="111"/>
      <c r="O15" s="83"/>
    </row>
    <row r="16" spans="1:15" x14ac:dyDescent="0.3">
      <c r="A16" s="110">
        <v>20</v>
      </c>
      <c r="B16" s="107" t="s">
        <v>154</v>
      </c>
      <c r="C16" s="109" t="s">
        <v>203</v>
      </c>
      <c r="D16" s="105">
        <v>0.01</v>
      </c>
      <c r="E16" s="109" t="s">
        <v>66</v>
      </c>
      <c r="F16" s="108">
        <v>2.6389</v>
      </c>
      <c r="G16" s="107" t="s">
        <v>153</v>
      </c>
      <c r="H16" s="106">
        <v>3</v>
      </c>
      <c r="I16" s="105">
        <f>IF(H16="",D16*F16,D16*F16*H16)</f>
        <v>7.9167000000000001E-2</v>
      </c>
      <c r="J16" s="60"/>
      <c r="K16" s="60"/>
      <c r="L16" s="60"/>
      <c r="M16" s="60"/>
      <c r="N16" s="60"/>
      <c r="O16" s="64"/>
    </row>
    <row r="17" spans="1:15" x14ac:dyDescent="0.3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0.24166700000000002</v>
      </c>
      <c r="J17" s="67"/>
      <c r="K17" s="67"/>
      <c r="L17" s="67"/>
      <c r="M17" s="67"/>
      <c r="N17" s="67"/>
      <c r="O17" s="64"/>
    </row>
    <row r="18" spans="1:15" x14ac:dyDescent="0.3">
      <c r="A18" s="78"/>
      <c r="B18" s="60"/>
      <c r="C18" s="60"/>
      <c r="D18" s="60"/>
      <c r="E18" s="60"/>
      <c r="F18" s="60"/>
      <c r="G18" s="60"/>
      <c r="H18" s="60"/>
      <c r="I18" s="87"/>
      <c r="J18" s="60"/>
      <c r="K18" s="60"/>
      <c r="L18" s="60"/>
      <c r="M18" s="60"/>
      <c r="N18" s="60"/>
      <c r="O18" s="64"/>
    </row>
    <row r="19" spans="1:15" x14ac:dyDescent="0.3">
      <c r="A19" s="78"/>
      <c r="B19" s="60"/>
      <c r="C19" s="60"/>
      <c r="D19" s="60"/>
      <c r="E19" s="60"/>
      <c r="F19" s="60"/>
      <c r="G19" s="60"/>
      <c r="H19" s="60"/>
      <c r="I19" s="87"/>
      <c r="J19" s="60"/>
      <c r="K19" s="60"/>
      <c r="L19" s="60"/>
      <c r="M19" s="60"/>
      <c r="N19" s="60"/>
      <c r="O19" s="64"/>
    </row>
    <row r="20" spans="1:15" x14ac:dyDescent="0.3">
      <c r="A20" s="78"/>
      <c r="B20" s="60"/>
      <c r="C20" s="60"/>
      <c r="D20" s="60"/>
      <c r="E20" s="60"/>
      <c r="F20" s="60"/>
      <c r="G20" s="60"/>
      <c r="H20" s="60"/>
      <c r="I20" s="87"/>
      <c r="J20" s="60"/>
      <c r="K20" s="60"/>
      <c r="L20" s="60"/>
      <c r="M20" s="60"/>
      <c r="N20" s="60"/>
      <c r="O20" s="64"/>
    </row>
    <row r="21" spans="1:15" x14ac:dyDescent="0.3">
      <c r="A21" s="78"/>
      <c r="B21" s="60"/>
      <c r="C21" s="60"/>
      <c r="D21" s="60"/>
      <c r="E21" s="60"/>
      <c r="F21" s="60"/>
      <c r="G21" s="60"/>
      <c r="H21" s="60"/>
      <c r="I21" s="87"/>
      <c r="J21" s="60"/>
      <c r="K21" s="60"/>
      <c r="L21" s="60"/>
      <c r="M21" s="60"/>
      <c r="N21" s="60"/>
      <c r="O21" s="64"/>
    </row>
    <row r="22" spans="1:15" ht="15" thickBot="1" x14ac:dyDescent="0.35">
      <c r="A22" s="63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1"/>
    </row>
  </sheetData>
  <hyperlinks>
    <hyperlink ref="E3" location="dBR_01004" display="Drawing"/>
    <hyperlink ref="B4" location="'BR A0001'!A1" display="'BR A0001'!A1"/>
    <hyperlink ref="G2" location="BR_A0001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B1"/>
  <sheetViews>
    <sheetView tabSelected="1" workbookViewId="0">
      <selection activeCell="F17" sqref="F17"/>
    </sheetView>
  </sheetViews>
  <sheetFormatPr baseColWidth="10" defaultColWidth="11.44140625" defaultRowHeight="14.4" x14ac:dyDescent="0.3"/>
  <cols>
    <col min="1" max="1" width="13.33203125" style="59" bestFit="1" customWidth="1"/>
    <col min="2" max="16384" width="11.44140625" style="59"/>
  </cols>
  <sheetData>
    <row r="1" spans="1:2" x14ac:dyDescent="0.3">
      <c r="A1" s="59" t="s">
        <v>163</v>
      </c>
      <c r="B1" s="136" t="s">
        <v>234</v>
      </c>
    </row>
  </sheetData>
  <hyperlinks>
    <hyperlink ref="B1" location="'BR 01004'!A1" display="BR 01004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O39"/>
  <sheetViews>
    <sheetView tabSelected="1" zoomScale="75" zoomScaleNormal="75" zoomScaleSheetLayoutView="80" workbookViewId="0">
      <selection activeCell="F17" sqref="F17"/>
    </sheetView>
  </sheetViews>
  <sheetFormatPr baseColWidth="10" defaultColWidth="9.109375" defaultRowHeight="14.4" x14ac:dyDescent="0.3"/>
  <cols>
    <col min="1" max="1" width="10.5546875" style="59" bestFit="1" customWidth="1"/>
    <col min="2" max="2" width="27.6640625" style="59" bestFit="1" customWidth="1"/>
    <col min="3" max="3" width="43.44140625" style="59" bestFit="1" customWidth="1"/>
    <col min="4" max="4" width="9.33203125" style="59" bestFit="1" customWidth="1"/>
    <col min="5" max="5" width="12.33203125" style="59" bestFit="1" customWidth="1"/>
    <col min="6" max="6" width="9.109375" style="59"/>
    <col min="7" max="7" width="10.44140625" style="59" bestFit="1" customWidth="1"/>
    <col min="8" max="8" width="10" style="59" bestFit="1" customWidth="1"/>
    <col min="9" max="9" width="14.44140625" style="59" bestFit="1" customWidth="1"/>
    <col min="10" max="10" width="10.33203125" style="59" bestFit="1" customWidth="1"/>
    <col min="11" max="11" width="7.5546875" style="59" bestFit="1" customWidth="1"/>
    <col min="12" max="12" width="8" style="59" bestFit="1" customWidth="1"/>
    <col min="13" max="13" width="13.88671875" style="59" bestFit="1" customWidth="1"/>
    <col min="14" max="14" width="9.88671875" style="59" bestFit="1" customWidth="1"/>
    <col min="15" max="15" width="5.33203125" style="59" customWidth="1"/>
    <col min="16" max="16384" width="9.109375" style="59"/>
  </cols>
  <sheetData>
    <row r="1" spans="1:15" x14ac:dyDescent="0.3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3">
      <c r="A2" s="77" t="s">
        <v>24</v>
      </c>
      <c r="B2" s="95" t="s">
        <v>23</v>
      </c>
      <c r="C2" s="60"/>
      <c r="D2" s="60"/>
      <c r="E2" s="176" t="s">
        <v>152</v>
      </c>
      <c r="F2" s="60"/>
      <c r="G2" s="60"/>
      <c r="H2" s="60"/>
      <c r="I2" s="60"/>
      <c r="J2" s="77" t="s">
        <v>18</v>
      </c>
      <c r="K2" s="99">
        <v>81</v>
      </c>
      <c r="L2" s="60"/>
      <c r="M2" s="77" t="s">
        <v>151</v>
      </c>
      <c r="N2" s="98">
        <f>BR_A0002_pa+BR_A0002_m+BR_A0002_p+BR_A0002_f</f>
        <v>101.46229258387885</v>
      </c>
      <c r="O2" s="64"/>
    </row>
    <row r="3" spans="1:15" x14ac:dyDescent="0.3">
      <c r="A3" s="77" t="s">
        <v>150</v>
      </c>
      <c r="B3" s="95" t="s">
        <v>149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77" t="s">
        <v>148</v>
      </c>
      <c r="N3" s="72">
        <v>2</v>
      </c>
      <c r="O3" s="64"/>
    </row>
    <row r="4" spans="1:15" x14ac:dyDescent="0.3">
      <c r="A4" s="77" t="s">
        <v>147</v>
      </c>
      <c r="B4" s="87" t="s">
        <v>201</v>
      </c>
      <c r="C4" s="60"/>
      <c r="D4" s="60"/>
      <c r="E4" s="60"/>
      <c r="F4" s="60"/>
      <c r="G4" s="60"/>
      <c r="H4" s="60"/>
      <c r="I4" s="60"/>
      <c r="J4" s="96" t="s">
        <v>145</v>
      </c>
      <c r="K4" s="60"/>
      <c r="L4" s="60"/>
      <c r="M4" s="60"/>
      <c r="N4" s="60"/>
      <c r="O4" s="64"/>
    </row>
    <row r="5" spans="1:15" x14ac:dyDescent="0.3">
      <c r="A5" s="77" t="s">
        <v>144</v>
      </c>
      <c r="B5" s="97" t="s">
        <v>236</v>
      </c>
      <c r="C5" s="60"/>
      <c r="D5" s="60"/>
      <c r="E5" s="60"/>
      <c r="F5" s="60"/>
      <c r="G5" s="60"/>
      <c r="H5" s="60"/>
      <c r="I5" s="60"/>
      <c r="J5" s="96" t="s">
        <v>143</v>
      </c>
      <c r="K5" s="60"/>
      <c r="L5" s="60"/>
      <c r="M5" s="77" t="s">
        <v>142</v>
      </c>
      <c r="N5" s="71">
        <f>N2*N3</f>
        <v>202.9245851677577</v>
      </c>
      <c r="O5" s="64"/>
    </row>
    <row r="6" spans="1:15" x14ac:dyDescent="0.3">
      <c r="A6" s="77" t="s">
        <v>141</v>
      </c>
      <c r="B6" s="95" t="s">
        <v>1</v>
      </c>
      <c r="C6" s="60"/>
      <c r="D6" s="60"/>
      <c r="E6" s="60"/>
      <c r="F6" s="60"/>
      <c r="G6" s="60"/>
      <c r="H6" s="60"/>
      <c r="I6" s="60"/>
      <c r="J6" s="96" t="s">
        <v>140</v>
      </c>
      <c r="K6" s="60"/>
      <c r="L6" s="60"/>
      <c r="M6" s="60"/>
      <c r="N6" s="60"/>
      <c r="O6" s="64"/>
    </row>
    <row r="7" spans="1:15" x14ac:dyDescent="0.3">
      <c r="A7" s="77" t="s">
        <v>139</v>
      </c>
      <c r="B7" s="95" t="s">
        <v>200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3">
      <c r="A8" s="78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3">
      <c r="A9" s="77" t="s">
        <v>35</v>
      </c>
      <c r="B9" s="94" t="s">
        <v>137</v>
      </c>
      <c r="C9" s="77" t="s">
        <v>136</v>
      </c>
      <c r="D9" s="77" t="s">
        <v>8</v>
      </c>
      <c r="E9" s="77" t="s">
        <v>25</v>
      </c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3">
      <c r="A10" s="92">
        <v>10</v>
      </c>
      <c r="B10" s="93" t="str">
        <f>'BR 02001'!B5</f>
        <v>Brake Rotor</v>
      </c>
      <c r="C10" s="90">
        <f>'BR 02001'!N2</f>
        <v>3.3906536124999995</v>
      </c>
      <c r="D10" s="89">
        <f>BR_02001_q</f>
        <v>1</v>
      </c>
      <c r="E10" s="71">
        <f>C10*D10</f>
        <v>3.3906536124999995</v>
      </c>
      <c r="F10" s="60"/>
      <c r="G10" s="60"/>
      <c r="H10" s="60"/>
      <c r="I10" s="60"/>
      <c r="J10" s="60"/>
      <c r="K10" s="60"/>
      <c r="L10" s="60"/>
      <c r="M10" s="60"/>
      <c r="N10" s="60"/>
      <c r="O10" s="64"/>
    </row>
    <row r="11" spans="1:15" x14ac:dyDescent="0.3">
      <c r="A11" s="92">
        <v>20</v>
      </c>
      <c r="B11" s="91" t="str">
        <f>'BR 02002'!B5</f>
        <v>Brake Shrink Disc</v>
      </c>
      <c r="C11" s="90">
        <f>'BR 02002'!N2</f>
        <v>6.1541946657382924</v>
      </c>
      <c r="D11" s="89">
        <f>BR_02002_q</f>
        <v>1</v>
      </c>
      <c r="E11" s="71">
        <f>C11*D11</f>
        <v>6.1541946657382924</v>
      </c>
      <c r="F11" s="87"/>
      <c r="G11" s="87"/>
      <c r="H11" s="87"/>
      <c r="I11" s="87"/>
      <c r="J11" s="87"/>
      <c r="K11" s="87"/>
      <c r="L11" s="87"/>
      <c r="M11" s="87"/>
      <c r="N11" s="87"/>
      <c r="O11" s="64"/>
    </row>
    <row r="12" spans="1:15" x14ac:dyDescent="0.3">
      <c r="A12" s="92">
        <v>30</v>
      </c>
      <c r="B12" s="93" t="str">
        <f>'BR 02003'!B5</f>
        <v>Brake Bobbin</v>
      </c>
      <c r="C12" s="90">
        <f>'BR 02003'!N2</f>
        <v>0.26854397491666665</v>
      </c>
      <c r="D12" s="89">
        <f>BR_02003_q</f>
        <v>6</v>
      </c>
      <c r="E12" s="71">
        <f>C12*D12</f>
        <v>1.6112638494999998</v>
      </c>
      <c r="F12" s="87"/>
      <c r="G12" s="87"/>
      <c r="H12" s="87"/>
      <c r="I12" s="87"/>
      <c r="J12" s="87"/>
      <c r="K12" s="87"/>
      <c r="L12" s="87"/>
      <c r="M12" s="87"/>
      <c r="N12" s="87"/>
      <c r="O12" s="165"/>
    </row>
    <row r="13" spans="1:15" s="158" customFormat="1" x14ac:dyDescent="0.3">
      <c r="A13" s="92">
        <v>40</v>
      </c>
      <c r="B13" s="93" t="str">
        <f>'BR 02004'!B5</f>
        <v>Brake Caliper Spacer</v>
      </c>
      <c r="C13" s="90">
        <f>'BR 02004'!N2</f>
        <v>0.28175735472631153</v>
      </c>
      <c r="D13" s="89">
        <f>BR_02004_q</f>
        <v>2</v>
      </c>
      <c r="E13" s="71">
        <f>C13*D13</f>
        <v>0.56351470945262305</v>
      </c>
      <c r="F13" s="87"/>
      <c r="G13" s="87"/>
      <c r="H13" s="87"/>
      <c r="I13" s="87"/>
      <c r="J13" s="87"/>
      <c r="K13" s="87"/>
      <c r="L13" s="87"/>
      <c r="M13" s="87"/>
      <c r="N13" s="87"/>
      <c r="O13" s="165"/>
    </row>
    <row r="14" spans="1:15" x14ac:dyDescent="0.3">
      <c r="A14" s="78"/>
      <c r="B14" s="60"/>
      <c r="C14" s="60"/>
      <c r="D14" s="70" t="s">
        <v>25</v>
      </c>
      <c r="E14" s="69">
        <f>SUM(E10:E13)</f>
        <v>11.719626837190914</v>
      </c>
      <c r="F14" s="87"/>
      <c r="G14" s="87"/>
      <c r="H14" s="87"/>
      <c r="I14" s="87"/>
      <c r="J14" s="87"/>
      <c r="K14" s="87"/>
      <c r="L14" s="87"/>
      <c r="M14" s="87"/>
      <c r="N14" s="87"/>
      <c r="O14" s="64"/>
    </row>
    <row r="15" spans="1:15" x14ac:dyDescent="0.3">
      <c r="A15" s="7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4"/>
    </row>
    <row r="16" spans="1:15" x14ac:dyDescent="0.3">
      <c r="A16" s="77" t="s">
        <v>35</v>
      </c>
      <c r="B16" s="77" t="s">
        <v>135</v>
      </c>
      <c r="C16" s="77" t="s">
        <v>33</v>
      </c>
      <c r="D16" s="77" t="s">
        <v>32</v>
      </c>
      <c r="E16" s="77" t="s">
        <v>54</v>
      </c>
      <c r="F16" s="77" t="s">
        <v>53</v>
      </c>
      <c r="G16" s="77" t="s">
        <v>52</v>
      </c>
      <c r="H16" s="77" t="s">
        <v>51</v>
      </c>
      <c r="I16" s="77" t="s">
        <v>134</v>
      </c>
      <c r="J16" s="77" t="s">
        <v>133</v>
      </c>
      <c r="K16" s="77" t="s">
        <v>132</v>
      </c>
      <c r="L16" s="77" t="s">
        <v>131</v>
      </c>
      <c r="M16" s="77" t="s">
        <v>8</v>
      </c>
      <c r="N16" s="77" t="s">
        <v>25</v>
      </c>
      <c r="O16" s="64"/>
    </row>
    <row r="17" spans="1:15" x14ac:dyDescent="0.3">
      <c r="A17" s="73">
        <v>10</v>
      </c>
      <c r="B17" s="73" t="s">
        <v>199</v>
      </c>
      <c r="C17" s="73" t="s">
        <v>198</v>
      </c>
      <c r="D17" s="71">
        <v>83</v>
      </c>
      <c r="E17" s="73"/>
      <c r="F17" s="73" t="s">
        <v>56</v>
      </c>
      <c r="G17" s="73"/>
      <c r="H17" s="84"/>
      <c r="I17" s="86"/>
      <c r="J17" s="85"/>
      <c r="K17" s="84"/>
      <c r="L17" s="84"/>
      <c r="M17" s="221">
        <v>1</v>
      </c>
      <c r="N17" s="71">
        <f>M17*D17</f>
        <v>83</v>
      </c>
      <c r="O17" s="64"/>
    </row>
    <row r="18" spans="1:15" s="118" customFormat="1" x14ac:dyDescent="0.3">
      <c r="A18" s="73">
        <v>20</v>
      </c>
      <c r="B18" s="73" t="s">
        <v>197</v>
      </c>
      <c r="C18" s="81" t="s">
        <v>196</v>
      </c>
      <c r="D18" s="71">
        <v>2.0000000000000001E-4</v>
      </c>
      <c r="E18" s="164">
        <f>J18*K18*1000000000</f>
        <v>4272.3900000000003</v>
      </c>
      <c r="F18" s="163" t="s">
        <v>195</v>
      </c>
      <c r="G18" s="163"/>
      <c r="H18" s="84"/>
      <c r="I18" s="162" t="s">
        <v>194</v>
      </c>
      <c r="J18" s="161">
        <v>1.42413E-3</v>
      </c>
      <c r="K18" s="160">
        <v>3.0000000000000001E-3</v>
      </c>
      <c r="L18" s="159"/>
      <c r="M18" s="221">
        <v>2</v>
      </c>
      <c r="N18" s="71">
        <f>M18*D18*E18</f>
        <v>1.7089560000000001</v>
      </c>
      <c r="O18" s="119"/>
    </row>
    <row r="19" spans="1:15" x14ac:dyDescent="0.3">
      <c r="A19" s="68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77" t="s">
        <v>25</v>
      </c>
      <c r="N19" s="69">
        <f>SUM(N17:N18)</f>
        <v>84.708956000000001</v>
      </c>
      <c r="O19" s="64"/>
    </row>
    <row r="20" spans="1:15" x14ac:dyDescent="0.3">
      <c r="A20" s="78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4"/>
    </row>
    <row r="21" spans="1:15" s="82" customFormat="1" x14ac:dyDescent="0.3">
      <c r="A21" s="77" t="s">
        <v>35</v>
      </c>
      <c r="B21" s="77" t="s">
        <v>102</v>
      </c>
      <c r="C21" s="77" t="s">
        <v>33</v>
      </c>
      <c r="D21" s="77" t="s">
        <v>32</v>
      </c>
      <c r="E21" s="77" t="s">
        <v>31</v>
      </c>
      <c r="F21" s="77" t="s">
        <v>8</v>
      </c>
      <c r="G21" s="77" t="s">
        <v>101</v>
      </c>
      <c r="H21" s="77" t="s">
        <v>100</v>
      </c>
      <c r="I21" s="77" t="s">
        <v>25</v>
      </c>
      <c r="J21" s="67"/>
      <c r="K21" s="67"/>
      <c r="L21" s="67"/>
      <c r="M21" s="67"/>
      <c r="N21" s="67"/>
      <c r="O21" s="83"/>
    </row>
    <row r="22" spans="1:15" x14ac:dyDescent="0.3">
      <c r="A22" s="73">
        <v>10</v>
      </c>
      <c r="B22" s="73" t="s">
        <v>189</v>
      </c>
      <c r="C22" s="73" t="s">
        <v>193</v>
      </c>
      <c r="D22" s="71">
        <v>0.13</v>
      </c>
      <c r="E22" s="73" t="s">
        <v>56</v>
      </c>
      <c r="F22" s="79">
        <v>2</v>
      </c>
      <c r="G22" s="79"/>
      <c r="H22" s="79"/>
      <c r="I22" s="71">
        <f t="shared" ref="I22:I29" si="0">IF(H22="",D22*F22,D22*F22*H22)</f>
        <v>0.26</v>
      </c>
      <c r="J22" s="60"/>
      <c r="K22" s="60"/>
      <c r="L22" s="60"/>
      <c r="M22" s="60"/>
      <c r="N22" s="60"/>
      <c r="O22" s="64"/>
    </row>
    <row r="23" spans="1:15" s="82" customFormat="1" x14ac:dyDescent="0.3">
      <c r="A23" s="81" t="s">
        <v>238</v>
      </c>
      <c r="B23" s="80" t="s">
        <v>85</v>
      </c>
      <c r="C23" s="81" t="s">
        <v>192</v>
      </c>
      <c r="D23" s="178">
        <v>0.06</v>
      </c>
      <c r="E23" s="80" t="s">
        <v>56</v>
      </c>
      <c r="F23" s="179">
        <v>6</v>
      </c>
      <c r="G23" s="81"/>
      <c r="H23" s="81"/>
      <c r="I23" s="178">
        <f t="shared" si="0"/>
        <v>0.36</v>
      </c>
      <c r="J23" s="111"/>
      <c r="K23" s="111"/>
      <c r="L23" s="111"/>
      <c r="M23" s="111"/>
      <c r="N23" s="111"/>
      <c r="O23" s="83"/>
    </row>
    <row r="24" spans="1:15" s="82" customFormat="1" x14ac:dyDescent="0.3">
      <c r="A24" s="81">
        <v>30</v>
      </c>
      <c r="B24" s="80" t="s">
        <v>189</v>
      </c>
      <c r="C24" s="81" t="s">
        <v>191</v>
      </c>
      <c r="D24" s="178">
        <v>0.13</v>
      </c>
      <c r="E24" s="81" t="s">
        <v>56</v>
      </c>
      <c r="F24" s="179">
        <v>1</v>
      </c>
      <c r="G24" s="81"/>
      <c r="H24" s="81"/>
      <c r="I24" s="178">
        <f t="shared" si="0"/>
        <v>0.13</v>
      </c>
      <c r="J24" s="111"/>
      <c r="K24" s="111"/>
      <c r="L24" s="111"/>
      <c r="M24" s="111"/>
      <c r="N24" s="111"/>
      <c r="O24" s="83"/>
    </row>
    <row r="25" spans="1:15" s="82" customFormat="1" x14ac:dyDescent="0.3">
      <c r="A25" s="81">
        <v>40</v>
      </c>
      <c r="B25" s="80" t="s">
        <v>189</v>
      </c>
      <c r="C25" s="81" t="s">
        <v>190</v>
      </c>
      <c r="D25" s="178">
        <v>0.13</v>
      </c>
      <c r="E25" s="81" t="s">
        <v>56</v>
      </c>
      <c r="F25" s="179">
        <v>6</v>
      </c>
      <c r="G25" s="81"/>
      <c r="H25" s="81"/>
      <c r="I25" s="178">
        <f t="shared" si="0"/>
        <v>0.78</v>
      </c>
      <c r="J25" s="111"/>
      <c r="K25" s="111"/>
      <c r="L25" s="111"/>
      <c r="M25" s="111"/>
      <c r="N25" s="111"/>
      <c r="O25" s="83"/>
    </row>
    <row r="26" spans="1:15" s="82" customFormat="1" x14ac:dyDescent="0.3">
      <c r="A26" s="81">
        <v>50</v>
      </c>
      <c r="B26" s="80" t="s">
        <v>189</v>
      </c>
      <c r="C26" s="81" t="s">
        <v>188</v>
      </c>
      <c r="D26" s="178">
        <v>0.13</v>
      </c>
      <c r="E26" s="81" t="s">
        <v>56</v>
      </c>
      <c r="F26" s="179">
        <v>1</v>
      </c>
      <c r="G26" s="81"/>
      <c r="H26" s="81"/>
      <c r="I26" s="178">
        <f t="shared" si="0"/>
        <v>0.13</v>
      </c>
      <c r="J26" s="111"/>
      <c r="K26" s="111"/>
      <c r="L26" s="111"/>
      <c r="M26" s="111"/>
      <c r="N26" s="111"/>
      <c r="O26" s="83"/>
    </row>
    <row r="27" spans="1:15" s="82" customFormat="1" x14ac:dyDescent="0.3">
      <c r="A27" s="81">
        <v>60</v>
      </c>
      <c r="B27" s="80" t="s">
        <v>85</v>
      </c>
      <c r="C27" s="81" t="s">
        <v>187</v>
      </c>
      <c r="D27" s="178">
        <v>0.06</v>
      </c>
      <c r="E27" s="81" t="s">
        <v>56</v>
      </c>
      <c r="F27" s="179">
        <v>1</v>
      </c>
      <c r="G27" s="81"/>
      <c r="H27" s="81"/>
      <c r="I27" s="178">
        <f t="shared" si="0"/>
        <v>0.06</v>
      </c>
      <c r="J27" s="111"/>
      <c r="K27" s="111"/>
      <c r="L27" s="111"/>
      <c r="M27" s="111"/>
      <c r="N27" s="111"/>
      <c r="O27" s="83"/>
    </row>
    <row r="28" spans="1:15" s="182" customFormat="1" x14ac:dyDescent="0.3">
      <c r="A28" s="81">
        <v>70</v>
      </c>
      <c r="B28" s="80" t="s">
        <v>186</v>
      </c>
      <c r="C28" s="81" t="s">
        <v>185</v>
      </c>
      <c r="D28" s="178">
        <v>0.75</v>
      </c>
      <c r="E28" s="81" t="s">
        <v>56</v>
      </c>
      <c r="F28" s="179">
        <v>2</v>
      </c>
      <c r="G28" s="81"/>
      <c r="H28" s="81"/>
      <c r="I28" s="178">
        <f t="shared" si="0"/>
        <v>1.5</v>
      </c>
      <c r="J28" s="180"/>
      <c r="K28" s="180"/>
      <c r="L28" s="180"/>
      <c r="M28" s="180"/>
      <c r="N28" s="180"/>
      <c r="O28" s="181"/>
    </row>
    <row r="29" spans="1:15" s="82" customFormat="1" x14ac:dyDescent="0.3">
      <c r="A29" s="81">
        <v>80</v>
      </c>
      <c r="B29" s="81" t="s">
        <v>184</v>
      </c>
      <c r="C29" s="81" t="s">
        <v>183</v>
      </c>
      <c r="D29" s="178">
        <v>0.6</v>
      </c>
      <c r="E29" s="81" t="s">
        <v>56</v>
      </c>
      <c r="F29" s="179">
        <v>2</v>
      </c>
      <c r="G29" s="179"/>
      <c r="H29" s="179"/>
      <c r="I29" s="178">
        <f t="shared" si="0"/>
        <v>1.2</v>
      </c>
      <c r="J29" s="180"/>
      <c r="K29" s="180"/>
      <c r="L29" s="180"/>
      <c r="M29" s="180"/>
      <c r="N29" s="180"/>
      <c r="O29" s="83"/>
    </row>
    <row r="30" spans="1:15" s="82" customFormat="1" x14ac:dyDescent="0.3">
      <c r="A30" s="185"/>
      <c r="B30" s="186"/>
      <c r="C30" s="186"/>
      <c r="D30" s="186"/>
      <c r="E30" s="186"/>
      <c r="F30" s="186"/>
      <c r="G30" s="186"/>
      <c r="H30" s="187" t="s">
        <v>25</v>
      </c>
      <c r="I30" s="188">
        <f>SUM(I22:I29)</f>
        <v>4.42</v>
      </c>
      <c r="J30" s="111"/>
      <c r="K30" s="111"/>
      <c r="L30" s="111"/>
      <c r="M30" s="111"/>
      <c r="N30" s="111"/>
      <c r="O30" s="83"/>
    </row>
    <row r="31" spans="1:15" s="82" customFormat="1" x14ac:dyDescent="0.3">
      <c r="A31" s="189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83"/>
    </row>
    <row r="32" spans="1:15" s="82" customFormat="1" x14ac:dyDescent="0.3">
      <c r="A32" s="190" t="s">
        <v>35</v>
      </c>
      <c r="B32" s="190" t="s">
        <v>55</v>
      </c>
      <c r="C32" s="190" t="s">
        <v>33</v>
      </c>
      <c r="D32" s="190" t="s">
        <v>32</v>
      </c>
      <c r="E32" s="190" t="s">
        <v>54</v>
      </c>
      <c r="F32" s="190" t="s">
        <v>53</v>
      </c>
      <c r="G32" s="190" t="s">
        <v>52</v>
      </c>
      <c r="H32" s="190" t="s">
        <v>51</v>
      </c>
      <c r="I32" s="190" t="s">
        <v>8</v>
      </c>
      <c r="J32" s="190" t="s">
        <v>25</v>
      </c>
      <c r="K32" s="111"/>
      <c r="L32" s="111"/>
      <c r="M32" s="111"/>
      <c r="N32" s="111"/>
      <c r="O32" s="83"/>
    </row>
    <row r="33" spans="1:15" s="82" customFormat="1" x14ac:dyDescent="0.3">
      <c r="A33" s="81">
        <v>10</v>
      </c>
      <c r="B33" s="81" t="s">
        <v>182</v>
      </c>
      <c r="C33" s="81" t="s">
        <v>181</v>
      </c>
      <c r="D33" s="156">
        <f>0.8/105154*E33^2*G33*SQRT(G33)+(0.003*EXP(0.319*E33))</f>
        <v>0.11850487334396681</v>
      </c>
      <c r="E33" s="76">
        <v>8</v>
      </c>
      <c r="F33" s="76" t="s">
        <v>38</v>
      </c>
      <c r="G33" s="76">
        <v>30</v>
      </c>
      <c r="H33" s="76" t="s">
        <v>38</v>
      </c>
      <c r="I33" s="154">
        <v>2</v>
      </c>
      <c r="J33" s="178">
        <f>I33*D33</f>
        <v>0.23700974668793362</v>
      </c>
      <c r="K33" s="111"/>
      <c r="L33" s="111"/>
      <c r="M33" s="111"/>
      <c r="N33" s="111"/>
      <c r="O33" s="83"/>
    </row>
    <row r="34" spans="1:15" s="82" customFormat="1" x14ac:dyDescent="0.3">
      <c r="A34" s="81">
        <v>20</v>
      </c>
      <c r="B34" s="81" t="s">
        <v>43</v>
      </c>
      <c r="C34" s="81" t="s">
        <v>181</v>
      </c>
      <c r="D34" s="156">
        <v>0.01</v>
      </c>
      <c r="E34" s="81">
        <v>8</v>
      </c>
      <c r="F34" s="155" t="s">
        <v>38</v>
      </c>
      <c r="G34" s="81"/>
      <c r="H34" s="81"/>
      <c r="I34" s="154">
        <v>2</v>
      </c>
      <c r="J34" s="178">
        <f>I34*D34</f>
        <v>0.02</v>
      </c>
      <c r="K34" s="111"/>
      <c r="L34" s="111"/>
      <c r="M34" s="111"/>
      <c r="N34" s="111"/>
      <c r="O34" s="83"/>
    </row>
    <row r="35" spans="1:15" s="82" customFormat="1" x14ac:dyDescent="0.3">
      <c r="A35" s="81">
        <v>30</v>
      </c>
      <c r="B35" s="81" t="s">
        <v>180</v>
      </c>
      <c r="C35" s="81" t="s">
        <v>179</v>
      </c>
      <c r="D35" s="156">
        <f>0.0002*E35^2+0.013</f>
        <v>3.9449999999999999E-2</v>
      </c>
      <c r="E35" s="81">
        <v>11.5</v>
      </c>
      <c r="F35" s="155" t="s">
        <v>38</v>
      </c>
      <c r="G35" s="81"/>
      <c r="H35" s="81"/>
      <c r="I35" s="154">
        <v>6</v>
      </c>
      <c r="J35" s="178">
        <f>I35*D35</f>
        <v>0.23669999999999999</v>
      </c>
      <c r="K35" s="111"/>
      <c r="L35" s="111"/>
      <c r="M35" s="111"/>
      <c r="N35" s="111"/>
      <c r="O35" s="83"/>
    </row>
    <row r="36" spans="1:15" s="82" customFormat="1" x14ac:dyDescent="0.3">
      <c r="A36" s="81">
        <v>40</v>
      </c>
      <c r="B36" s="157" t="s">
        <v>43</v>
      </c>
      <c r="C36" s="81" t="s">
        <v>178</v>
      </c>
      <c r="D36" s="156">
        <v>0.01</v>
      </c>
      <c r="E36" s="81">
        <v>12</v>
      </c>
      <c r="F36" s="155" t="s">
        <v>38</v>
      </c>
      <c r="G36" s="81"/>
      <c r="H36" s="81"/>
      <c r="I36" s="154">
        <v>12</v>
      </c>
      <c r="J36" s="178">
        <f>I36*D36</f>
        <v>0.12</v>
      </c>
      <c r="K36" s="111"/>
      <c r="L36" s="111"/>
      <c r="M36" s="111"/>
      <c r="N36" s="111"/>
      <c r="O36" s="83"/>
    </row>
    <row r="37" spans="1:15" x14ac:dyDescent="0.3">
      <c r="A37" s="68"/>
      <c r="B37" s="67"/>
      <c r="C37" s="67"/>
      <c r="D37" s="67"/>
      <c r="E37" s="67"/>
      <c r="F37" s="67"/>
      <c r="G37" s="67"/>
      <c r="H37" s="67"/>
      <c r="I37" s="70" t="s">
        <v>25</v>
      </c>
      <c r="J37" s="69">
        <f>SUM(J33:J36)</f>
        <v>0.61370974668793365</v>
      </c>
      <c r="K37" s="60"/>
      <c r="L37" s="60"/>
      <c r="M37" s="60"/>
      <c r="N37" s="60"/>
      <c r="O37" s="64"/>
    </row>
    <row r="38" spans="1:15" ht="15" thickBot="1" x14ac:dyDescent="0.35">
      <c r="A38" s="63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1"/>
    </row>
    <row r="39" spans="1:15" x14ac:dyDescent="0.3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</row>
  </sheetData>
  <hyperlinks>
    <hyperlink ref="B10" location="'BR 02001'!A1" display="'BR 02001'!A1"/>
    <hyperlink ref="B11" location="'BR 02002'!A1" display="'BR 02002'!A1"/>
    <hyperlink ref="B12" location="'BR 02003'!A1" display="'BR 02003'!A1"/>
    <hyperlink ref="B13" location="'BR 02004'!A1" display="'BR 02004'!A1"/>
    <hyperlink ref="E2" location="BR_A0002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24</vt:i4>
      </vt:variant>
      <vt:variant>
        <vt:lpstr>Plages nommées</vt:lpstr>
      </vt:variant>
      <vt:variant>
        <vt:i4>74</vt:i4>
      </vt:variant>
    </vt:vector>
  </HeadingPairs>
  <TitlesOfParts>
    <vt:vector size="98" baseType="lpstr">
      <vt:lpstr>BOM</vt:lpstr>
      <vt:lpstr>BR A0001</vt:lpstr>
      <vt:lpstr>BR 01001</vt:lpstr>
      <vt:lpstr>BR 01002</vt:lpstr>
      <vt:lpstr>dBR 01002</vt:lpstr>
      <vt:lpstr>BR 01003</vt:lpstr>
      <vt:lpstr>BR 01004</vt:lpstr>
      <vt:lpstr>dBR 01004</vt:lpstr>
      <vt:lpstr>BR A0002</vt:lpstr>
      <vt:lpstr>BR 02001</vt:lpstr>
      <vt:lpstr>BR 02002</vt:lpstr>
      <vt:lpstr>dBR 02002</vt:lpstr>
      <vt:lpstr>BR 02003</vt:lpstr>
      <vt:lpstr>BR 02004</vt:lpstr>
      <vt:lpstr>dBR 02004</vt:lpstr>
      <vt:lpstr>BR A0003</vt:lpstr>
      <vt:lpstr>BR 03001</vt:lpstr>
      <vt:lpstr>dBR 03001</vt:lpstr>
      <vt:lpstr>BR 03002</vt:lpstr>
      <vt:lpstr>dBR 03002</vt:lpstr>
      <vt:lpstr>BR 03003</vt:lpstr>
      <vt:lpstr>dBR 03003</vt:lpstr>
      <vt:lpstr>BR 03004</vt:lpstr>
      <vt:lpstr>dBR 03004</vt:lpstr>
      <vt:lpstr>BR_01001</vt:lpstr>
      <vt:lpstr>BR_01001_m</vt:lpstr>
      <vt:lpstr>BR_01001_p</vt:lpstr>
      <vt:lpstr>BR_01001_q</vt:lpstr>
      <vt:lpstr>BR_01002</vt:lpstr>
      <vt:lpstr>BR_01002_m</vt:lpstr>
      <vt:lpstr>BR_01002_p</vt:lpstr>
      <vt:lpstr>BR_01002_q</vt:lpstr>
      <vt:lpstr>BR_01003</vt:lpstr>
      <vt:lpstr>BR_01003_m</vt:lpstr>
      <vt:lpstr>BR_01003_p</vt:lpstr>
      <vt:lpstr>BR_01003_q</vt:lpstr>
      <vt:lpstr>BR_01004</vt:lpstr>
      <vt:lpstr>BR_01004_m</vt:lpstr>
      <vt:lpstr>BR_01004_p</vt:lpstr>
      <vt:lpstr>BR_01004_q</vt:lpstr>
      <vt:lpstr>BR_02001</vt:lpstr>
      <vt:lpstr>BR_02001_m</vt:lpstr>
      <vt:lpstr>BR_02001_p</vt:lpstr>
      <vt:lpstr>BR_02001_q</vt:lpstr>
      <vt:lpstr>BR_02002</vt:lpstr>
      <vt:lpstr>BR_02002_m</vt:lpstr>
      <vt:lpstr>BR_02002_p</vt:lpstr>
      <vt:lpstr>BR_02002_q</vt:lpstr>
      <vt:lpstr>BR_02003</vt:lpstr>
      <vt:lpstr>BR_02003_m</vt:lpstr>
      <vt:lpstr>BR_02003_p</vt:lpstr>
      <vt:lpstr>BR_02003_q</vt:lpstr>
      <vt:lpstr>BR_02004</vt:lpstr>
      <vt:lpstr>BR_02004_m</vt:lpstr>
      <vt:lpstr>BR_02004_p</vt:lpstr>
      <vt:lpstr>BR_02004_q</vt:lpstr>
      <vt:lpstr>BR_03001</vt:lpstr>
      <vt:lpstr>BR_03001_m</vt:lpstr>
      <vt:lpstr>BR_03001_p</vt:lpstr>
      <vt:lpstr>BR_03001_q</vt:lpstr>
      <vt:lpstr>BR_03002</vt:lpstr>
      <vt:lpstr>BR_03002_m</vt:lpstr>
      <vt:lpstr>BR_03002_p</vt:lpstr>
      <vt:lpstr>BR_03002_q</vt:lpstr>
      <vt:lpstr>BR_03003</vt:lpstr>
      <vt:lpstr>BR_03003_m</vt:lpstr>
      <vt:lpstr>BR_03003_p</vt:lpstr>
      <vt:lpstr>BR_03003_q</vt:lpstr>
      <vt:lpstr>BR_03004</vt:lpstr>
      <vt:lpstr>BR_03004_m</vt:lpstr>
      <vt:lpstr>BR_03004_p</vt:lpstr>
      <vt:lpstr>BR_03004_q</vt:lpstr>
      <vt:lpstr>BR_A0001</vt:lpstr>
      <vt:lpstr>BR_A0001_BOM</vt:lpstr>
      <vt:lpstr>BR_A0001_f</vt:lpstr>
      <vt:lpstr>BR_A0001_m</vt:lpstr>
      <vt:lpstr>BR_A0001_p</vt:lpstr>
      <vt:lpstr>BR_A0001_pa</vt:lpstr>
      <vt:lpstr>BR_A0001_q</vt:lpstr>
      <vt:lpstr>BR_A0002</vt:lpstr>
      <vt:lpstr>BR_A0002_BOM</vt:lpstr>
      <vt:lpstr>BR_A0002_f</vt:lpstr>
      <vt:lpstr>BR_A0002_m</vt:lpstr>
      <vt:lpstr>BR_A0002_p</vt:lpstr>
      <vt:lpstr>BR_A0002_pa</vt:lpstr>
      <vt:lpstr>BR_A0002_q</vt:lpstr>
      <vt:lpstr>BR_A0003</vt:lpstr>
      <vt:lpstr>BR_A0003_BOM</vt:lpstr>
      <vt:lpstr>BR_A0003_f</vt:lpstr>
      <vt:lpstr>BR_A0003_m</vt:lpstr>
      <vt:lpstr>BR_A0003_p</vt:lpstr>
      <vt:lpstr>BR_A0003_pa</vt:lpstr>
      <vt:lpstr>BR_A0003_q</vt:lpstr>
      <vt:lpstr>BR_A0003_t</vt:lpstr>
      <vt:lpstr>dBR_01002</vt:lpstr>
      <vt:lpstr>dBR_01004</vt:lpstr>
      <vt:lpstr>dBR_02002</vt:lpstr>
      <vt:lpstr>dBR_02004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2018-05-04T18:14:32Z</dcterms:modified>
</cp:coreProperties>
</file>