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5" activeTab="16"/>
  </bookViews>
  <sheets>
    <sheet name="ST A0100" sheetId="1" r:id="rId1"/>
    <sheet name="ST 01001" sheetId="2" r:id="rId2"/>
    <sheet name="ST 01002" sheetId="3" r:id="rId3"/>
    <sheet name="ST 01003" sheetId="4" r:id="rId4"/>
    <sheet name="ST 01004" sheetId="5" r:id="rId5"/>
    <sheet name="ST 01005" sheetId="6" r:id="rId6"/>
    <sheet name="ST 01006" sheetId="7" r:id="rId7"/>
    <sheet name="ST 01007" sheetId="8" r:id="rId8"/>
    <sheet name="ST 01008" sheetId="9" r:id="rId9"/>
    <sheet name="ST 01008 Drawing" sheetId="11" r:id="rId10"/>
    <sheet name="ST 01009" sheetId="10" r:id="rId11"/>
    <sheet name="ST 01009 Drawing" sheetId="12" r:id="rId12"/>
    <sheet name="ST 01010" sheetId="13" r:id="rId13"/>
    <sheet name="ST 01010 Drawing" sheetId="14" r:id="rId14"/>
    <sheet name="ST 01011" sheetId="15" r:id="rId15"/>
    <sheet name="ST 01011 Drawing" sheetId="16" r:id="rId16"/>
    <sheet name="ST A0200" sheetId="17" r:id="rId17"/>
    <sheet name="ST 02001" sheetId="18" r:id="rId18"/>
    <sheet name="ST 02002" sheetId="19" r:id="rId19"/>
    <sheet name="ST 02003" sheetId="20" r:id="rId20"/>
    <sheet name="ST 02003 Drawing" sheetId="21" r:id="rId21"/>
    <sheet name="ST 02004" sheetId="22" r:id="rId22"/>
    <sheet name="ST 02004 Drawing" sheetId="23" r:id="rId23"/>
    <sheet name="ST 02005" sheetId="24" r:id="rId24"/>
  </sheets>
  <definedNames>
    <definedName name="BR_A0001_f">'ST A0200'!$J$34</definedName>
    <definedName name="BR_A0001_m">'ST A0200'!$N$20</definedName>
    <definedName name="BR_A0001_p">'ST A0200'!$I$30</definedName>
    <definedName name="BR_A0001_pa">'ST A0200'!$E$15</definedName>
    <definedName name="BR_A0001_t">'ST A0200'!$I$39</definedName>
  </definedNames>
  <calcPr calcId="145621" iterateDelta="1E-4"/>
</workbook>
</file>

<file path=xl/calcChain.xml><?xml version="1.0" encoding="utf-8"?>
<calcChain xmlns="http://schemas.openxmlformats.org/spreadsheetml/2006/main">
  <c r="I18" i="24" l="1"/>
  <c r="I17" i="24"/>
  <c r="I16" i="24"/>
  <c r="I15" i="24"/>
  <c r="J11" i="24"/>
  <c r="I39" i="1"/>
  <c r="F18" i="22"/>
  <c r="I18" i="22" s="1"/>
  <c r="F16" i="22"/>
  <c r="I16" i="22" s="1"/>
  <c r="I17" i="22"/>
  <c r="I15" i="22"/>
  <c r="J11" i="22"/>
  <c r="E11" i="22" s="1"/>
  <c r="N11" i="22" s="1"/>
  <c r="N12" i="22" s="1"/>
  <c r="F18" i="20"/>
  <c r="F16" i="20"/>
  <c r="I18" i="20"/>
  <c r="I17" i="20"/>
  <c r="I16" i="20"/>
  <c r="J11" i="20"/>
  <c r="I15" i="20"/>
  <c r="J34" i="17"/>
  <c r="I38" i="17"/>
  <c r="I37" i="17"/>
  <c r="I39" i="17" s="1"/>
  <c r="I26" i="17"/>
  <c r="I25" i="17"/>
  <c r="F24" i="17"/>
  <c r="I24" i="17" s="1"/>
  <c r="I23" i="17"/>
  <c r="N18" i="17"/>
  <c r="N20" i="17" s="1"/>
  <c r="I16" i="19"/>
  <c r="I15" i="19"/>
  <c r="N11" i="19"/>
  <c r="N12" i="19" s="1"/>
  <c r="J11" i="19"/>
  <c r="C10" i="17"/>
  <c r="E10" i="17" s="1"/>
  <c r="I18" i="18"/>
  <c r="I16" i="18"/>
  <c r="I15" i="18"/>
  <c r="J11" i="18"/>
  <c r="E11" i="18" s="1"/>
  <c r="N11" i="18" s="1"/>
  <c r="N12" i="18" s="1"/>
  <c r="I17" i="19"/>
  <c r="I19" i="24" l="1"/>
  <c r="E11" i="24"/>
  <c r="N11" i="24" s="1"/>
  <c r="N12" i="24" s="1"/>
  <c r="I19" i="22"/>
  <c r="N2" i="22" s="1"/>
  <c r="I19" i="20"/>
  <c r="E11" i="20"/>
  <c r="N11" i="20" s="1"/>
  <c r="N12" i="20" s="1"/>
  <c r="I30" i="17"/>
  <c r="N2" i="19"/>
  <c r="N5" i="19" s="1"/>
  <c r="C11" i="17"/>
  <c r="E11" i="17" s="1"/>
  <c r="E15" i="17" s="1"/>
  <c r="N2" i="17" s="1"/>
  <c r="N5" i="17" s="1"/>
  <c r="F17" i="18"/>
  <c r="I17" i="18" s="1"/>
  <c r="I19" i="18" s="1"/>
  <c r="N2" i="18" s="1"/>
  <c r="N5" i="18" s="1"/>
  <c r="N2" i="24" l="1"/>
  <c r="N5" i="24" s="1"/>
  <c r="C13" i="17"/>
  <c r="E13" i="17" s="1"/>
  <c r="N5" i="22"/>
  <c r="N2" i="20"/>
  <c r="N5" i="20" s="1"/>
  <c r="C12" i="17"/>
  <c r="E12" i="17" s="1"/>
  <c r="C14" i="17" l="1"/>
  <c r="E14" i="17" s="1"/>
  <c r="I48" i="1" l="1"/>
  <c r="I47" i="1"/>
  <c r="D60" i="1"/>
  <c r="J60" i="1" s="1"/>
  <c r="J59" i="1"/>
  <c r="D58" i="1"/>
  <c r="J58" i="1" s="1"/>
  <c r="I45" i="1"/>
  <c r="F45" i="1"/>
  <c r="I46" i="1"/>
  <c r="I65" i="1"/>
  <c r="N2" i="15"/>
  <c r="F17" i="15"/>
  <c r="E12" i="15"/>
  <c r="N12" i="15" s="1"/>
  <c r="F18" i="15"/>
  <c r="I18" i="15" s="1"/>
  <c r="J11" i="15"/>
  <c r="N11" i="15" s="1"/>
  <c r="I17" i="15"/>
  <c r="I16" i="15"/>
  <c r="I42" i="1"/>
  <c r="I41" i="1"/>
  <c r="I40" i="1"/>
  <c r="C18" i="1"/>
  <c r="E18" i="1" s="1"/>
  <c r="J57" i="1"/>
  <c r="D57" i="1"/>
  <c r="I38" i="1"/>
  <c r="I37" i="1"/>
  <c r="I64" i="1"/>
  <c r="I36" i="1"/>
  <c r="I35" i="1"/>
  <c r="I44" i="1"/>
  <c r="I43" i="1"/>
  <c r="I34" i="1"/>
  <c r="I33" i="1"/>
  <c r="I32" i="1"/>
  <c r="I31" i="1"/>
  <c r="D25" i="1"/>
  <c r="D24" i="1"/>
  <c r="N25" i="1"/>
  <c r="I30" i="1"/>
  <c r="J56" i="1"/>
  <c r="D56" i="1"/>
  <c r="J55" i="1"/>
  <c r="D54" i="1"/>
  <c r="J54" i="1" s="1"/>
  <c r="F29" i="1"/>
  <c r="I29" i="1" s="1"/>
  <c r="E11" i="15" l="1"/>
  <c r="I19" i="15"/>
  <c r="N13" i="15"/>
  <c r="C19" i="1" l="1"/>
  <c r="E19" i="1" s="1"/>
  <c r="I20" i="13"/>
  <c r="N13" i="13"/>
  <c r="N2" i="13" s="1"/>
  <c r="N5" i="13" s="1"/>
  <c r="N5" i="15" l="1"/>
  <c r="F19" i="10" l="1"/>
  <c r="I19" i="10" s="1"/>
  <c r="I18" i="10"/>
  <c r="N13" i="7"/>
  <c r="E12" i="7"/>
  <c r="N12" i="7" s="1"/>
  <c r="N13" i="6"/>
  <c r="N13" i="5"/>
  <c r="E12" i="5"/>
  <c r="N12" i="5" s="1"/>
  <c r="E12" i="6"/>
  <c r="N12" i="6" s="1"/>
  <c r="N13" i="4"/>
  <c r="N12" i="4"/>
  <c r="E12" i="4"/>
  <c r="F17" i="10"/>
  <c r="I17" i="10" s="1"/>
  <c r="I16" i="10"/>
  <c r="J11" i="10"/>
  <c r="N11" i="10" s="1"/>
  <c r="F25" i="7"/>
  <c r="I25" i="7" s="1"/>
  <c r="F20" i="6"/>
  <c r="I20" i="6" s="1"/>
  <c r="F23" i="5"/>
  <c r="I23" i="5" s="1"/>
  <c r="F20" i="4"/>
  <c r="I20" i="4" s="1"/>
  <c r="I18" i="9"/>
  <c r="I17" i="9"/>
  <c r="F16" i="9"/>
  <c r="I16" i="9" s="1"/>
  <c r="J11" i="9"/>
  <c r="E11" i="9" s="1"/>
  <c r="I15" i="9"/>
  <c r="E12" i="10" l="1"/>
  <c r="N12" i="10" s="1"/>
  <c r="N13" i="10" s="1"/>
  <c r="E11" i="10"/>
  <c r="I20" i="10"/>
  <c r="I19" i="9"/>
  <c r="N11" i="9"/>
  <c r="N12" i="9" s="1"/>
  <c r="N2" i="10" l="1"/>
  <c r="N5" i="10" s="1"/>
  <c r="C17" i="1"/>
  <c r="E17" i="1" s="1"/>
  <c r="N2" i="9"/>
  <c r="N5" i="9" s="1"/>
  <c r="C16" i="1"/>
  <c r="E16" i="1" s="1"/>
  <c r="I24" i="8" l="1"/>
  <c r="N12" i="8"/>
  <c r="F22" i="3"/>
  <c r="I22" i="3" s="1"/>
  <c r="I21" i="3"/>
  <c r="N2" i="8" l="1"/>
  <c r="N5" i="8" s="1"/>
  <c r="C15" i="1" s="1"/>
  <c r="E15" i="1" s="1"/>
  <c r="I24" i="7"/>
  <c r="F21" i="7"/>
  <c r="F23" i="7"/>
  <c r="I23" i="7"/>
  <c r="I22" i="7"/>
  <c r="I21" i="7" l="1"/>
  <c r="I20" i="7"/>
  <c r="F17" i="7"/>
  <c r="I17" i="7" s="1"/>
  <c r="F19" i="7"/>
  <c r="I19" i="7"/>
  <c r="I18" i="7"/>
  <c r="I16" i="7"/>
  <c r="J11" i="7"/>
  <c r="D14" i="1"/>
  <c r="D13" i="1"/>
  <c r="N11" i="7"/>
  <c r="E11" i="7"/>
  <c r="F17" i="6"/>
  <c r="I17" i="6" s="1"/>
  <c r="F19" i="6"/>
  <c r="I19" i="6" s="1"/>
  <c r="I18" i="6"/>
  <c r="I16" i="6"/>
  <c r="J11" i="6"/>
  <c r="E11" i="6" s="1"/>
  <c r="N24" i="1"/>
  <c r="I24" i="5"/>
  <c r="I22" i="5"/>
  <c r="I20" i="5"/>
  <c r="F22" i="5"/>
  <c r="I21" i="5"/>
  <c r="F20" i="5"/>
  <c r="I19" i="5"/>
  <c r="I18" i="5"/>
  <c r="F17" i="5"/>
  <c r="I17" i="5"/>
  <c r="I16" i="5"/>
  <c r="J11" i="5"/>
  <c r="E11" i="5"/>
  <c r="I19" i="4"/>
  <c r="I18" i="4"/>
  <c r="F17" i="4"/>
  <c r="I17" i="4" s="1"/>
  <c r="I16" i="4"/>
  <c r="D11" i="1"/>
  <c r="J11" i="4"/>
  <c r="N11" i="4" s="1"/>
  <c r="I26" i="7" l="1"/>
  <c r="N2" i="7" s="1"/>
  <c r="I21" i="6"/>
  <c r="N11" i="6"/>
  <c r="N11" i="5"/>
  <c r="E11" i="4"/>
  <c r="I21" i="4"/>
  <c r="N2" i="4" s="1"/>
  <c r="N5" i="4" s="1"/>
  <c r="C11" i="1" s="1"/>
  <c r="E11" i="1" s="1"/>
  <c r="I20" i="3"/>
  <c r="F19" i="3"/>
  <c r="I19" i="3" s="1"/>
  <c r="I17" i="3"/>
  <c r="F16" i="3"/>
  <c r="I16" i="3" s="1"/>
  <c r="I18" i="3"/>
  <c r="I15" i="3"/>
  <c r="J11" i="3"/>
  <c r="N11" i="3"/>
  <c r="N12" i="3" s="1"/>
  <c r="E11" i="3"/>
  <c r="D53" i="1"/>
  <c r="J53" i="1" s="1"/>
  <c r="D52" i="1"/>
  <c r="I66" i="1"/>
  <c r="I49" i="1"/>
  <c r="N26" i="1"/>
  <c r="C9" i="1"/>
  <c r="E9" i="1" s="1"/>
  <c r="I19" i="2"/>
  <c r="I16" i="2"/>
  <c r="I21" i="2"/>
  <c r="F21" i="2"/>
  <c r="I17" i="2"/>
  <c r="I20" i="2"/>
  <c r="I18" i="2"/>
  <c r="J11" i="2"/>
  <c r="N11" i="2" s="1"/>
  <c r="N12" i="2" s="1"/>
  <c r="I15" i="2"/>
  <c r="N5" i="7" l="1"/>
  <c r="C14" i="1"/>
  <c r="N2" i="6"/>
  <c r="N2" i="5"/>
  <c r="N5" i="5" s="1"/>
  <c r="C12" i="1" s="1"/>
  <c r="E12" i="1" s="1"/>
  <c r="I23" i="3"/>
  <c r="N2" i="3" s="1"/>
  <c r="N5" i="3" s="1"/>
  <c r="C10" i="1" s="1"/>
  <c r="E10" i="1" s="1"/>
  <c r="J52" i="1"/>
  <c r="J61" i="1" s="1"/>
  <c r="I22" i="2"/>
  <c r="F19" i="2"/>
  <c r="F16" i="2"/>
  <c r="E11" i="2"/>
  <c r="N5" i="6" l="1"/>
  <c r="C13" i="1"/>
  <c r="E13" i="1" s="1"/>
  <c r="E14" i="1"/>
  <c r="N2" i="2"/>
  <c r="N5" i="2" s="1"/>
  <c r="E20" i="1" l="1"/>
  <c r="N1" i="1" s="1"/>
  <c r="N4" i="1" s="1"/>
</calcChain>
</file>

<file path=xl/sharedStrings.xml><?xml version="1.0" encoding="utf-8"?>
<sst xmlns="http://schemas.openxmlformats.org/spreadsheetml/2006/main" count="1363" uniqueCount="235">
  <si>
    <t>University</t>
  </si>
  <si>
    <t>Ecole Centrale de Lyon</t>
  </si>
  <si>
    <t>Back to BOM</t>
  </si>
  <si>
    <t>Car #</t>
  </si>
  <si>
    <t>Asm Cost</t>
  </si>
  <si>
    <t>System</t>
  </si>
  <si>
    <t>Steering System</t>
  </si>
  <si>
    <t>Qty</t>
  </si>
  <si>
    <t>Assembly</t>
  </si>
  <si>
    <t xml:space="preserve">Steering Rack 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</si>
  <si>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</si>
  <si>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</si>
  <si>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</si>
  <si>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</si>
  <si>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</si>
  <si>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</si>
  <si>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</si>
  <si>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</si>
  <si>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Bought, cost as made</t>
  </si>
  <si>
    <t>ItemOrder</t>
  </si>
  <si>
    <t>Part</t>
  </si>
  <si>
    <t>Part Cost</t>
  </si>
  <si>
    <t>Quantity</t>
  </si>
  <si>
    <t>Sub Total</t>
  </si>
  <si>
    <t>Rack</t>
  </si>
  <si>
    <t>Rack pinion</t>
  </si>
  <si>
    <t>Rack Pinion</t>
  </si>
  <si>
    <t>ST_01002</t>
  </si>
  <si>
    <t>Bought part, cost as made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</si>
  <si>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</si>
  <si>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</si>
  <si>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</si>
  <si>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</si>
  <si>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</si>
  <si>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</si>
  <si>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</si>
  <si>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</si>
  <si>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</si>
  <si>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</si>
  <si>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</si>
  <si>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Steel, Mild (per kg)</t>
  </si>
  <si>
    <t>Stock for the pinion</t>
  </si>
  <si>
    <t>kg</t>
  </si>
  <si>
    <t>Process</t>
  </si>
  <si>
    <t>Unit</t>
  </si>
  <si>
    <t>Multiplier</t>
  </si>
  <si>
    <t>Mult. Val.</t>
  </si>
  <si>
    <t>Machining Setup, Install and remove</t>
  </si>
  <si>
    <t>Machining</t>
  </si>
  <si>
    <t>cm^3</t>
  </si>
  <si>
    <t>cm</t>
  </si>
  <si>
    <t>Circular area diam. 31mm</t>
  </si>
  <si>
    <t>Installation of the item 10</t>
  </si>
  <si>
    <t>Machining Setup, Change</t>
  </si>
  <si>
    <t>To machin the other side</t>
  </si>
  <si>
    <t>Machining of the other side</t>
  </si>
  <si>
    <t>Broach, External</t>
  </si>
  <si>
    <t>For the splines</t>
  </si>
  <si>
    <t>Installation for the water jet cut</t>
  </si>
  <si>
    <t>Waterjet Cut</t>
  </si>
  <si>
    <t>For the pinion</t>
  </si>
  <si>
    <t>Material - Steel</t>
  </si>
  <si>
    <t>Machining the pinion</t>
  </si>
  <si>
    <t>ST_01001</t>
  </si>
  <si>
    <t>mm</t>
  </si>
  <si>
    <t>Fastener</t>
  </si>
  <si>
    <t>Tooling</t>
  </si>
  <si>
    <t>PVF</t>
  </si>
  <si>
    <t>FractionIncluded</t>
  </si>
  <si>
    <t>To close the rack housing</t>
  </si>
  <si>
    <t>To fix the rack</t>
  </si>
  <si>
    <t>Stock for the rack</t>
  </si>
  <si>
    <t>Machining one end</t>
  </si>
  <si>
    <t>Threading, External (machining)</t>
  </si>
  <si>
    <t>Thread at one end</t>
  </si>
  <si>
    <t>To machin the other end</t>
  </si>
  <si>
    <t>Lower Pinion housing</t>
  </si>
  <si>
    <t>ST_01003</t>
  </si>
  <si>
    <t xml:space="preserve">Rectangular area </t>
  </si>
  <si>
    <t>Stock for the part</t>
  </si>
  <si>
    <t>Aluminum, Normal</t>
  </si>
  <si>
    <t>Upper Pinion housing</t>
  </si>
  <si>
    <t xml:space="preserve">Machining of the first face </t>
  </si>
  <si>
    <t xml:space="preserve">Machining of the second face </t>
  </si>
  <si>
    <t>Material - Aluminium</t>
  </si>
  <si>
    <t>Threading, Internal (machining)</t>
  </si>
  <si>
    <t>For the 4 holes</t>
  </si>
  <si>
    <t>wwww</t>
  </si>
  <si>
    <t>Machining of a beveal</t>
  </si>
  <si>
    <t>Bearing, Needle</t>
  </si>
  <si>
    <t>To guide the rack en the rack housing</t>
  </si>
  <si>
    <t>Rack housing support</t>
  </si>
  <si>
    <t>Circular area 33mm diameter</t>
  </si>
  <si>
    <t>ST_01005</t>
  </si>
  <si>
    <t>ST_01004</t>
  </si>
  <si>
    <t>2 parts made from a single setup</t>
  </si>
  <si>
    <t>First machining</t>
  </si>
  <si>
    <t>for the other side</t>
  </si>
  <si>
    <t>Tie rod Braces</t>
  </si>
  <si>
    <t>Circular area 26mm diameter</t>
  </si>
  <si>
    <t>For the planes and the center</t>
  </si>
  <si>
    <t>Second machining</t>
  </si>
  <si>
    <t>Installation on a CNC machine</t>
  </si>
  <si>
    <t>For the other planes</t>
  </si>
  <si>
    <t>Drilled holes &lt; 25.4 mm dia.</t>
  </si>
  <si>
    <t>hole</t>
  </si>
  <si>
    <t>For the two holes</t>
  </si>
  <si>
    <t>Machining the other end</t>
  </si>
  <si>
    <t>Thread at the other end</t>
  </si>
  <si>
    <t>Installation on a CNC machin for the gear tooth</t>
  </si>
  <si>
    <t>Machining the gear tooth</t>
  </si>
  <si>
    <t xml:space="preserve">Rack housing </t>
  </si>
  <si>
    <t>ST_01007</t>
  </si>
  <si>
    <t>ST_01006</t>
  </si>
  <si>
    <t>Rack housing</t>
  </si>
  <si>
    <t>Steering Brackets tie</t>
  </si>
  <si>
    <t>Steering Brackets</t>
  </si>
  <si>
    <t>ST_01008</t>
  </si>
  <si>
    <t>ST_01009</t>
  </si>
  <si>
    <t>To fix the brackets ties</t>
  </si>
  <si>
    <t>4 parts made from a single setup</t>
  </si>
  <si>
    <t>For the half circule</t>
  </si>
  <si>
    <t>To machin the two holes</t>
  </si>
  <si>
    <t>Aerosol Apply</t>
  </si>
  <si>
    <t>To apply black paint</t>
  </si>
  <si>
    <t>m^2</t>
  </si>
  <si>
    <t>Rectangular area</t>
  </si>
  <si>
    <t>Installation of the item 10 for laser cut</t>
  </si>
  <si>
    <t>Laser Cut</t>
  </si>
  <si>
    <t xml:space="preserve">Paint </t>
  </si>
  <si>
    <t>Sheet metal bends</t>
  </si>
  <si>
    <t>bend</t>
  </si>
  <si>
    <t>Weld</t>
  </si>
  <si>
    <t>Welding the steering Brackets on the frame</t>
  </si>
  <si>
    <t xml:space="preserve">Drawing : </t>
  </si>
  <si>
    <t>This part is welded to the frame</t>
  </si>
  <si>
    <t>To fix the steering rack</t>
  </si>
  <si>
    <t>unit</t>
  </si>
  <si>
    <t>Washer, Grade 8.8 (SAE 5)</t>
  </si>
  <si>
    <t>Bolt, Grade 8.8 (SAE 5)</t>
  </si>
  <si>
    <t>Nut, Grade 8.8 (SAE 5)</t>
  </si>
  <si>
    <t>Assemble, 1 kg, Loose</t>
  </si>
  <si>
    <t>Assembly of part 70 in part 40</t>
  </si>
  <si>
    <t>To guide the rack pinion en the lower pinion housing</t>
  </si>
  <si>
    <t>Assembly of material 20 in part 40</t>
  </si>
  <si>
    <t>Assembly of part 20 in part 40</t>
  </si>
  <si>
    <t>Assembly of part 10 in part 40</t>
  </si>
  <si>
    <t>Assembly of part 30 on part 40</t>
  </si>
  <si>
    <t>Ratchet &lt;= 6,35 mm</t>
  </si>
  <si>
    <t>Reaction Tool &lt;= 6.35 mm</t>
  </si>
  <si>
    <t>Screwdriver &gt; 1 Turn</t>
  </si>
  <si>
    <t>Use of fastener 10 to fix part 30 on part 40</t>
  </si>
  <si>
    <t>Use of fastener 20 to fix part 20</t>
  </si>
  <si>
    <t>Ratchet &lt;= 25.4 mm</t>
  </si>
  <si>
    <t>Welds - Welding Fixture</t>
  </si>
  <si>
    <t>Liquid Apply - Spot</t>
  </si>
  <si>
    <t>To glue part 70 to part 50</t>
  </si>
  <si>
    <t>Brush Apply</t>
  </si>
  <si>
    <t>cm^2</t>
  </si>
  <si>
    <t>To fix the Tie rod Braces</t>
  </si>
  <si>
    <t>Rack protection</t>
  </si>
  <si>
    <t>Rack protection Brackets</t>
  </si>
  <si>
    <t>ST_01010</t>
  </si>
  <si>
    <t>ST 01010</t>
  </si>
  <si>
    <t>ST 01011</t>
  </si>
  <si>
    <t>Assembly of part 60 on part 70</t>
  </si>
  <si>
    <t>Use of fastener 60 To fix part 60 on part 70</t>
  </si>
  <si>
    <t>Wrench &lt;= 25.4 mm</t>
  </si>
  <si>
    <t>Assembly of part 80 to part 50</t>
  </si>
  <si>
    <t>For the process 140</t>
  </si>
  <si>
    <t>Use of fastener 30 To fix part 80 on part 50</t>
  </si>
  <si>
    <t>Welding of part 110 on the frame</t>
  </si>
  <si>
    <t>To apply red paint</t>
  </si>
  <si>
    <t>For the process 10, 2 point per bracket</t>
  </si>
  <si>
    <t>For the process 160, 1 point per bracket</t>
  </si>
  <si>
    <t>Assembly of part 100 on part 110</t>
  </si>
  <si>
    <t>To fix the Rack protection</t>
  </si>
  <si>
    <t>Use of fastener 70 to fix part 100</t>
  </si>
  <si>
    <t>for process 180</t>
  </si>
  <si>
    <t>Assembly of material 10 in part 50</t>
  </si>
  <si>
    <t>This part is Welded on the frame</t>
  </si>
  <si>
    <t>ST A0100</t>
  </si>
  <si>
    <t>ST A0200</t>
  </si>
  <si>
    <t>Spline Coupler</t>
  </si>
  <si>
    <t>Steering Column assy</t>
  </si>
  <si>
    <t>Steering column</t>
  </si>
  <si>
    <t>Spline coupler</t>
  </si>
  <si>
    <t>ST_02001</t>
  </si>
  <si>
    <t>Steering Column tube</t>
  </si>
  <si>
    <t>ST_02002</t>
  </si>
  <si>
    <t>Steel, alloy (per kg)</t>
  </si>
  <si>
    <t>Stock for spline coupler</t>
  </si>
  <si>
    <t>Circular section : diameter</t>
  </si>
  <si>
    <t>Setup for tne material 20</t>
  </si>
  <si>
    <t>Hole before the Broach</t>
  </si>
  <si>
    <t>Broach, Internal</t>
  </si>
  <si>
    <t>For the splines in the spline coupler</t>
  </si>
  <si>
    <t>Machining the spline</t>
  </si>
  <si>
    <t>Stock for column tube</t>
  </si>
  <si>
    <t>Circular area, diameter 20</t>
  </si>
  <si>
    <t>It is a tube, 20*1.5</t>
  </si>
  <si>
    <t xml:space="preserve">Setup </t>
  </si>
  <si>
    <t>Tube cut</t>
  </si>
  <si>
    <t>To cut the tube to the right lenght</t>
  </si>
  <si>
    <t>Steering Column Universal Joint</t>
  </si>
  <si>
    <t>Setup for tne material 10</t>
  </si>
  <si>
    <t>Machining the material 10</t>
  </si>
  <si>
    <t>Welding between The part 10 and the part 20</t>
  </si>
  <si>
    <t>Welding between the part 20 and the material 10</t>
  </si>
  <si>
    <t>For the process 30, 2 point to weld</t>
  </si>
  <si>
    <t>For the process 40, 2 point per weld</t>
  </si>
  <si>
    <t>Roulements de Cricri</t>
  </si>
  <si>
    <t>Steering Upper Shaft Pivot</t>
  </si>
  <si>
    <t>circlip</t>
  </si>
  <si>
    <t xml:space="preserve">Circular section : diameter 32mm </t>
  </si>
  <si>
    <t>ST_02003</t>
  </si>
  <si>
    <t>Machining of the left part</t>
  </si>
  <si>
    <t>Machining of the right part</t>
  </si>
  <si>
    <t>ST 02003</t>
  </si>
  <si>
    <t>ST 02004</t>
  </si>
  <si>
    <t>Steering Bore</t>
  </si>
  <si>
    <t>Steering Column Assy</t>
  </si>
  <si>
    <t>ST_02004</t>
  </si>
  <si>
    <t>Stock the part</t>
  </si>
  <si>
    <t xml:space="preserve">Circular section : diameter 48mm </t>
  </si>
  <si>
    <t>Machining of the left shoulder</t>
  </si>
  <si>
    <t>To machin the other shoulder</t>
  </si>
  <si>
    <t>Machining of the right shoulder</t>
  </si>
  <si>
    <t>Steering Bore support</t>
  </si>
  <si>
    <t>Steering Bore Support</t>
  </si>
  <si>
    <t>ST_02005</t>
  </si>
  <si>
    <t>This part is welded to the frame and to the steering Bore</t>
  </si>
  <si>
    <t>Circular section : diameter 24</t>
  </si>
  <si>
    <t>For one end</t>
  </si>
  <si>
    <t>For the other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</si>
</sst>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0_);_(&quot;$&quot;* \(#,##0.000\);_(&quot;$&quot;* &quot;-&quot;??_);_(@_)"/>
    <numFmt numFmtId="168" formatCode="0.000"/>
    <numFmt numFmtId="169" formatCode="_-[$$-C09]* #,##0.00_-;\-[$$-C09]* #,##0.00_-;_-[$$-C09]* &quot;-&quot;??_-;_-@_-"/>
    <numFmt numFmtId="171" formatCode="0.0"/>
    <numFmt numFmtId="172" formatCode="_-[$$-2809]* #,##0.00_-;\-[$$-2809]* #,##0.00_-;_-[$$-2809]* &quot;-&quot;??_-;_-@_-"/>
    <numFmt numFmtId="173" formatCode="&quot;$&quot;#,##0.00"/>
    <numFmt numFmtId="174" formatCode="_(&quot;$&quot;* #,##0_);_(&quot;$&quot;* \(#,##0\);_(&quot;$&quot;* &quot;-&quot;??_);_(@_)"/>
    <numFmt numFmtId="175" formatCode="_-[$$-1009]* #,##0.00_-;\-[$$-1009]* #,##0.00_-;_-[$$-1009]* &quot;-&quot;??_-;_-@_-"/>
    <numFmt numFmtId="177" formatCode="\$#,##0.00_);&quot;($&quot;#,##0.00\)"/>
    <numFmt numFmtId="178" formatCode="_-[$$-409]* #,##0.00_ ;_-[$$-409]* \-#,##0.00\ ;_-[$$-409]* &quot;-&quot;??_ ;_-@_ "/>
    <numFmt numFmtId="179" formatCode="_(\$* #,##0.00_);_(\$* \(#,##0.00\);_(\$* \-??_);_(@_)"/>
    <numFmt numFmtId="180" formatCode="_(* #,##0.00_);_(* \(#,##0.00\);_(* \-??_);_(@_)"/>
    <numFmt numFmtId="181" formatCode="#,##0.0000"/>
    <numFmt numFmtId="182" formatCode="0.0000"/>
    <numFmt numFmtId="183" formatCode="_(* #,##0.000_);_(* \(#,##0.000\);_(* \-??_);_(@_)"/>
    <numFmt numFmtId="185" formatCode="_-[$$-409]* #,##0.00_ ;_-[$$-409]* \-#,##0.00,;_-[$$-409]* \-??_ ;_-@_ "/>
    <numFmt numFmtId="186" formatCode="0.0000E+00"/>
    <numFmt numFmtId="189" formatCode="_-[$$-2009]* #,##0.00_-;\-[$$-2009]* #,##0.00_-;_-[$$-2009]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CD5B5"/>
      </patternFill>
    </fill>
  </fills>
  <borders count="18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4" fontId="5" fillId="0" borderId="0" applyFont="0" applyFill="0" applyBorder="0" applyAlignment="0" applyProtection="0"/>
    <xf numFmtId="0" fontId="9" fillId="0" borderId="0"/>
    <xf numFmtId="0" fontId="10" fillId="2" borderId="0" applyNumberFormat="0" applyBorder="0" applyAlignment="0" applyProtection="0"/>
    <xf numFmtId="164" fontId="10" fillId="2" borderId="8">
      <alignment vertical="center" wrapText="1"/>
    </xf>
    <xf numFmtId="164" fontId="11" fillId="3" borderId="8">
      <alignment vertical="center" wrapText="1"/>
    </xf>
    <xf numFmtId="173" fontId="12" fillId="0" borderId="11">
      <alignment vertical="center" wrapText="1"/>
    </xf>
    <xf numFmtId="177" fontId="8" fillId="0" borderId="11">
      <alignment vertical="center" wrapText="1"/>
    </xf>
  </cellStyleXfs>
  <cellXfs count="180">
    <xf numFmtId="0" fontId="0" fillId="0" borderId="0" xfId="0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4" fontId="3" fillId="0" borderId="0" xfId="3" applyNumberFormat="1" applyFont="1" applyFill="1" applyBorder="1"/>
    <xf numFmtId="37" fontId="3" fillId="0" borderId="0" xfId="4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/>
    <xf numFmtId="164" fontId="3" fillId="0" borderId="2" xfId="3" applyFont="1" applyFill="1" applyBorder="1"/>
    <xf numFmtId="166" fontId="3" fillId="0" borderId="2" xfId="4" applyNumberFormat="1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37" fontId="7" fillId="0" borderId="0" xfId="0" applyNumberFormat="1" applyFont="1"/>
    <xf numFmtId="0" fontId="7" fillId="0" borderId="0" xfId="0" applyFont="1" applyAlignment="1">
      <alignment horizontal="left"/>
    </xf>
    <xf numFmtId="0" fontId="3" fillId="0" borderId="2" xfId="5" applyFont="1" applyFill="1" applyBorder="1"/>
    <xf numFmtId="0" fontId="3" fillId="0" borderId="2" xfId="5" applyFont="1" applyFill="1" applyBorder="1" applyAlignment="1" applyProtection="1">
      <alignment wrapText="1"/>
    </xf>
    <xf numFmtId="0" fontId="3" fillId="0" borderId="2" xfId="5" applyFont="1" applyFill="1" applyBorder="1" applyAlignment="1">
      <alignment horizontal="left"/>
    </xf>
    <xf numFmtId="164" fontId="3" fillId="0" borderId="2" xfId="6" applyFont="1" applyFill="1" applyBorder="1"/>
    <xf numFmtId="168" fontId="3" fillId="0" borderId="2" xfId="5" applyNumberFormat="1" applyFont="1" applyFill="1" applyBorder="1"/>
    <xf numFmtId="165" fontId="3" fillId="0" borderId="2" xfId="4" applyFont="1" applyFill="1" applyBorder="1"/>
    <xf numFmtId="11" fontId="3" fillId="0" borderId="2" xfId="5" applyNumberFormat="1" applyFont="1" applyFill="1" applyBorder="1" applyAlignment="1">
      <alignment wrapText="1"/>
    </xf>
    <xf numFmtId="11" fontId="3" fillId="0" borderId="2" xfId="4" applyNumberFormat="1" applyFont="1" applyFill="1" applyBorder="1"/>
    <xf numFmtId="0" fontId="3" fillId="0" borderId="2" xfId="4" applyNumberFormat="1" applyFont="1" applyFill="1" applyBorder="1"/>
    <xf numFmtId="164" fontId="3" fillId="0" borderId="2" xfId="3" applyNumberFormat="1" applyFont="1" applyFill="1" applyBorder="1"/>
    <xf numFmtId="0" fontId="6" fillId="0" borderId="0" xfId="0" applyFont="1"/>
    <xf numFmtId="0" fontId="5" fillId="0" borderId="8" xfId="7" applyFont="1" applyFill="1" applyBorder="1" applyAlignment="1">
      <alignment wrapText="1"/>
    </xf>
    <xf numFmtId="0" fontId="3" fillId="0" borderId="9" xfId="5" applyFont="1" applyFill="1" applyBorder="1"/>
    <xf numFmtId="0" fontId="5" fillId="0" borderId="9" xfId="7" applyFont="1" applyFill="1" applyBorder="1" applyAlignment="1">
      <alignment wrapText="1"/>
    </xf>
    <xf numFmtId="0" fontId="0" fillId="0" borderId="9" xfId="0" applyBorder="1"/>
    <xf numFmtId="44" fontId="1" fillId="0" borderId="9" xfId="1" applyFont="1" applyBorder="1"/>
    <xf numFmtId="0" fontId="8" fillId="0" borderId="9" xfId="5" applyBorder="1"/>
    <xf numFmtId="164" fontId="3" fillId="0" borderId="9" xfId="6" applyNumberFormat="1" applyFont="1" applyFill="1" applyBorder="1" applyAlignment="1"/>
    <xf numFmtId="0" fontId="3" fillId="0" borderId="9" xfId="7" applyFont="1" applyFill="1" applyBorder="1" applyAlignment="1">
      <alignment wrapText="1"/>
    </xf>
    <xf numFmtId="0" fontId="8" fillId="0" borderId="9" xfId="5" applyBorder="1" applyAlignment="1">
      <alignment wrapText="1"/>
    </xf>
    <xf numFmtId="164" fontId="3" fillId="0" borderId="9" xfId="6" applyFont="1" applyFill="1" applyBorder="1"/>
    <xf numFmtId="1" fontId="3" fillId="0" borderId="9" xfId="5" applyNumberFormat="1" applyFont="1" applyFill="1" applyBorder="1"/>
    <xf numFmtId="169" fontId="1" fillId="0" borderId="9" xfId="1" applyNumberFormat="1" applyFont="1" applyBorder="1"/>
    <xf numFmtId="2" fontId="8" fillId="0" borderId="9" xfId="5" applyNumberFormat="1" applyBorder="1"/>
    <xf numFmtId="0" fontId="3" fillId="0" borderId="9" xfId="0" applyFont="1" applyFill="1" applyBorder="1"/>
    <xf numFmtId="11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wrapText="1"/>
    </xf>
    <xf numFmtId="0" fontId="2" fillId="0" borderId="0" xfId="0" applyFont="1" applyFill="1" applyBorder="1"/>
    <xf numFmtId="39" fontId="3" fillId="0" borderId="2" xfId="3" applyNumberFormat="1" applyFont="1" applyFill="1" applyBorder="1"/>
    <xf numFmtId="0" fontId="3" fillId="0" borderId="2" xfId="0" applyNumberFormat="1" applyFont="1" applyFill="1" applyBorder="1"/>
    <xf numFmtId="37" fontId="3" fillId="0" borderId="2" xfId="3" applyNumberFormat="1" applyFont="1" applyFill="1" applyBorder="1"/>
    <xf numFmtId="0" fontId="0" fillId="0" borderId="2" xfId="0" applyBorder="1"/>
    <xf numFmtId="0" fontId="3" fillId="0" borderId="9" xfId="5" applyFont="1" applyFill="1" applyBorder="1" applyAlignment="1" applyProtection="1">
      <alignment wrapText="1"/>
    </xf>
    <xf numFmtId="0" fontId="3" fillId="0" borderId="9" xfId="5" applyFont="1" applyFill="1" applyBorder="1" applyAlignment="1">
      <alignment horizontal="left"/>
    </xf>
    <xf numFmtId="164" fontId="7" fillId="0" borderId="9" xfId="8" applyNumberFormat="1" applyFont="1" applyFill="1" applyBorder="1"/>
    <xf numFmtId="168" fontId="3" fillId="0" borderId="9" xfId="5" applyNumberFormat="1" applyFont="1" applyFill="1" applyBorder="1"/>
    <xf numFmtId="165" fontId="3" fillId="0" borderId="9" xfId="4" applyFont="1" applyFill="1" applyBorder="1"/>
    <xf numFmtId="11" fontId="3" fillId="0" borderId="9" xfId="5" applyNumberFormat="1" applyFont="1" applyFill="1" applyBorder="1" applyAlignment="1">
      <alignment wrapText="1"/>
    </xf>
    <xf numFmtId="11" fontId="3" fillId="0" borderId="9" xfId="4" applyNumberFormat="1" applyFont="1" applyFill="1" applyBorder="1"/>
    <xf numFmtId="0" fontId="3" fillId="0" borderId="9" xfId="4" applyNumberFormat="1" applyFont="1" applyFill="1" applyBorder="1"/>
    <xf numFmtId="164" fontId="3" fillId="0" borderId="9" xfId="3" applyNumberFormat="1" applyFont="1" applyFill="1" applyBorder="1"/>
    <xf numFmtId="0" fontId="8" fillId="0" borderId="9" xfId="5" applyNumberFormat="1" applyBorder="1"/>
    <xf numFmtId="0" fontId="3" fillId="0" borderId="0" xfId="5" applyFont="1" applyFill="1" applyBorder="1"/>
    <xf numFmtId="0" fontId="5" fillId="0" borderId="0" xfId="7" applyFont="1" applyFill="1" applyBorder="1" applyAlignment="1">
      <alignment wrapText="1"/>
    </xf>
    <xf numFmtId="0" fontId="8" fillId="0" borderId="6" xfId="5" applyBorder="1"/>
    <xf numFmtId="1" fontId="3" fillId="0" borderId="0" xfId="5" applyNumberFormat="1" applyFont="1" applyFill="1" applyBorder="1"/>
    <xf numFmtId="0" fontId="0" fillId="0" borderId="10" xfId="0" applyFill="1" applyBorder="1"/>
    <xf numFmtId="0" fontId="0" fillId="0" borderId="0" xfId="0" applyFill="1"/>
    <xf numFmtId="171" fontId="8" fillId="0" borderId="9" xfId="5" applyNumberFormat="1" applyBorder="1"/>
    <xf numFmtId="0" fontId="0" fillId="0" borderId="9" xfId="0" applyFill="1" applyBorder="1"/>
    <xf numFmtId="164" fontId="7" fillId="0" borderId="9" xfId="10" applyFont="1" applyFill="1" applyBorder="1">
      <alignment vertical="center" wrapText="1"/>
    </xf>
    <xf numFmtId="2" fontId="0" fillId="0" borderId="9" xfId="0" applyNumberFormat="1" applyBorder="1"/>
    <xf numFmtId="0" fontId="3" fillId="0" borderId="9" xfId="0" applyFont="1" applyFill="1" applyBorder="1" applyAlignment="1" applyProtection="1">
      <alignment vertical="center" wrapText="1"/>
    </xf>
    <xf numFmtId="172" fontId="1" fillId="0" borderId="8" xfId="1" applyNumberFormat="1" applyFont="1" applyBorder="1"/>
    <xf numFmtId="11" fontId="8" fillId="0" borderId="9" xfId="5" applyNumberFormat="1" applyBorder="1"/>
    <xf numFmtId="11" fontId="0" fillId="0" borderId="9" xfId="0" applyNumberFormat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6" fillId="4" borderId="3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right"/>
    </xf>
    <xf numFmtId="164" fontId="6" fillId="4" borderId="7" xfId="0" applyNumberFormat="1" applyFont="1" applyFill="1" applyBorder="1"/>
    <xf numFmtId="167" fontId="6" fillId="4" borderId="7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 applyAlignment="1">
      <alignment horizontal="right"/>
    </xf>
    <xf numFmtId="167" fontId="2" fillId="5" borderId="6" xfId="0" applyNumberFormat="1" applyFont="1" applyFill="1" applyBorder="1"/>
    <xf numFmtId="0" fontId="2" fillId="5" borderId="9" xfId="0" applyFont="1" applyFill="1" applyBorder="1"/>
    <xf numFmtId="0" fontId="2" fillId="5" borderId="2" xfId="0" applyFont="1" applyFill="1" applyBorder="1" applyAlignment="1">
      <alignment horizontal="right"/>
    </xf>
    <xf numFmtId="164" fontId="2" fillId="5" borderId="2" xfId="0" applyNumberFormat="1" applyFont="1" applyFill="1" applyBorder="1"/>
    <xf numFmtId="0" fontId="3" fillId="0" borderId="9" xfId="0" applyNumberFormat="1" applyFont="1" applyFill="1" applyBorder="1" applyAlignment="1">
      <alignment wrapText="1"/>
    </xf>
    <xf numFmtId="0" fontId="6" fillId="0" borderId="4" xfId="0" applyFont="1" applyFill="1" applyBorder="1"/>
    <xf numFmtId="0" fontId="6" fillId="0" borderId="3" xfId="0" applyFont="1" applyFill="1" applyBorder="1"/>
    <xf numFmtId="0" fontId="4" fillId="0" borderId="0" xfId="2"/>
    <xf numFmtId="0" fontId="4" fillId="4" borderId="3" xfId="2" applyFill="1" applyBorder="1"/>
    <xf numFmtId="164" fontId="2" fillId="5" borderId="6" xfId="0" applyNumberFormat="1" applyFont="1" applyFill="1" applyBorder="1"/>
    <xf numFmtId="174" fontId="5" fillId="0" borderId="9" xfId="1" applyNumberFormat="1" applyFont="1" applyFill="1" applyBorder="1" applyAlignment="1">
      <alignment horizontal="right" wrapText="1"/>
    </xf>
    <xf numFmtId="0" fontId="0" fillId="0" borderId="0" xfId="0" applyBorder="1"/>
    <xf numFmtId="0" fontId="5" fillId="0" borderId="2" xfId="7" applyFont="1" applyFill="1" applyBorder="1" applyAlignment="1">
      <alignment wrapText="1"/>
    </xf>
    <xf numFmtId="169" fontId="1" fillId="0" borderId="2" xfId="1" applyNumberFormat="1" applyFont="1" applyBorder="1"/>
    <xf numFmtId="175" fontId="1" fillId="0" borderId="2" xfId="1" applyNumberFormat="1" applyFont="1" applyBorder="1"/>
    <xf numFmtId="0" fontId="4" fillId="0" borderId="2" xfId="2" applyFill="1" applyBorder="1"/>
    <xf numFmtId="167" fontId="3" fillId="0" borderId="2" xfId="3" applyNumberFormat="1" applyFont="1" applyFill="1" applyBorder="1"/>
    <xf numFmtId="164" fontId="7" fillId="0" borderId="2" xfId="9" applyFont="1" applyFill="1" applyBorder="1">
      <alignment vertical="center" wrapText="1"/>
    </xf>
    <xf numFmtId="0" fontId="3" fillId="0" borderId="2" xfId="0" applyFont="1" applyFill="1" applyBorder="1" applyAlignment="1" applyProtection="1">
      <alignment vertical="center" wrapText="1"/>
    </xf>
    <xf numFmtId="173" fontId="12" fillId="0" borderId="2" xfId="11" applyBorder="1">
      <alignment vertical="center" wrapText="1"/>
    </xf>
    <xf numFmtId="169" fontId="3" fillId="0" borderId="2" xfId="1" applyNumberFormat="1" applyFont="1" applyFill="1" applyBorder="1" applyAlignment="1" applyProtection="1">
      <alignment vertical="center" wrapText="1"/>
    </xf>
    <xf numFmtId="172" fontId="3" fillId="0" borderId="2" xfId="11" applyNumberFormat="1" applyFont="1" applyBorder="1" applyAlignment="1">
      <alignment vertical="center" wrapText="1"/>
    </xf>
    <xf numFmtId="0" fontId="13" fillId="6" borderId="12" xfId="0" applyFont="1" applyFill="1" applyBorder="1"/>
    <xf numFmtId="0" fontId="14" fillId="0" borderId="0" xfId="0" applyFont="1" applyBorder="1"/>
    <xf numFmtId="0" fontId="14" fillId="0" borderId="12" xfId="0" applyFont="1" applyBorder="1" applyAlignment="1">
      <alignment horizontal="right"/>
    </xf>
    <xf numFmtId="178" fontId="14" fillId="0" borderId="12" xfId="12" applyNumberFormat="1" applyFont="1" applyBorder="1" applyAlignment="1" applyProtection="1"/>
    <xf numFmtId="37" fontId="14" fillId="0" borderId="12" xfId="12" applyNumberFormat="1" applyFont="1" applyBorder="1" applyAlignment="1" applyProtection="1"/>
    <xf numFmtId="0" fontId="0" fillId="0" borderId="0" xfId="0" applyFont="1" applyBorder="1"/>
    <xf numFmtId="0" fontId="13" fillId="6" borderId="0" xfId="0" applyFont="1" applyFill="1" applyBorder="1"/>
    <xf numFmtId="0" fontId="14" fillId="0" borderId="0" xfId="0" applyFont="1" applyBorder="1" applyAlignment="1">
      <alignment horizontal="left"/>
    </xf>
    <xf numFmtId="179" fontId="14" fillId="0" borderId="12" xfId="12" applyNumberFormat="1" applyFont="1" applyBorder="1" applyAlignment="1" applyProtection="1"/>
    <xf numFmtId="0" fontId="0" fillId="0" borderId="13" xfId="0" applyBorder="1"/>
    <xf numFmtId="0" fontId="14" fillId="0" borderId="12" xfId="0" applyFont="1" applyBorder="1"/>
    <xf numFmtId="0" fontId="4" fillId="0" borderId="12" xfId="2" applyNumberFormat="1" applyBorder="1" applyAlignment="1" applyProtection="1"/>
    <xf numFmtId="0" fontId="15" fillId="0" borderId="12" xfId="0" applyFont="1" applyBorder="1"/>
    <xf numFmtId="0" fontId="13" fillId="6" borderId="12" xfId="0" applyFont="1" applyFill="1" applyBorder="1" applyAlignment="1">
      <alignment horizontal="right"/>
    </xf>
    <xf numFmtId="179" fontId="13" fillId="6" borderId="12" xfId="0" applyNumberFormat="1" applyFont="1" applyFill="1" applyBorder="1"/>
    <xf numFmtId="0" fontId="14" fillId="0" borderId="12" xfId="0" applyFont="1" applyBorder="1" applyAlignment="1">
      <alignment wrapText="1"/>
    </xf>
    <xf numFmtId="0" fontId="13" fillId="0" borderId="13" xfId="0" applyFont="1" applyBorder="1"/>
    <xf numFmtId="0" fontId="13" fillId="0" borderId="0" xfId="0" applyFont="1" applyBorder="1"/>
    <xf numFmtId="0" fontId="14" fillId="0" borderId="12" xfId="0" applyFont="1" applyBorder="1" applyAlignment="1" applyProtection="1">
      <alignment wrapText="1"/>
    </xf>
    <xf numFmtId="185" fontId="14" fillId="0" borderId="12" xfId="0" applyNumberFormat="1" applyFont="1" applyBorder="1" applyAlignment="1">
      <alignment wrapText="1"/>
    </xf>
    <xf numFmtId="39" fontId="14" fillId="0" borderId="12" xfId="12" applyNumberFormat="1" applyFont="1" applyBorder="1" applyAlignment="1" applyProtection="1">
      <alignment wrapText="1"/>
    </xf>
    <xf numFmtId="37" fontId="14" fillId="0" borderId="12" xfId="12" applyNumberFormat="1" applyFont="1" applyBorder="1" applyAlignment="1" applyProtection="1">
      <alignment wrapText="1"/>
    </xf>
    <xf numFmtId="0" fontId="0" fillId="0" borderId="0" xfId="0" applyBorder="1" applyAlignment="1">
      <alignment wrapText="1"/>
    </xf>
    <xf numFmtId="0" fontId="13" fillId="6" borderId="14" xfId="0" applyFont="1" applyFill="1" applyBorder="1" applyAlignment="1">
      <alignment horizontal="right"/>
    </xf>
    <xf numFmtId="179" fontId="13" fillId="6" borderId="14" xfId="0" applyNumberFormat="1" applyFont="1" applyFill="1" applyBorder="1"/>
    <xf numFmtId="0" fontId="0" fillId="0" borderId="0" xfId="0" applyFill="1" applyBorder="1"/>
    <xf numFmtId="0" fontId="4" fillId="0" borderId="3" xfId="2" applyFill="1" applyBorder="1"/>
    <xf numFmtId="0" fontId="0" fillId="0" borderId="9" xfId="0" applyBorder="1" applyAlignment="1"/>
    <xf numFmtId="0" fontId="14" fillId="0" borderId="9" xfId="0" applyFont="1" applyBorder="1"/>
    <xf numFmtId="179" fontId="14" fillId="0" borderId="9" xfId="12" applyNumberFormat="1" applyFont="1" applyBorder="1" applyAlignment="1" applyProtection="1"/>
    <xf numFmtId="43" fontId="14" fillId="0" borderId="9" xfId="0" applyNumberFormat="1" applyFont="1" applyBorder="1" applyAlignment="1"/>
    <xf numFmtId="0" fontId="14" fillId="0" borderId="9" xfId="0" applyFont="1" applyBorder="1" applyAlignment="1"/>
    <xf numFmtId="180" fontId="14" fillId="0" borderId="9" xfId="12" applyNumberFormat="1" applyFont="1" applyBorder="1" applyAlignment="1" applyProtection="1"/>
    <xf numFmtId="11" fontId="14" fillId="0" borderId="9" xfId="0" applyNumberFormat="1" applyFont="1" applyBorder="1" applyAlignment="1"/>
    <xf numFmtId="182" fontId="14" fillId="0" borderId="9" xfId="12" applyNumberFormat="1" applyFont="1" applyBorder="1" applyAlignment="1" applyProtection="1"/>
    <xf numFmtId="183" fontId="14" fillId="0" borderId="9" xfId="12" applyNumberFormat="1" applyFont="1" applyBorder="1" applyAlignment="1" applyProtection="1"/>
    <xf numFmtId="2" fontId="14" fillId="0" borderId="9" xfId="12" applyNumberFormat="1" applyFont="1" applyBorder="1" applyAlignment="1" applyProtection="1"/>
    <xf numFmtId="0" fontId="3" fillId="0" borderId="8" xfId="7" applyFont="1" applyFill="1" applyBorder="1" applyAlignment="1">
      <alignment wrapText="1"/>
    </xf>
    <xf numFmtId="0" fontId="0" fillId="0" borderId="2" xfId="5" applyFont="1" applyBorder="1" applyAlignment="1">
      <alignment wrapText="1"/>
    </xf>
    <xf numFmtId="164" fontId="3" fillId="0" borderId="6" xfId="6" applyFont="1" applyFill="1" applyBorder="1"/>
    <xf numFmtId="0" fontId="3" fillId="0" borderId="2" xfId="7" applyFont="1" applyFill="1" applyBorder="1" applyAlignment="1">
      <alignment wrapText="1"/>
    </xf>
    <xf numFmtId="0" fontId="8" fillId="0" borderId="2" xfId="5" applyBorder="1"/>
    <xf numFmtId="164" fontId="3" fillId="0" borderId="6" xfId="6" applyNumberFormat="1" applyFont="1" applyFill="1" applyBorder="1" applyAlignment="1"/>
    <xf numFmtId="0" fontId="3" fillId="0" borderId="15" xfId="7" applyFont="1" applyFill="1" applyBorder="1" applyAlignment="1">
      <alignment wrapText="1"/>
    </xf>
    <xf numFmtId="0" fontId="0" fillId="0" borderId="6" xfId="5" applyFont="1" applyBorder="1" applyAlignment="1">
      <alignment wrapText="1"/>
    </xf>
    <xf numFmtId="0" fontId="3" fillId="0" borderId="6" xfId="7" applyFont="1" applyFill="1" applyBorder="1" applyAlignment="1">
      <alignment wrapText="1"/>
    </xf>
    <xf numFmtId="164" fontId="3" fillId="0" borderId="16" xfId="6" applyFont="1" applyFill="1" applyBorder="1"/>
    <xf numFmtId="37" fontId="14" fillId="0" borderId="12" xfId="0" applyNumberFormat="1" applyFont="1" applyBorder="1" applyAlignment="1">
      <alignment horizontal="right"/>
    </xf>
    <xf numFmtId="0" fontId="0" fillId="0" borderId="2" xfId="0" applyBorder="1" applyAlignment="1"/>
    <xf numFmtId="0" fontId="14" fillId="0" borderId="2" xfId="0" applyFont="1" applyBorder="1"/>
    <xf numFmtId="179" fontId="14" fillId="0" borderId="2" xfId="12" applyNumberFormat="1" applyFont="1" applyBorder="1" applyAlignment="1" applyProtection="1"/>
    <xf numFmtId="0" fontId="14" fillId="0" borderId="2" xfId="0" applyFont="1" applyBorder="1" applyAlignment="1"/>
    <xf numFmtId="180" fontId="14" fillId="0" borderId="2" xfId="12" applyNumberFormat="1" applyFont="1" applyBorder="1" applyAlignment="1" applyProtection="1"/>
    <xf numFmtId="11" fontId="14" fillId="0" borderId="2" xfId="0" applyNumberFormat="1" applyFont="1" applyBorder="1" applyAlignment="1"/>
    <xf numFmtId="183" fontId="14" fillId="0" borderId="2" xfId="12" applyNumberFormat="1" applyFont="1" applyBorder="1" applyAlignment="1" applyProtection="1"/>
    <xf numFmtId="2" fontId="14" fillId="0" borderId="2" xfId="12" applyNumberFormat="1" applyFont="1" applyBorder="1" applyAlignment="1" applyProtection="1"/>
    <xf numFmtId="186" fontId="14" fillId="0" borderId="2" xfId="12" applyNumberFormat="1" applyFont="1" applyBorder="1" applyAlignment="1" applyProtection="1"/>
    <xf numFmtId="43" fontId="14" fillId="0" borderId="2" xfId="0" applyNumberFormat="1" applyFont="1" applyBorder="1" applyAlignment="1"/>
    <xf numFmtId="164" fontId="3" fillId="0" borderId="2" xfId="6" applyNumberFormat="1" applyFont="1" applyFill="1" applyBorder="1" applyAlignment="1"/>
    <xf numFmtId="189" fontId="1" fillId="0" borderId="9" xfId="1" applyNumberFormat="1" applyFont="1" applyBorder="1"/>
    <xf numFmtId="179" fontId="14" fillId="0" borderId="0" xfId="12" applyNumberFormat="1" applyFont="1" applyBorder="1" applyAlignment="1" applyProtection="1"/>
    <xf numFmtId="0" fontId="13" fillId="6" borderId="17" xfId="0" applyFont="1" applyFill="1" applyBorder="1"/>
    <xf numFmtId="0" fontId="13" fillId="6" borderId="14" xfId="0" applyFont="1" applyFill="1" applyBorder="1"/>
    <xf numFmtId="11" fontId="14" fillId="0" borderId="2" xfId="0" applyNumberFormat="1" applyFont="1" applyBorder="1"/>
    <xf numFmtId="181" fontId="14" fillId="0" borderId="2" xfId="12" applyNumberFormat="1" applyFont="1" applyBorder="1" applyAlignment="1" applyProtection="1"/>
    <xf numFmtId="0" fontId="4" fillId="0" borderId="0" xfId="2" applyNumberFormat="1" applyBorder="1" applyAlignment="1" applyProtection="1"/>
    <xf numFmtId="186" fontId="14" fillId="0" borderId="9" xfId="12" applyNumberFormat="1" applyFont="1" applyBorder="1" applyAlignment="1" applyProtection="1"/>
    <xf numFmtId="1" fontId="3" fillId="0" borderId="2" xfId="5" applyNumberFormat="1" applyFont="1" applyFill="1" applyBorder="1"/>
    <xf numFmtId="0" fontId="4" fillId="4" borderId="2" xfId="2" applyFill="1" applyBorder="1"/>
    <xf numFmtId="0" fontId="3" fillId="0" borderId="0" xfId="7" applyFont="1" applyFill="1" applyBorder="1" applyAlignment="1">
      <alignment wrapText="1"/>
    </xf>
    <xf numFmtId="0" fontId="0" fillId="0" borderId="0" xfId="5" applyFont="1" applyBorder="1" applyAlignment="1">
      <alignment wrapText="1"/>
    </xf>
    <xf numFmtId="164" fontId="3" fillId="0" borderId="0" xfId="6" applyFont="1" applyFill="1" applyBorder="1"/>
    <xf numFmtId="0" fontId="8" fillId="0" borderId="0" xfId="5" applyBorder="1"/>
    <xf numFmtId="164" fontId="3" fillId="0" borderId="0" xfId="6" applyNumberFormat="1" applyFont="1" applyFill="1" applyBorder="1" applyAlignment="1"/>
    <xf numFmtId="0" fontId="7" fillId="0" borderId="0" xfId="0" applyFont="1" applyAlignment="1">
      <alignment wrapText="1"/>
    </xf>
    <xf numFmtId="11" fontId="14" fillId="0" borderId="9" xfId="12" applyNumberFormat="1" applyFont="1" applyBorder="1" applyAlignment="1" applyProtection="1"/>
  </cellXfs>
  <cellStyles count="13">
    <cellStyle name="Cost_Red" xfId="10"/>
    <cellStyle name="Cost_Yellow" xfId="9"/>
    <cellStyle name="Lien hypertexte" xfId="2" builtinId="8"/>
    <cellStyle name="Milliers 2" xfId="4"/>
    <cellStyle name="Monétaire" xfId="1" builtinId="4"/>
    <cellStyle name="Monétaire 10" xfId="3"/>
    <cellStyle name="Monétaire 2" xfId="6"/>
    <cellStyle name="Neutre" xfId="8" builtinId="28"/>
    <cellStyle name="Normal" xfId="0" builtinId="0"/>
    <cellStyle name="Normal 4" xfId="5"/>
    <cellStyle name="Normal_Sheet1" xfId="7"/>
    <cellStyle name="Style 1" xfId="11"/>
    <cellStyle name="TableStyleLight1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25961</xdr:colOff>
      <xdr:row>12</xdr:row>
      <xdr:rowOff>167641</xdr:rowOff>
    </xdr:from>
    <xdr:to>
      <xdr:col>13</xdr:col>
      <xdr:colOff>109543</xdr:colOff>
      <xdr:row>22</xdr:row>
      <xdr:rowOff>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7961" y="2910841"/>
          <a:ext cx="1912382" cy="23926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756384</xdr:colOff>
      <xdr:row>14</xdr:row>
      <xdr:rowOff>114300</xdr:rowOff>
    </xdr:from>
    <xdr:to>
      <xdr:col>13</xdr:col>
      <xdr:colOff>449979</xdr:colOff>
      <xdr:row>24</xdr:row>
      <xdr:rowOff>167954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40164" y="2491740"/>
          <a:ext cx="2863515" cy="22482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10</xdr:col>
      <xdr:colOff>692812</xdr:colOff>
      <xdr:row>34</xdr:row>
      <xdr:rowOff>92017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13360"/>
          <a:ext cx="8617612" cy="609657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607264</xdr:colOff>
      <xdr:row>13</xdr:row>
      <xdr:rowOff>160020</xdr:rowOff>
    </xdr:from>
    <xdr:to>
      <xdr:col>13</xdr:col>
      <xdr:colOff>107067</xdr:colOff>
      <xdr:row>23</xdr:row>
      <xdr:rowOff>38428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81744" y="2720340"/>
          <a:ext cx="2669723" cy="22558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9</xdr:col>
      <xdr:colOff>625221</xdr:colOff>
      <xdr:row>31</xdr:row>
      <xdr:rowOff>576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205740"/>
          <a:ext cx="7757541" cy="546411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12</xdr:row>
      <xdr:rowOff>107450</xdr:rowOff>
    </xdr:from>
    <xdr:to>
      <xdr:col>13</xdr:col>
      <xdr:colOff>312420</xdr:colOff>
      <xdr:row>20</xdr:row>
      <xdr:rowOff>152245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22180" y="2302010"/>
          <a:ext cx="2834640" cy="260511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12</xdr:row>
      <xdr:rowOff>129540</xdr:rowOff>
    </xdr:from>
    <xdr:to>
      <xdr:col>13</xdr:col>
      <xdr:colOff>636033</xdr:colOff>
      <xdr:row>20</xdr:row>
      <xdr:rowOff>15492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195560" y="2324100"/>
          <a:ext cx="3485913" cy="153187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548640</xdr:colOff>
      <xdr:row>13</xdr:row>
      <xdr:rowOff>161038</xdr:rowOff>
    </xdr:from>
    <xdr:to>
      <xdr:col>13</xdr:col>
      <xdr:colOff>267150</xdr:colOff>
      <xdr:row>20</xdr:row>
      <xdr:rowOff>160305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27720" y="2538478"/>
          <a:ext cx="2888430" cy="182806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7619</xdr:rowOff>
    </xdr:from>
    <xdr:to>
      <xdr:col>9</xdr:col>
      <xdr:colOff>259080</xdr:colOff>
      <xdr:row>29</xdr:row>
      <xdr:rowOff>114312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499"/>
          <a:ext cx="7391400" cy="5227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533872</xdr:colOff>
      <xdr:row>12</xdr:row>
      <xdr:rowOff>91440</xdr:rowOff>
    </xdr:from>
    <xdr:to>
      <xdr:col>13</xdr:col>
      <xdr:colOff>76530</xdr:colOff>
      <xdr:row>21</xdr:row>
      <xdr:rowOff>84108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632" y="2286000"/>
          <a:ext cx="2712578" cy="237010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358140</xdr:colOff>
      <xdr:row>26</xdr:row>
      <xdr:rowOff>157262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6697980" cy="47292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144779</xdr:colOff>
      <xdr:row>14</xdr:row>
      <xdr:rowOff>175259</xdr:rowOff>
    </xdr:from>
    <xdr:to>
      <xdr:col>14</xdr:col>
      <xdr:colOff>66326</xdr:colOff>
      <xdr:row>20</xdr:row>
      <xdr:rowOff>267140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04759" y="3101339"/>
          <a:ext cx="2969547" cy="210356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671298</xdr:colOff>
      <xdr:row>13</xdr:row>
      <xdr:rowOff>175260</xdr:rowOff>
    </xdr:from>
    <xdr:to>
      <xdr:col>12</xdr:col>
      <xdr:colOff>266700</xdr:colOff>
      <xdr:row>24</xdr:row>
      <xdr:rowOff>106926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45778" y="2918460"/>
          <a:ext cx="1972842" cy="2126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449580</xdr:colOff>
      <xdr:row>13</xdr:row>
      <xdr:rowOff>59098</xdr:rowOff>
    </xdr:from>
    <xdr:to>
      <xdr:col>13</xdr:col>
      <xdr:colOff>602407</xdr:colOff>
      <xdr:row>21</xdr:row>
      <xdr:rowOff>46047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1160" y="2436538"/>
          <a:ext cx="3322747" cy="25472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117612</xdr:colOff>
      <xdr:row>14</xdr:row>
      <xdr:rowOff>38101</xdr:rowOff>
    </xdr:from>
    <xdr:to>
      <xdr:col>13</xdr:col>
      <xdr:colOff>251460</xdr:colOff>
      <xdr:row>21</xdr:row>
      <xdr:rowOff>108184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66412" y="2598421"/>
          <a:ext cx="2511288" cy="2264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563696</xdr:colOff>
      <xdr:row>13</xdr:row>
      <xdr:rowOff>144779</xdr:rowOff>
    </xdr:from>
    <xdr:to>
      <xdr:col>12</xdr:col>
      <xdr:colOff>716279</xdr:colOff>
      <xdr:row>24</xdr:row>
      <xdr:rowOff>20650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00916" y="2705099"/>
          <a:ext cx="2530023" cy="2619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269978</xdr:colOff>
      <xdr:row>13</xdr:row>
      <xdr:rowOff>144780</xdr:rowOff>
    </xdr:from>
    <xdr:to>
      <xdr:col>13</xdr:col>
      <xdr:colOff>678180</xdr:colOff>
      <xdr:row>23</xdr:row>
      <xdr:rowOff>158226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02298" y="2705100"/>
          <a:ext cx="3578122" cy="23908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480060</xdr:colOff>
      <xdr:row>12</xdr:row>
      <xdr:rowOff>106681</xdr:rowOff>
    </xdr:from>
    <xdr:to>
      <xdr:col>13</xdr:col>
      <xdr:colOff>311941</xdr:colOff>
      <xdr:row>27</xdr:row>
      <xdr:rowOff>106681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12680" y="2301241"/>
          <a:ext cx="3001801" cy="2743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708660</xdr:colOff>
      <xdr:row>13</xdr:row>
      <xdr:rowOff>68581</xdr:rowOff>
    </xdr:from>
    <xdr:to>
      <xdr:col>12</xdr:col>
      <xdr:colOff>304799</xdr:colOff>
      <xdr:row>20</xdr:row>
      <xdr:rowOff>41293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40980" y="2446021"/>
          <a:ext cx="1973579" cy="216727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671374</xdr:colOff>
      <xdr:row>37</xdr:row>
      <xdr:rowOff>61536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82880"/>
          <a:ext cx="9388654" cy="6645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66"/>
  <sheetViews>
    <sheetView zoomScaleNormal="100" workbookViewId="0">
      <selection activeCell="E37" sqref="E37"/>
    </sheetView>
  </sheetViews>
  <sheetFormatPr baseColWidth="10" defaultColWidth="8.88671875" defaultRowHeight="14.4" x14ac:dyDescent="0.3"/>
  <cols>
    <col min="1" max="1" width="9.6640625" bestFit="1" customWidth="1"/>
    <col min="2" max="2" width="26.88671875" bestFit="1" customWidth="1"/>
    <col min="3" max="3" width="43.77734375" bestFit="1" customWidth="1"/>
    <col min="4" max="4" width="11.6640625" bestFit="1" customWidth="1"/>
    <col min="5" max="5" width="8.88671875" bestFit="1" customWidth="1"/>
    <col min="10" max="10" width="10.88671875" bestFit="1" customWidth="1"/>
  </cols>
  <sheetData>
    <row r="1" spans="1:14" x14ac:dyDescent="0.3">
      <c r="A1" s="79" t="s">
        <v>0</v>
      </c>
      <c r="B1" s="1" t="s">
        <v>1</v>
      </c>
      <c r="C1" s="1"/>
      <c r="D1" s="2" t="s">
        <v>2</v>
      </c>
      <c r="E1" s="1"/>
      <c r="F1" s="1"/>
      <c r="G1" s="1"/>
      <c r="H1" s="1"/>
      <c r="I1" s="1"/>
      <c r="J1" s="79" t="s">
        <v>3</v>
      </c>
      <c r="K1" s="3">
        <v>81</v>
      </c>
      <c r="L1" s="1"/>
      <c r="M1" s="79" t="s">
        <v>4</v>
      </c>
      <c r="N1" s="4">
        <f>E20+N26+I49+J61+I66</f>
        <v>72.888971689054685</v>
      </c>
    </row>
    <row r="2" spans="1:14" x14ac:dyDescent="0.3">
      <c r="A2" s="79" t="s">
        <v>5</v>
      </c>
      <c r="B2" s="1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79" t="s">
        <v>7</v>
      </c>
      <c r="N2" s="5">
        <v>1</v>
      </c>
    </row>
    <row r="3" spans="1:14" x14ac:dyDescent="0.3">
      <c r="A3" s="79" t="s">
        <v>8</v>
      </c>
      <c r="B3" s="1" t="s">
        <v>9</v>
      </c>
      <c r="C3" s="1"/>
      <c r="D3" s="1"/>
      <c r="E3" s="1"/>
      <c r="F3" s="1"/>
      <c r="G3" s="1"/>
      <c r="H3" s="1"/>
      <c r="I3" s="1"/>
      <c r="J3" s="79" t="s">
        <v>10</v>
      </c>
      <c r="K3" s="1"/>
      <c r="L3" s="1"/>
      <c r="M3" s="1"/>
      <c r="N3" s="1"/>
    </row>
    <row r="4" spans="1:14" x14ac:dyDescent="0.3">
      <c r="A4" s="79" t="s">
        <v>11</v>
      </c>
      <c r="B4" s="6" t="s">
        <v>181</v>
      </c>
      <c r="C4" s="1"/>
      <c r="D4" s="1"/>
      <c r="E4" s="1"/>
      <c r="F4" s="1"/>
      <c r="G4" s="1"/>
      <c r="H4" s="1"/>
      <c r="I4" s="1"/>
      <c r="J4" s="79" t="s">
        <v>12</v>
      </c>
      <c r="K4" s="1"/>
      <c r="L4" s="1"/>
      <c r="M4" s="79" t="s">
        <v>13</v>
      </c>
      <c r="N4" s="4">
        <f>N1*N2</f>
        <v>72.888971689054685</v>
      </c>
    </row>
    <row r="5" spans="1:14" x14ac:dyDescent="0.3">
      <c r="A5" s="79" t="s">
        <v>14</v>
      </c>
      <c r="B5" s="1" t="s">
        <v>15</v>
      </c>
      <c r="C5" s="1"/>
      <c r="D5" s="1"/>
      <c r="E5" s="1"/>
      <c r="F5" s="1"/>
      <c r="G5" s="1"/>
      <c r="H5" s="1"/>
      <c r="I5" s="1"/>
      <c r="J5" s="79" t="s">
        <v>16</v>
      </c>
      <c r="K5" s="1"/>
      <c r="L5" s="1"/>
      <c r="M5" s="1"/>
      <c r="N5" s="1"/>
    </row>
    <row r="6" spans="1:14" x14ac:dyDescent="0.3">
      <c r="A6" s="79" t="s">
        <v>17</v>
      </c>
      <c r="B6" s="1" t="s">
        <v>18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80" t="s">
        <v>19</v>
      </c>
      <c r="B8" s="80" t="s">
        <v>20</v>
      </c>
      <c r="C8" s="80" t="s">
        <v>21</v>
      </c>
      <c r="D8" s="80" t="s">
        <v>22</v>
      </c>
      <c r="E8" s="80" t="s">
        <v>23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7">
        <v>10</v>
      </c>
      <c r="B9" s="97" t="s">
        <v>26</v>
      </c>
      <c r="C9" s="8">
        <f>'ST 01001'!N5</f>
        <v>7.5644642915000002</v>
      </c>
      <c r="D9" s="9">
        <v>1</v>
      </c>
      <c r="E9" s="98">
        <f>C9*D9</f>
        <v>7.5644642915000002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7">
        <v>20</v>
      </c>
      <c r="B10" s="97" t="s">
        <v>24</v>
      </c>
      <c r="C10" s="8">
        <f>'ST 01002'!N5</f>
        <v>6.0399419045000009</v>
      </c>
      <c r="D10" s="9">
        <v>1</v>
      </c>
      <c r="E10" s="98">
        <f>C10*D10</f>
        <v>6.0399419045000009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7">
        <v>30</v>
      </c>
      <c r="B11" s="97" t="s">
        <v>81</v>
      </c>
      <c r="C11" s="8">
        <f>'ST 01003'!N5</f>
        <v>2.5686556</v>
      </c>
      <c r="D11" s="9">
        <f>'ST 01003'!N3</f>
        <v>1</v>
      </c>
      <c r="E11" s="98">
        <f>C11*D11</f>
        <v>2.5686556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7">
        <v>40</v>
      </c>
      <c r="B12" s="97" t="s">
        <v>76</v>
      </c>
      <c r="C12" s="8">
        <f>'ST 01004'!N5</f>
        <v>6.2552780440000006</v>
      </c>
      <c r="D12" s="9">
        <v>1</v>
      </c>
      <c r="E12" s="98">
        <f>D12*C12</f>
        <v>6.2552780440000006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>
        <v>50</v>
      </c>
      <c r="B13" s="97" t="s">
        <v>91</v>
      </c>
      <c r="C13" s="8">
        <f>'ST 01005'!N2</f>
        <v>2.7209665165222403</v>
      </c>
      <c r="D13" s="9">
        <f>'ST 01005'!N3</f>
        <v>2</v>
      </c>
      <c r="E13" s="98">
        <f>C13*D13</f>
        <v>5.4419330330444806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7">
        <v>60</v>
      </c>
      <c r="B14" s="97" t="s">
        <v>98</v>
      </c>
      <c r="C14" s="8">
        <f>'ST 01006'!N2</f>
        <v>3.2984030312217603</v>
      </c>
      <c r="D14" s="9">
        <f>'ST 01006'!N3</f>
        <v>2</v>
      </c>
      <c r="E14" s="98">
        <f>C14*D14</f>
        <v>6.5968060624435205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7">
        <v>70</v>
      </c>
      <c r="B15" s="97" t="s">
        <v>111</v>
      </c>
      <c r="C15" s="8">
        <f>'ST 01007'!N5</f>
        <v>0</v>
      </c>
      <c r="D15" s="9">
        <v>1</v>
      </c>
      <c r="E15" s="98">
        <f>C15*D15</f>
        <v>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7">
        <v>80</v>
      </c>
      <c r="B16" s="97" t="s">
        <v>115</v>
      </c>
      <c r="C16" s="8">
        <f>'ST 01008'!N2</f>
        <v>1.978274656</v>
      </c>
      <c r="D16" s="9">
        <v>4</v>
      </c>
      <c r="E16" s="98">
        <f t="shared" ref="E16:E19" si="0">C16*D16</f>
        <v>7.9130986239999999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7">
        <v>90</v>
      </c>
      <c r="B17" s="97" t="s">
        <v>116</v>
      </c>
      <c r="C17" s="8">
        <f>'ST 01009'!N2</f>
        <v>1.5974687499999998</v>
      </c>
      <c r="D17" s="9">
        <v>2</v>
      </c>
      <c r="E17" s="98">
        <f t="shared" si="0"/>
        <v>3.1949374999999995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7">
        <v>100</v>
      </c>
      <c r="B18" s="97" t="s">
        <v>160</v>
      </c>
      <c r="C18" s="8">
        <f>'ST 01010'!N2</f>
        <v>0</v>
      </c>
      <c r="D18" s="9">
        <v>1</v>
      </c>
      <c r="E18" s="98">
        <f t="shared" si="0"/>
        <v>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7">
        <v>110</v>
      </c>
      <c r="B19" s="97" t="s">
        <v>161</v>
      </c>
      <c r="C19" s="8">
        <f>'ST 01011'!N2</f>
        <v>0.39403149999999998</v>
      </c>
      <c r="D19" s="9">
        <v>4</v>
      </c>
      <c r="E19" s="98">
        <f t="shared" si="0"/>
        <v>1.5761259999999999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81" t="s">
        <v>23</v>
      </c>
      <c r="E20" s="82">
        <f>SUM(E9:E14)</f>
        <v>34.467078935488004</v>
      </c>
      <c r="F20" s="1"/>
      <c r="G20" s="1"/>
      <c r="H20" s="1"/>
      <c r="I20" s="1"/>
      <c r="J20" s="1"/>
      <c r="K20" s="1"/>
      <c r="L20" s="1"/>
      <c r="M20" s="1"/>
      <c r="N20" s="1"/>
    </row>
    <row r="23" spans="1:14" x14ac:dyDescent="0.3">
      <c r="A23" s="83" t="s">
        <v>19</v>
      </c>
      <c r="B23" s="83" t="s">
        <v>29</v>
      </c>
      <c r="C23" s="83" t="s">
        <v>30</v>
      </c>
      <c r="D23" s="83" t="s">
        <v>31</v>
      </c>
      <c r="E23" s="83" t="s">
        <v>32</v>
      </c>
      <c r="F23" s="83" t="s">
        <v>33</v>
      </c>
      <c r="G23" s="83" t="s">
        <v>34</v>
      </c>
      <c r="H23" s="83" t="s">
        <v>35</v>
      </c>
      <c r="I23" s="83" t="s">
        <v>36</v>
      </c>
      <c r="J23" s="83" t="s">
        <v>37</v>
      </c>
      <c r="K23" s="83" t="s">
        <v>38</v>
      </c>
      <c r="L23" s="83" t="s">
        <v>39</v>
      </c>
      <c r="M23" s="83" t="s">
        <v>22</v>
      </c>
      <c r="N23" s="83" t="s">
        <v>23</v>
      </c>
    </row>
    <row r="24" spans="1:14" ht="57.6" x14ac:dyDescent="0.3">
      <c r="A24" s="7">
        <v>10</v>
      </c>
      <c r="B24" s="7" t="s">
        <v>89</v>
      </c>
      <c r="C24" s="7" t="s">
        <v>90</v>
      </c>
      <c r="D24" s="99">
        <f xml:space="preserve"> 0.0045*E24*G24+3.6</f>
        <v>5.5125000000000002</v>
      </c>
      <c r="E24" s="7">
        <v>17</v>
      </c>
      <c r="F24" s="7" t="s">
        <v>64</v>
      </c>
      <c r="G24" s="7">
        <v>25</v>
      </c>
      <c r="H24" s="20" t="s">
        <v>64</v>
      </c>
      <c r="I24" s="40"/>
      <c r="J24" s="9"/>
      <c r="K24" s="20"/>
      <c r="L24" s="20"/>
      <c r="M24" s="9">
        <v>2</v>
      </c>
      <c r="N24" s="24">
        <f>M24*D24</f>
        <v>11.025</v>
      </c>
    </row>
    <row r="25" spans="1:14" x14ac:dyDescent="0.3">
      <c r="A25" s="7">
        <v>20</v>
      </c>
      <c r="B25" s="7" t="s">
        <v>89</v>
      </c>
      <c r="C25" s="7" t="s">
        <v>143</v>
      </c>
      <c r="D25" s="99">
        <f xml:space="preserve"> 0.0045*E25*G25+3.6</f>
        <v>4.2885</v>
      </c>
      <c r="E25" s="7">
        <v>17</v>
      </c>
      <c r="F25" s="7" t="s">
        <v>64</v>
      </c>
      <c r="G25" s="7">
        <v>9</v>
      </c>
      <c r="H25" s="20" t="s">
        <v>64</v>
      </c>
      <c r="I25" s="40"/>
      <c r="J25" s="9"/>
      <c r="K25" s="20"/>
      <c r="L25" s="20"/>
      <c r="M25" s="23">
        <v>2</v>
      </c>
      <c r="N25" s="24">
        <f>M25*D25</f>
        <v>8.577</v>
      </c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81" t="s">
        <v>23</v>
      </c>
      <c r="N26" s="82">
        <f>SUM(N24:N25)</f>
        <v>19.602</v>
      </c>
    </row>
    <row r="28" spans="1:14" x14ac:dyDescent="0.3">
      <c r="A28" s="80" t="s">
        <v>19</v>
      </c>
      <c r="B28" s="80" t="s">
        <v>43</v>
      </c>
      <c r="C28" s="80" t="s">
        <v>30</v>
      </c>
      <c r="D28" s="80" t="s">
        <v>31</v>
      </c>
      <c r="E28" s="80" t="s">
        <v>44</v>
      </c>
      <c r="F28" s="80" t="s">
        <v>22</v>
      </c>
      <c r="G28" s="80" t="s">
        <v>45</v>
      </c>
      <c r="H28" s="80" t="s">
        <v>46</v>
      </c>
      <c r="I28" s="80" t="s">
        <v>23</v>
      </c>
    </row>
    <row r="29" spans="1:14" ht="28.8" x14ac:dyDescent="0.3">
      <c r="A29" s="7">
        <v>10</v>
      </c>
      <c r="B29" s="44" t="s">
        <v>132</v>
      </c>
      <c r="C29" s="41" t="s">
        <v>133</v>
      </c>
      <c r="D29" s="8">
        <v>0.15</v>
      </c>
      <c r="E29" s="7" t="s">
        <v>50</v>
      </c>
      <c r="F29" s="7">
        <f>(5.5+ 0.8*2 + 0.8*2+ 0.77*2)*2</f>
        <v>20.479999999999997</v>
      </c>
      <c r="G29" s="7"/>
      <c r="H29" s="7"/>
      <c r="I29" s="8">
        <f>D29*F29</f>
        <v>3.0719999999999996</v>
      </c>
    </row>
    <row r="30" spans="1:14" x14ac:dyDescent="0.3">
      <c r="A30" s="7">
        <v>20</v>
      </c>
      <c r="B30" s="94" t="s">
        <v>141</v>
      </c>
      <c r="C30" s="41" t="s">
        <v>142</v>
      </c>
      <c r="D30" s="95">
        <v>6.25E-2</v>
      </c>
      <c r="E30" s="94" t="s">
        <v>137</v>
      </c>
      <c r="F30" s="7">
        <v>1</v>
      </c>
      <c r="G30" s="7"/>
      <c r="H30" s="7"/>
      <c r="I30" s="8">
        <f>D30*F30</f>
        <v>6.25E-2</v>
      </c>
    </row>
    <row r="31" spans="1:14" x14ac:dyDescent="0.3">
      <c r="A31" s="7">
        <v>30</v>
      </c>
      <c r="B31" s="94" t="s">
        <v>141</v>
      </c>
      <c r="C31" s="41" t="s">
        <v>144</v>
      </c>
      <c r="D31" s="95">
        <v>6.25E-2</v>
      </c>
      <c r="E31" s="94" t="s">
        <v>137</v>
      </c>
      <c r="F31" s="7">
        <v>2</v>
      </c>
      <c r="G31" s="7"/>
      <c r="H31" s="7"/>
      <c r="I31" s="8">
        <f>D31*F31</f>
        <v>0.125</v>
      </c>
    </row>
    <row r="32" spans="1:14" x14ac:dyDescent="0.3">
      <c r="A32" s="7">
        <v>40</v>
      </c>
      <c r="B32" s="94" t="s">
        <v>141</v>
      </c>
      <c r="C32" s="41" t="s">
        <v>145</v>
      </c>
      <c r="D32" s="95">
        <v>6.25E-2</v>
      </c>
      <c r="E32" s="94" t="s">
        <v>137</v>
      </c>
      <c r="F32" s="7">
        <v>1</v>
      </c>
      <c r="G32" s="7"/>
      <c r="H32" s="7"/>
      <c r="I32" s="8">
        <f>D32*F32</f>
        <v>6.25E-2</v>
      </c>
    </row>
    <row r="33" spans="1:9" x14ac:dyDescent="0.3">
      <c r="A33" s="7">
        <v>50</v>
      </c>
      <c r="B33" s="94" t="s">
        <v>141</v>
      </c>
      <c r="C33" s="41" t="s">
        <v>146</v>
      </c>
      <c r="D33" s="95">
        <v>6.25E-2</v>
      </c>
      <c r="E33" s="94" t="s">
        <v>137</v>
      </c>
      <c r="F33" s="7">
        <v>1</v>
      </c>
      <c r="G33" s="7"/>
      <c r="H33" s="7"/>
      <c r="I33" s="8">
        <f>D33*F33</f>
        <v>6.25E-2</v>
      </c>
    </row>
    <row r="34" spans="1:9" x14ac:dyDescent="0.3">
      <c r="A34" s="7">
        <v>60</v>
      </c>
      <c r="B34" s="94" t="s">
        <v>141</v>
      </c>
      <c r="C34" s="41" t="s">
        <v>147</v>
      </c>
      <c r="D34" s="95">
        <v>6.25E-2</v>
      </c>
      <c r="E34" s="94" t="s">
        <v>137</v>
      </c>
      <c r="F34" s="7">
        <v>1</v>
      </c>
      <c r="G34" s="7"/>
      <c r="H34" s="7"/>
      <c r="I34" s="8">
        <f>D34*F34</f>
        <v>6.25E-2</v>
      </c>
    </row>
    <row r="35" spans="1:9" x14ac:dyDescent="0.3">
      <c r="A35" s="7">
        <v>70</v>
      </c>
      <c r="B35" s="94" t="s">
        <v>150</v>
      </c>
      <c r="C35" s="41" t="s">
        <v>151</v>
      </c>
      <c r="D35" s="8">
        <v>0.5</v>
      </c>
      <c r="E35" s="94" t="s">
        <v>137</v>
      </c>
      <c r="F35" s="7">
        <v>4</v>
      </c>
      <c r="G35" s="46"/>
      <c r="H35" s="46"/>
      <c r="I35" s="8">
        <f>D35*F35</f>
        <v>2</v>
      </c>
    </row>
    <row r="36" spans="1:9" x14ac:dyDescent="0.3">
      <c r="A36" s="7">
        <v>80</v>
      </c>
      <c r="B36" s="94" t="s">
        <v>153</v>
      </c>
      <c r="C36" s="41" t="s">
        <v>152</v>
      </c>
      <c r="D36" s="8">
        <v>0.75</v>
      </c>
      <c r="E36" s="94" t="s">
        <v>137</v>
      </c>
      <c r="F36" s="7">
        <v>1</v>
      </c>
      <c r="G36" s="46"/>
      <c r="H36" s="46"/>
      <c r="I36" s="8">
        <f>D36*F36</f>
        <v>0.75</v>
      </c>
    </row>
    <row r="37" spans="1:9" x14ac:dyDescent="0.3">
      <c r="A37" s="7">
        <v>90</v>
      </c>
      <c r="B37" s="94" t="s">
        <v>155</v>
      </c>
      <c r="C37" s="41" t="s">
        <v>156</v>
      </c>
      <c r="D37" s="8">
        <v>0.1</v>
      </c>
      <c r="E37" s="94" t="s">
        <v>137</v>
      </c>
      <c r="F37" s="7">
        <v>6</v>
      </c>
      <c r="G37" s="46"/>
      <c r="H37" s="46"/>
      <c r="I37" s="8">
        <f>D37*F37</f>
        <v>0.60000000000000009</v>
      </c>
    </row>
    <row r="38" spans="1:9" x14ac:dyDescent="0.3">
      <c r="A38" s="7">
        <v>100</v>
      </c>
      <c r="B38" s="94" t="s">
        <v>157</v>
      </c>
      <c r="C38" s="41" t="s">
        <v>156</v>
      </c>
      <c r="D38" s="96">
        <v>0.02</v>
      </c>
      <c r="E38" s="94" t="s">
        <v>158</v>
      </c>
      <c r="F38" s="7">
        <v>8</v>
      </c>
      <c r="G38" s="46"/>
      <c r="H38" s="46"/>
      <c r="I38" s="8">
        <f>D38*F38</f>
        <v>0.16</v>
      </c>
    </row>
    <row r="39" spans="1:9" x14ac:dyDescent="0.3">
      <c r="A39" s="7">
        <v>110</v>
      </c>
      <c r="B39" s="94" t="s">
        <v>141</v>
      </c>
      <c r="C39" s="41" t="s">
        <v>179</v>
      </c>
      <c r="D39" s="95">
        <v>6.25E-2</v>
      </c>
      <c r="E39" s="94" t="s">
        <v>137</v>
      </c>
      <c r="F39" s="7">
        <v>1</v>
      </c>
      <c r="G39" s="7"/>
      <c r="H39" s="7"/>
      <c r="I39" s="8">
        <f>D39*F39</f>
        <v>6.25E-2</v>
      </c>
    </row>
    <row r="40" spans="1:9" x14ac:dyDescent="0.3">
      <c r="A40" s="7">
        <v>120</v>
      </c>
      <c r="B40" s="94" t="s">
        <v>141</v>
      </c>
      <c r="C40" s="41" t="s">
        <v>165</v>
      </c>
      <c r="D40" s="95">
        <v>6.25E-2</v>
      </c>
      <c r="E40" s="94" t="s">
        <v>137</v>
      </c>
      <c r="F40" s="7">
        <v>2</v>
      </c>
      <c r="G40" s="46"/>
      <c r="H40" s="46"/>
      <c r="I40" s="8">
        <f>D40*F40</f>
        <v>0.125</v>
      </c>
    </row>
    <row r="41" spans="1:9" x14ac:dyDescent="0.3">
      <c r="A41" s="7">
        <v>130</v>
      </c>
      <c r="B41" s="94" t="s">
        <v>167</v>
      </c>
      <c r="C41" s="41" t="s">
        <v>166</v>
      </c>
      <c r="D41" s="8">
        <v>1.5</v>
      </c>
      <c r="E41" s="94" t="s">
        <v>137</v>
      </c>
      <c r="F41" s="7">
        <v>2</v>
      </c>
      <c r="G41" s="46"/>
      <c r="H41" s="46"/>
      <c r="I41" s="8">
        <f>D41*F41</f>
        <v>3</v>
      </c>
    </row>
    <row r="42" spans="1:9" x14ac:dyDescent="0.3">
      <c r="A42" s="7">
        <v>140</v>
      </c>
      <c r="B42" s="94" t="s">
        <v>141</v>
      </c>
      <c r="C42" s="41" t="s">
        <v>168</v>
      </c>
      <c r="D42" s="95">
        <v>6.25E-2</v>
      </c>
      <c r="E42" s="94" t="s">
        <v>137</v>
      </c>
      <c r="F42" s="7">
        <v>4</v>
      </c>
      <c r="G42" s="46"/>
      <c r="H42" s="46"/>
      <c r="I42" s="8">
        <f>D42*F42</f>
        <v>0.25</v>
      </c>
    </row>
    <row r="43" spans="1:9" x14ac:dyDescent="0.3">
      <c r="A43" s="7">
        <v>150</v>
      </c>
      <c r="B43" s="44" t="s">
        <v>148</v>
      </c>
      <c r="C43" s="41" t="s">
        <v>170</v>
      </c>
      <c r="D43" s="8">
        <v>0.5</v>
      </c>
      <c r="E43" s="94" t="s">
        <v>137</v>
      </c>
      <c r="F43" s="7">
        <v>4</v>
      </c>
      <c r="G43" s="7"/>
      <c r="H43" s="7"/>
      <c r="I43" s="8">
        <f>D43*F43</f>
        <v>2</v>
      </c>
    </row>
    <row r="44" spans="1:9" x14ac:dyDescent="0.3">
      <c r="A44" s="7">
        <v>160</v>
      </c>
      <c r="B44" s="94" t="s">
        <v>149</v>
      </c>
      <c r="C44" s="41" t="s">
        <v>169</v>
      </c>
      <c r="D44" s="8">
        <v>0.25</v>
      </c>
      <c r="E44" s="94" t="s">
        <v>137</v>
      </c>
      <c r="F44" s="7">
        <v>4</v>
      </c>
      <c r="G44" s="7"/>
      <c r="H44" s="7"/>
      <c r="I44" s="8">
        <f>D44*F44</f>
        <v>1</v>
      </c>
    </row>
    <row r="45" spans="1:9" x14ac:dyDescent="0.3">
      <c r="A45" s="7">
        <v>170</v>
      </c>
      <c r="B45" s="44" t="s">
        <v>132</v>
      </c>
      <c r="C45" s="41" t="s">
        <v>171</v>
      </c>
      <c r="D45" s="8">
        <v>0.15</v>
      </c>
      <c r="E45" s="7" t="s">
        <v>50</v>
      </c>
      <c r="F45" s="46">
        <f>1.5*4</f>
        <v>6</v>
      </c>
      <c r="G45" s="46"/>
      <c r="H45" s="46"/>
      <c r="I45" s="8">
        <f>D45*F45</f>
        <v>0.89999999999999991</v>
      </c>
    </row>
    <row r="46" spans="1:9" x14ac:dyDescent="0.3">
      <c r="A46" s="7">
        <v>180</v>
      </c>
      <c r="B46" s="94" t="s">
        <v>141</v>
      </c>
      <c r="C46" s="41" t="s">
        <v>175</v>
      </c>
      <c r="D46" s="95">
        <v>6.25E-2</v>
      </c>
      <c r="E46" s="94" t="s">
        <v>137</v>
      </c>
      <c r="F46" s="7">
        <v>1</v>
      </c>
      <c r="G46" s="7"/>
      <c r="H46" s="7"/>
      <c r="I46" s="8">
        <f>D46*F46</f>
        <v>6.25E-2</v>
      </c>
    </row>
    <row r="47" spans="1:9" x14ac:dyDescent="0.3">
      <c r="A47" s="7">
        <v>190</v>
      </c>
      <c r="B47" s="44" t="s">
        <v>148</v>
      </c>
      <c r="C47" s="41" t="s">
        <v>177</v>
      </c>
      <c r="D47" s="8">
        <v>0.5</v>
      </c>
      <c r="E47" s="94" t="s">
        <v>137</v>
      </c>
      <c r="F47" s="7">
        <v>4</v>
      </c>
      <c r="G47" s="46"/>
      <c r="H47" s="46"/>
      <c r="I47" s="8">
        <f>D47*F47</f>
        <v>2</v>
      </c>
    </row>
    <row r="48" spans="1:9" x14ac:dyDescent="0.3">
      <c r="A48" s="7">
        <v>200</v>
      </c>
      <c r="B48" s="94" t="s">
        <v>149</v>
      </c>
      <c r="C48" s="41" t="s">
        <v>178</v>
      </c>
      <c r="D48" s="8">
        <v>0.25</v>
      </c>
      <c r="E48" s="94" t="s">
        <v>137</v>
      </c>
      <c r="F48" s="7">
        <v>4</v>
      </c>
      <c r="G48" s="7"/>
      <c r="H48" s="7"/>
      <c r="I48" s="8">
        <f>D48*F48</f>
        <v>1</v>
      </c>
    </row>
    <row r="49" spans="1:10" x14ac:dyDescent="0.3">
      <c r="A49" s="42"/>
      <c r="B49" s="42"/>
      <c r="C49" s="42"/>
      <c r="D49" s="42"/>
      <c r="E49" s="42"/>
      <c r="F49" s="42"/>
      <c r="G49" s="42"/>
      <c r="H49" s="81" t="s">
        <v>23</v>
      </c>
      <c r="I49" s="91">
        <f>SUM(I29:I48)</f>
        <v>17.356999999999999</v>
      </c>
    </row>
    <row r="51" spans="1:10" x14ac:dyDescent="0.3">
      <c r="A51" s="80" t="s">
        <v>19</v>
      </c>
      <c r="B51" s="80" t="s">
        <v>65</v>
      </c>
      <c r="C51" s="80" t="s">
        <v>30</v>
      </c>
      <c r="D51" s="80" t="s">
        <v>31</v>
      </c>
      <c r="E51" s="80" t="s">
        <v>32</v>
      </c>
      <c r="F51" s="80" t="s">
        <v>33</v>
      </c>
      <c r="G51" s="80" t="s">
        <v>34</v>
      </c>
      <c r="H51" s="80" t="s">
        <v>35</v>
      </c>
      <c r="I51" s="80" t="s">
        <v>22</v>
      </c>
      <c r="J51" s="80" t="s">
        <v>23</v>
      </c>
    </row>
    <row r="52" spans="1:10" x14ac:dyDescent="0.3">
      <c r="A52" s="7">
        <v>10</v>
      </c>
      <c r="B52" s="100" t="s">
        <v>139</v>
      </c>
      <c r="C52" s="7" t="s">
        <v>69</v>
      </c>
      <c r="D52" s="8">
        <f>0.8/105154*E52^2*G52*SQRT(G52)+(0.003*EXP(0.319*E52))</f>
        <v>1.7936900299868521E-2</v>
      </c>
      <c r="E52" s="7">
        <v>5</v>
      </c>
      <c r="F52" s="43" t="s">
        <v>64</v>
      </c>
      <c r="G52" s="7">
        <v>6.5</v>
      </c>
      <c r="H52" s="44" t="s">
        <v>64</v>
      </c>
      <c r="I52" s="45">
        <v>4</v>
      </c>
      <c r="J52" s="8">
        <f>D52*I52</f>
        <v>7.1747601199474084E-2</v>
      </c>
    </row>
    <row r="53" spans="1:10" x14ac:dyDescent="0.3">
      <c r="A53" s="7">
        <v>20</v>
      </c>
      <c r="B53" s="100" t="s">
        <v>139</v>
      </c>
      <c r="C53" s="7" t="s">
        <v>70</v>
      </c>
      <c r="D53" s="8">
        <f>0.8/105154*E53^2*G53*SQRT(G53)+(0.003*EXP(0.319*E53))</f>
        <v>5.6261921089642758E-2</v>
      </c>
      <c r="E53" s="7">
        <v>8</v>
      </c>
      <c r="F53" s="43" t="s">
        <v>64</v>
      </c>
      <c r="G53" s="7">
        <v>11</v>
      </c>
      <c r="H53" s="44" t="s">
        <v>64</v>
      </c>
      <c r="I53" s="45">
        <v>1</v>
      </c>
      <c r="J53" s="8">
        <f>I53*D53</f>
        <v>5.6261921089642758E-2</v>
      </c>
    </row>
    <row r="54" spans="1:10" x14ac:dyDescent="0.3">
      <c r="A54" s="7">
        <v>30</v>
      </c>
      <c r="B54" s="100" t="s">
        <v>139</v>
      </c>
      <c r="C54" s="7" t="s">
        <v>119</v>
      </c>
      <c r="D54" s="8">
        <f>0.8/105154*E54^2*G54*SQRT(G54)+(0.003*EXP(0.319*E54))</f>
        <v>0.11717308884809327</v>
      </c>
      <c r="E54" s="7">
        <v>6</v>
      </c>
      <c r="F54" s="43" t="s">
        <v>64</v>
      </c>
      <c r="G54" s="7">
        <v>50</v>
      </c>
      <c r="H54" s="44" t="s">
        <v>64</v>
      </c>
      <c r="I54" s="45">
        <v>4</v>
      </c>
      <c r="J54" s="8">
        <f>I54*D54</f>
        <v>0.46869235539237308</v>
      </c>
    </row>
    <row r="55" spans="1:10" x14ac:dyDescent="0.3">
      <c r="A55" s="7">
        <v>40</v>
      </c>
      <c r="B55" s="101" t="s">
        <v>138</v>
      </c>
      <c r="C55" s="7" t="s">
        <v>119</v>
      </c>
      <c r="D55" s="102">
        <v>0.01</v>
      </c>
      <c r="E55" s="46"/>
      <c r="F55" s="100" t="s">
        <v>137</v>
      </c>
      <c r="G55" s="7"/>
      <c r="H55" s="44"/>
      <c r="I55" s="45">
        <v>8</v>
      </c>
      <c r="J55" s="8">
        <f>I55*D55</f>
        <v>0.08</v>
      </c>
    </row>
    <row r="56" spans="1:10" x14ac:dyDescent="0.3">
      <c r="A56" s="7">
        <v>50</v>
      </c>
      <c r="B56" s="101" t="s">
        <v>140</v>
      </c>
      <c r="C56" s="7" t="s">
        <v>119</v>
      </c>
      <c r="D56" s="103">
        <f>(0.009*EXP(0.2*E56))</f>
        <v>2.9881052304628931E-2</v>
      </c>
      <c r="E56" s="7">
        <v>6</v>
      </c>
      <c r="F56" s="100" t="s">
        <v>64</v>
      </c>
      <c r="G56" s="7"/>
      <c r="H56" s="100"/>
      <c r="I56" s="45">
        <v>4</v>
      </c>
      <c r="J56" s="8">
        <f>I56*D56</f>
        <v>0.11952420921851573</v>
      </c>
    </row>
    <row r="57" spans="1:10" x14ac:dyDescent="0.3">
      <c r="A57" s="7">
        <v>60</v>
      </c>
      <c r="B57" s="100" t="s">
        <v>139</v>
      </c>
      <c r="C57" s="7" t="s">
        <v>159</v>
      </c>
      <c r="D57" s="103">
        <f>0.8/105154*E57^2*G57*SQRT(G57)+(0.003*EXP(0.319*E57))</f>
        <v>9.9361345914868976E-2</v>
      </c>
      <c r="E57" s="7">
        <v>8</v>
      </c>
      <c r="F57" s="100" t="s">
        <v>64</v>
      </c>
      <c r="G57" s="7">
        <v>25</v>
      </c>
      <c r="H57" s="100" t="s">
        <v>64</v>
      </c>
      <c r="I57" s="45">
        <v>2</v>
      </c>
      <c r="J57" s="8">
        <f>I57*D57</f>
        <v>0.19872269182973795</v>
      </c>
    </row>
    <row r="58" spans="1:10" x14ac:dyDescent="0.3">
      <c r="A58" s="7">
        <v>70</v>
      </c>
      <c r="B58" s="100" t="s">
        <v>139</v>
      </c>
      <c r="C58" s="7" t="s">
        <v>176</v>
      </c>
      <c r="D58" s="8">
        <f>0.8/105154*E58^2*G58*SQRT(G58)+(0.003*EXP(0.319*E58))</f>
        <v>1.8537324430816272E-2</v>
      </c>
      <c r="E58" s="7">
        <v>4</v>
      </c>
      <c r="F58" s="43" t="s">
        <v>64</v>
      </c>
      <c r="G58" s="7">
        <v>16</v>
      </c>
      <c r="H58" s="44" t="s">
        <v>64</v>
      </c>
      <c r="I58" s="45">
        <v>4</v>
      </c>
      <c r="J58" s="8">
        <f>I58*D58</f>
        <v>7.414929772326509E-2</v>
      </c>
    </row>
    <row r="59" spans="1:10" x14ac:dyDescent="0.3">
      <c r="A59" s="7">
        <v>80</v>
      </c>
      <c r="B59" s="101" t="s">
        <v>138</v>
      </c>
      <c r="C59" s="7" t="s">
        <v>176</v>
      </c>
      <c r="D59" s="102">
        <v>0.01</v>
      </c>
      <c r="E59" s="46"/>
      <c r="F59" s="100" t="s">
        <v>137</v>
      </c>
      <c r="G59" s="7"/>
      <c r="H59" s="44"/>
      <c r="I59" s="45">
        <v>8</v>
      </c>
      <c r="J59" s="8">
        <f>I59*D59</f>
        <v>0.08</v>
      </c>
    </row>
    <row r="60" spans="1:10" x14ac:dyDescent="0.3">
      <c r="A60" s="7">
        <v>90</v>
      </c>
      <c r="B60" s="101" t="s">
        <v>140</v>
      </c>
      <c r="C60" s="7" t="s">
        <v>176</v>
      </c>
      <c r="D60" s="103">
        <f>(0.009*EXP(0.2*E60))</f>
        <v>2.0029868356432209E-2</v>
      </c>
      <c r="E60" s="7">
        <v>4</v>
      </c>
      <c r="F60" s="100" t="s">
        <v>64</v>
      </c>
      <c r="G60" s="7"/>
      <c r="H60" s="100"/>
      <c r="I60" s="45">
        <v>4</v>
      </c>
      <c r="J60" s="8">
        <f>I60*D60</f>
        <v>8.0119473425728838E-2</v>
      </c>
    </row>
    <row r="61" spans="1:10" x14ac:dyDescent="0.3">
      <c r="A61" s="42"/>
      <c r="B61" s="42"/>
      <c r="C61" s="42"/>
      <c r="D61" s="42"/>
      <c r="E61" s="42"/>
      <c r="F61" s="42"/>
      <c r="G61" s="42"/>
      <c r="H61" s="42"/>
      <c r="I61" s="81" t="s">
        <v>23</v>
      </c>
      <c r="J61" s="91">
        <f>SUM(J52:J56)</f>
        <v>0.79622608690000551</v>
      </c>
    </row>
    <row r="63" spans="1:10" x14ac:dyDescent="0.3">
      <c r="A63" s="80" t="s">
        <v>19</v>
      </c>
      <c r="B63" s="80" t="s">
        <v>66</v>
      </c>
      <c r="C63" s="80" t="s">
        <v>30</v>
      </c>
      <c r="D63" s="80" t="s">
        <v>31</v>
      </c>
      <c r="E63" s="80" t="s">
        <v>44</v>
      </c>
      <c r="F63" s="80" t="s">
        <v>22</v>
      </c>
      <c r="G63" s="80" t="s">
        <v>67</v>
      </c>
      <c r="H63" s="80" t="s">
        <v>68</v>
      </c>
      <c r="I63" s="80" t="s">
        <v>23</v>
      </c>
    </row>
    <row r="64" spans="1:10" x14ac:dyDescent="0.3">
      <c r="A64" s="39">
        <v>10</v>
      </c>
      <c r="B64" s="29" t="s">
        <v>154</v>
      </c>
      <c r="C64" s="86" t="s">
        <v>173</v>
      </c>
      <c r="D64" s="92">
        <v>500</v>
      </c>
      <c r="E64" s="7">
        <v>1</v>
      </c>
      <c r="F64" s="7">
        <v>4</v>
      </c>
      <c r="G64" s="7">
        <v>3000</v>
      </c>
      <c r="H64" s="7">
        <v>1</v>
      </c>
      <c r="I64" s="24">
        <f>F64*D64/G64</f>
        <v>0.66666666666666663</v>
      </c>
    </row>
    <row r="65" spans="1:9" x14ac:dyDescent="0.3">
      <c r="A65" s="39">
        <v>20</v>
      </c>
      <c r="B65" s="29" t="s">
        <v>154</v>
      </c>
      <c r="C65" s="86" t="s">
        <v>174</v>
      </c>
      <c r="D65" s="92">
        <v>500</v>
      </c>
      <c r="E65" s="7">
        <v>1</v>
      </c>
      <c r="F65" s="7">
        <v>4</v>
      </c>
      <c r="G65" s="7">
        <v>3000</v>
      </c>
      <c r="H65" s="7">
        <v>1</v>
      </c>
      <c r="I65" s="24">
        <f>F65*D65/G65</f>
        <v>0.66666666666666663</v>
      </c>
    </row>
    <row r="66" spans="1:9" x14ac:dyDescent="0.3">
      <c r="A66" s="42"/>
      <c r="B66" s="42"/>
      <c r="C66" s="42"/>
      <c r="D66" s="42"/>
      <c r="E66" s="42"/>
      <c r="F66" s="42"/>
      <c r="G66" s="42"/>
      <c r="H66" s="84" t="s">
        <v>23</v>
      </c>
      <c r="I66" s="85">
        <f>SUM(I64:I64)</f>
        <v>0.66666666666666663</v>
      </c>
    </row>
  </sheetData>
  <hyperlinks>
    <hyperlink ref="D1" location="BOM!A1" display="Back to BOM"/>
    <hyperlink ref="B9" location="'ST 01001'!A1" display="Rack Pinion"/>
    <hyperlink ref="B10" location="'ST 01002'!A1" display="Rack"/>
    <hyperlink ref="B11" location="'ST 01003'!A1" display="Upper Pinion housing"/>
    <hyperlink ref="B12" location="'ST 01004'!A1" display="Lower Pinion housing"/>
    <hyperlink ref="B13" location="'ST 01005'!A1" display="Rack housing support"/>
    <hyperlink ref="B14" location="'ST 01006'!A1" display="Tie rod Braces"/>
    <hyperlink ref="B15" location="'ST 01007'!A1" display="Rack housing "/>
    <hyperlink ref="B16" location="'ST 01008'!A1" display="Steering Brackets tie"/>
    <hyperlink ref="B17" location="'ST 01009'!A1" display="Steering Brackets"/>
    <hyperlink ref="B18" location="'ST 01010'!A1" display="Rack protection"/>
    <hyperlink ref="B19" location="'ST 01011'!A1" display="Rack protection Bracket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6" workbookViewId="0"/>
  </sheetViews>
  <sheetFormatPr baseColWidth="10" defaultRowHeight="14.4" x14ac:dyDescent="0.3"/>
  <sheetData>
    <row r="1" spans="1:1" x14ac:dyDescent="0.3">
      <c r="A1" s="89" t="s">
        <v>117</v>
      </c>
    </row>
  </sheetData>
  <hyperlinks>
    <hyperlink ref="A1" location="'ST 01008'!A1" display="ST_01008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H25" sqref="H25"/>
    </sheetView>
  </sheetViews>
  <sheetFormatPr baseColWidth="10" defaultRowHeight="14.4" x14ac:dyDescent="0.3"/>
  <cols>
    <col min="2" max="2" width="22.33203125" bestFit="1" customWidth="1"/>
    <col min="3" max="3" width="17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N13+I20</f>
        <v>1.5974687499999998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3.1949374999999995</v>
      </c>
    </row>
    <row r="6" spans="1:14" x14ac:dyDescent="0.3">
      <c r="A6" s="72" t="s">
        <v>11</v>
      </c>
      <c r="B6" s="14" t="s">
        <v>118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5.8875000000000004E-2</v>
      </c>
      <c r="F11" s="15" t="s">
        <v>42</v>
      </c>
      <c r="G11" s="15"/>
      <c r="H11" s="20"/>
      <c r="I11" s="21" t="s">
        <v>126</v>
      </c>
      <c r="J11" s="22">
        <f>100*50*10^-6</f>
        <v>5.0000000000000001E-3</v>
      </c>
      <c r="K11" s="20">
        <v>1.5E-3</v>
      </c>
      <c r="L11" s="23">
        <v>7850</v>
      </c>
      <c r="M11" s="23">
        <v>1</v>
      </c>
      <c r="N11" s="24">
        <f>IF(J11="",D11*M11,D11*J11*K11*L11*M11)</f>
        <v>0.13246875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F19</f>
        <v>4.0000000000000001E-3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0.04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0.17246875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(6.9 + 3.6*2+ 0.7*2 + 2.2*2 + 5.5)</f>
        <v>25.400000000000002</v>
      </c>
      <c r="G17" s="28"/>
      <c r="H17" s="31"/>
      <c r="I17" s="32">
        <f>IF(H17="",D17*F17,D17*F17*H17)</f>
        <v>0.254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6" t="s">
        <v>130</v>
      </c>
      <c r="C18" s="27"/>
      <c r="D18" s="68">
        <v>0.25</v>
      </c>
      <c r="E18" s="26" t="s">
        <v>131</v>
      </c>
      <c r="F18" s="31">
        <v>2</v>
      </c>
      <c r="G18" s="31"/>
      <c r="H18" s="31"/>
      <c r="I18" s="32">
        <f>F18*D18</f>
        <v>0.5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123</v>
      </c>
      <c r="C19" s="29" t="s">
        <v>124</v>
      </c>
      <c r="D19" s="37">
        <v>5.25</v>
      </c>
      <c r="E19" s="28" t="s">
        <v>125</v>
      </c>
      <c r="F19" s="69">
        <f>J11*0.8</f>
        <v>4.0000000000000001E-3</v>
      </c>
      <c r="G19" s="28"/>
      <c r="H19" s="31"/>
      <c r="I19" s="32">
        <f>D19*F19</f>
        <v>2.1000000000000001E-2</v>
      </c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6" t="s">
        <v>23</v>
      </c>
      <c r="I20" s="77">
        <f>SUM(I16:I19)</f>
        <v>1.4249999999999998</v>
      </c>
      <c r="J20" s="25"/>
      <c r="K20" s="25"/>
      <c r="L20" s="25"/>
      <c r="M20" s="25"/>
      <c r="N20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  <hyperlink ref="D3" location="'ST 01009 Drawing'!A1" display="FileLink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118</v>
      </c>
    </row>
  </sheetData>
  <hyperlinks>
    <hyperlink ref="A1" location="'ST 01009'!A1" display="ST_01009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A2" sqref="A2:N20"/>
    </sheetView>
  </sheetViews>
  <sheetFormatPr baseColWidth="10" defaultRowHeight="14.4" x14ac:dyDescent="0.3"/>
  <cols>
    <col min="2" max="2" width="27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N13+I20</f>
        <v>0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160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0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/>
      <c r="B11" s="16"/>
      <c r="C11" s="17"/>
      <c r="D11" s="18"/>
      <c r="E11" s="19"/>
      <c r="F11" s="15"/>
      <c r="G11" s="15"/>
      <c r="H11" s="20"/>
      <c r="I11" s="21"/>
      <c r="J11" s="22"/>
      <c r="K11" s="20"/>
      <c r="L11" s="23"/>
      <c r="M11" s="23"/>
      <c r="N11" s="24"/>
    </row>
    <row r="12" spans="1:14" x14ac:dyDescent="0.3">
      <c r="A12" s="27"/>
      <c r="B12" s="47"/>
      <c r="C12" s="48"/>
      <c r="D12" s="65"/>
      <c r="E12" s="70"/>
      <c r="F12" s="67"/>
      <c r="G12" s="27"/>
      <c r="H12" s="51"/>
      <c r="I12" s="52"/>
      <c r="J12" s="53"/>
      <c r="K12" s="51"/>
      <c r="L12" s="54"/>
      <c r="M12" s="54"/>
      <c r="N12" s="55"/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x14ac:dyDescent="0.3">
      <c r="A16" s="31"/>
      <c r="B16" s="33"/>
      <c r="C16" s="34"/>
      <c r="D16" s="35"/>
      <c r="E16" s="33"/>
      <c r="F16" s="31"/>
      <c r="G16" s="31"/>
      <c r="H16" s="31"/>
      <c r="I16" s="32"/>
      <c r="J16" s="10"/>
      <c r="K16" s="10"/>
      <c r="L16" s="10"/>
      <c r="M16" s="10"/>
      <c r="N16" s="10"/>
    </row>
    <row r="17" spans="1:14" x14ac:dyDescent="0.3">
      <c r="A17" s="27"/>
      <c r="B17" s="26"/>
      <c r="C17" s="29"/>
      <c r="D17" s="35"/>
      <c r="E17" s="26"/>
      <c r="F17" s="36"/>
      <c r="G17" s="28"/>
      <c r="H17" s="31"/>
      <c r="I17" s="32"/>
      <c r="J17" s="10"/>
      <c r="K17" s="10"/>
      <c r="L17" s="10"/>
      <c r="M17" s="10"/>
      <c r="N17" s="10"/>
    </row>
    <row r="18" spans="1:14" x14ac:dyDescent="0.3">
      <c r="A18" s="27"/>
      <c r="B18" s="26"/>
      <c r="C18" s="27"/>
      <c r="D18" s="68"/>
      <c r="E18" s="26"/>
      <c r="F18" s="31"/>
      <c r="G18" s="31"/>
      <c r="H18" s="31"/>
      <c r="I18" s="32"/>
      <c r="J18" s="10"/>
      <c r="K18" s="10"/>
      <c r="L18" s="10"/>
      <c r="M18" s="10"/>
      <c r="N18" s="10"/>
    </row>
    <row r="19" spans="1:14" x14ac:dyDescent="0.3">
      <c r="A19" s="27"/>
      <c r="B19" s="28"/>
      <c r="C19" s="29"/>
      <c r="D19" s="37"/>
      <c r="E19" s="28"/>
      <c r="F19" s="69"/>
      <c r="G19" s="28"/>
      <c r="H19" s="31"/>
      <c r="I19" s="32"/>
      <c r="J19" s="10"/>
      <c r="K19" s="10"/>
      <c r="L19" s="10"/>
      <c r="M19" s="10"/>
      <c r="N19" s="10"/>
    </row>
    <row r="20" spans="1:14" x14ac:dyDescent="0.3">
      <c r="A20" s="25"/>
      <c r="B20" s="25"/>
      <c r="C20" s="25"/>
      <c r="D20" s="25"/>
      <c r="E20" s="25"/>
      <c r="F20" s="25"/>
      <c r="G20" s="25"/>
      <c r="H20" s="76" t="s">
        <v>23</v>
      </c>
      <c r="I20" s="77">
        <f>SUM(I16:I19)</f>
        <v>0</v>
      </c>
      <c r="J20" s="25"/>
      <c r="K20" s="25"/>
      <c r="L20" s="25"/>
      <c r="M20" s="25"/>
      <c r="N20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  <hyperlink ref="D3" location="'ST 01010 Drawing'!A1" display="FileLink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163</v>
      </c>
    </row>
  </sheetData>
  <hyperlinks>
    <hyperlink ref="A1" location="'ST 01010'!A1" display="ST 01010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G16" sqref="G16"/>
    </sheetView>
  </sheetViews>
  <sheetFormatPr baseColWidth="10" defaultRowHeight="14.4" x14ac:dyDescent="0.3"/>
  <cols>
    <col min="2" max="2" width="27.6640625" bestFit="1" customWidth="1"/>
    <col min="3" max="3" width="15.5546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N13+I19</f>
        <v>0.39403149999999998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4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161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1.5761259999999999</v>
      </c>
    </row>
    <row r="6" spans="1:14" x14ac:dyDescent="0.3">
      <c r="A6" s="72" t="s">
        <v>11</v>
      </c>
      <c r="B6" s="14" t="s">
        <v>162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15">
        <v>10</v>
      </c>
      <c r="B11" s="16" t="s">
        <v>40</v>
      </c>
      <c r="C11" s="17" t="s">
        <v>79</v>
      </c>
      <c r="D11" s="18">
        <v>2.25</v>
      </c>
      <c r="E11" s="19">
        <f>J11*K11*L11</f>
        <v>2.1194999999999999E-3</v>
      </c>
      <c r="F11" s="15" t="s">
        <v>42</v>
      </c>
      <c r="G11" s="15"/>
      <c r="H11" s="20"/>
      <c r="I11" s="21" t="s">
        <v>126</v>
      </c>
      <c r="J11" s="22">
        <f>15*12*10^-6</f>
        <v>1.7999999999999998E-4</v>
      </c>
      <c r="K11" s="20">
        <v>1.5E-3</v>
      </c>
      <c r="L11" s="23">
        <v>7850</v>
      </c>
      <c r="M11" s="23">
        <v>4</v>
      </c>
      <c r="N11" s="24">
        <f>IF(J11="",D11*M11,D11*J11*K11*L11*M11)</f>
        <v>1.9075499999999999E-2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J11*2</f>
        <v>3.5999999999999997E-4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3.5999999999999999E-3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2.2675499999999998E-2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57.6" x14ac:dyDescent="0.3">
      <c r="A16" s="31">
        <v>10</v>
      </c>
      <c r="B16" s="33" t="s">
        <v>47</v>
      </c>
      <c r="C16" s="34" t="s">
        <v>127</v>
      </c>
      <c r="D16" s="35">
        <v>1.3</v>
      </c>
      <c r="E16" s="33" t="s">
        <v>44</v>
      </c>
      <c r="F16" s="31">
        <v>0.25</v>
      </c>
      <c r="G16" s="31" t="s">
        <v>120</v>
      </c>
      <c r="H16" s="31"/>
      <c r="I16" s="32">
        <f>IF(H16="",D16*F16,D16*F16*H16)</f>
        <v>0.32500000000000001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6" t="s">
        <v>128</v>
      </c>
      <c r="C17" s="29"/>
      <c r="D17" s="35">
        <v>0.01</v>
      </c>
      <c r="E17" s="26" t="s">
        <v>50</v>
      </c>
      <c r="F17" s="36">
        <f xml:space="preserve"> 0.9*2 + 1.5 + 1.26</f>
        <v>4.5599999999999996</v>
      </c>
      <c r="G17" s="28"/>
      <c r="H17" s="31"/>
      <c r="I17" s="32">
        <f>IF(H17="",D17*F17,D17*F17*H17)</f>
        <v>4.5599999999999995E-2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123</v>
      </c>
      <c r="C18" s="29" t="s">
        <v>172</v>
      </c>
      <c r="D18" s="37">
        <v>5.25</v>
      </c>
      <c r="E18" s="28" t="s">
        <v>125</v>
      </c>
      <c r="F18" s="69">
        <f>J11*0.8</f>
        <v>1.44E-4</v>
      </c>
      <c r="G18" s="28"/>
      <c r="H18" s="31"/>
      <c r="I18" s="32">
        <f>D18*F18</f>
        <v>7.5600000000000005E-4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SUM(I16:I18)</f>
        <v>0.37135599999999996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100'!A1" display="Steering Rack "/>
    <hyperlink ref="D3" location="'ST 01011 Drawing'!A1" display="FileLink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K16" sqref="K16"/>
    </sheetView>
  </sheetViews>
  <sheetFormatPr baseColWidth="10" defaultRowHeight="14.4" x14ac:dyDescent="0.3"/>
  <sheetData>
    <row r="1" spans="1:1" x14ac:dyDescent="0.3">
      <c r="A1" s="89" t="s">
        <v>164</v>
      </c>
    </row>
  </sheetData>
  <hyperlinks>
    <hyperlink ref="A1" location="'ST 01011'!A1" display="ST 0101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2:N39"/>
  <sheetViews>
    <sheetView tabSelected="1" topLeftCell="A17" workbookViewId="0">
      <selection activeCell="D28" sqref="D28"/>
    </sheetView>
  </sheetViews>
  <sheetFormatPr baseColWidth="10" defaultRowHeight="14.4" x14ac:dyDescent="0.3"/>
  <cols>
    <col min="2" max="2" width="28.77734375" bestFit="1" customWidth="1"/>
    <col min="3" max="3" width="22.33203125" bestFit="1" customWidth="1"/>
  </cols>
  <sheetData>
    <row r="2" spans="1:14" x14ac:dyDescent="0.3">
      <c r="A2" s="104" t="s">
        <v>0</v>
      </c>
      <c r="B2" s="105" t="s">
        <v>1</v>
      </c>
      <c r="C2" s="93"/>
      <c r="D2" s="93"/>
      <c r="E2" s="93" t="s">
        <v>2</v>
      </c>
      <c r="F2" s="93"/>
      <c r="G2" s="93"/>
      <c r="H2" s="93"/>
      <c r="I2" s="93"/>
      <c r="J2" s="104" t="s">
        <v>3</v>
      </c>
      <c r="K2" s="106">
        <v>81</v>
      </c>
      <c r="L2" s="93"/>
      <c r="M2" s="104" t="s">
        <v>4</v>
      </c>
      <c r="N2" s="107">
        <f>BR_A0001_pa+BR_A0001_m+BR_A0001_p+BR_A0001_f+BR_A0001_t</f>
        <v>29.313275953291665</v>
      </c>
    </row>
    <row r="3" spans="1:14" x14ac:dyDescent="0.3">
      <c r="A3" s="104" t="s">
        <v>5</v>
      </c>
      <c r="B3" s="105" t="s">
        <v>6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104" t="s">
        <v>7</v>
      </c>
      <c r="N3" s="108">
        <v>1</v>
      </c>
    </row>
    <row r="4" spans="1:14" x14ac:dyDescent="0.3">
      <c r="A4" s="104" t="s">
        <v>8</v>
      </c>
      <c r="B4" s="109" t="s">
        <v>184</v>
      </c>
      <c r="C4" s="93"/>
      <c r="D4" s="93"/>
      <c r="E4" s="93"/>
      <c r="F4" s="93"/>
      <c r="G4" s="93"/>
      <c r="H4" s="93"/>
      <c r="I4" s="93"/>
      <c r="J4" s="110" t="s">
        <v>10</v>
      </c>
      <c r="K4" s="93"/>
      <c r="L4" s="93"/>
      <c r="M4" s="93"/>
      <c r="N4" s="93"/>
    </row>
    <row r="5" spans="1:14" x14ac:dyDescent="0.3">
      <c r="A5" s="104" t="s">
        <v>11</v>
      </c>
      <c r="B5" s="111" t="s">
        <v>182</v>
      </c>
      <c r="C5" s="93"/>
      <c r="D5" s="93"/>
      <c r="E5" s="93"/>
      <c r="F5" s="93"/>
      <c r="G5" s="93"/>
      <c r="H5" s="93"/>
      <c r="I5" s="93"/>
      <c r="J5" s="110" t="s">
        <v>12</v>
      </c>
      <c r="K5" s="93"/>
      <c r="L5" s="93"/>
      <c r="M5" s="104" t="s">
        <v>13</v>
      </c>
      <c r="N5" s="112">
        <f>N2*N3</f>
        <v>29.313275953291665</v>
      </c>
    </row>
    <row r="6" spans="1:14" x14ac:dyDescent="0.3">
      <c r="A6" s="104" t="s">
        <v>14</v>
      </c>
      <c r="B6" s="105" t="s">
        <v>15</v>
      </c>
      <c r="C6" s="93"/>
      <c r="D6" s="93"/>
      <c r="E6" s="93"/>
      <c r="F6" s="93"/>
      <c r="G6" s="93"/>
      <c r="H6" s="93"/>
      <c r="I6" s="93"/>
      <c r="J6" s="110" t="s">
        <v>16</v>
      </c>
      <c r="K6" s="93"/>
      <c r="L6" s="93"/>
      <c r="M6" s="93"/>
      <c r="N6" s="93"/>
    </row>
    <row r="7" spans="1:14" x14ac:dyDescent="0.3">
      <c r="A7" s="104" t="s">
        <v>17</v>
      </c>
      <c r="B7" s="105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</row>
    <row r="8" spans="1:14" x14ac:dyDescent="0.3">
      <c r="A8" s="113"/>
      <c r="B8" s="93"/>
      <c r="C8" s="129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1:14" x14ac:dyDescent="0.3">
      <c r="A9" s="104" t="s">
        <v>19</v>
      </c>
      <c r="B9" s="104" t="s">
        <v>20</v>
      </c>
      <c r="C9" s="104" t="s">
        <v>21</v>
      </c>
      <c r="D9" s="104" t="s">
        <v>22</v>
      </c>
      <c r="E9" s="104" t="s">
        <v>23</v>
      </c>
      <c r="F9" s="93"/>
      <c r="G9" s="93"/>
      <c r="H9" s="93"/>
      <c r="I9" s="93"/>
      <c r="J9" s="93"/>
      <c r="K9" s="93"/>
      <c r="L9" s="93"/>
      <c r="M9" s="93"/>
      <c r="N9" s="93"/>
    </row>
    <row r="10" spans="1:14" x14ac:dyDescent="0.3">
      <c r="A10" s="114">
        <v>10</v>
      </c>
      <c r="B10" s="115" t="s">
        <v>183</v>
      </c>
      <c r="C10" s="112">
        <f>'ST 02001'!N2</f>
        <v>3.6317736866249999</v>
      </c>
      <c r="D10" s="151">
        <v>1</v>
      </c>
      <c r="E10" s="112">
        <f>C10*D10</f>
        <v>3.6317736866249999</v>
      </c>
      <c r="F10" s="93"/>
      <c r="G10" s="93"/>
      <c r="H10" s="93"/>
      <c r="I10" s="93"/>
      <c r="J10" s="93"/>
      <c r="K10" s="93"/>
      <c r="L10" s="93"/>
      <c r="M10" s="93"/>
      <c r="N10" s="93"/>
    </row>
    <row r="11" spans="1:14" x14ac:dyDescent="0.3">
      <c r="A11" s="114">
        <v>20</v>
      </c>
      <c r="B11" s="115" t="s">
        <v>185</v>
      </c>
      <c r="C11" s="112">
        <f>'ST 02002'!N2</f>
        <v>2.1062500000000002</v>
      </c>
      <c r="D11" s="106">
        <v>1</v>
      </c>
      <c r="E11" s="112">
        <f>C11*D11</f>
        <v>2.1062500000000002</v>
      </c>
      <c r="F11" s="109"/>
      <c r="G11" s="109"/>
      <c r="H11" s="109"/>
      <c r="I11" s="109"/>
      <c r="J11" s="109"/>
      <c r="K11" s="109"/>
      <c r="L11" s="109"/>
      <c r="M11" s="109"/>
      <c r="N11" s="109"/>
    </row>
    <row r="12" spans="1:14" x14ac:dyDescent="0.3">
      <c r="A12" s="105">
        <v>30</v>
      </c>
      <c r="B12" s="169" t="s">
        <v>212</v>
      </c>
      <c r="C12" s="164">
        <f>'ST 02003'!N2</f>
        <v>6.2856945139200011</v>
      </c>
      <c r="D12" s="106">
        <v>1</v>
      </c>
      <c r="E12" s="112">
        <f>C12*D12</f>
        <v>6.2856945139200011</v>
      </c>
      <c r="F12" s="109"/>
      <c r="G12" s="109"/>
      <c r="H12" s="109"/>
      <c r="I12" s="109"/>
      <c r="J12" s="109"/>
      <c r="K12" s="109"/>
      <c r="L12" s="109"/>
      <c r="M12" s="109"/>
      <c r="N12" s="109"/>
    </row>
    <row r="13" spans="1:14" x14ac:dyDescent="0.3">
      <c r="A13" s="105">
        <v>40</v>
      </c>
      <c r="B13" s="169" t="s">
        <v>220</v>
      </c>
      <c r="C13" s="164">
        <f>'ST 02004'!N2</f>
        <v>9.1730310028800002</v>
      </c>
      <c r="D13" s="106">
        <v>1</v>
      </c>
      <c r="E13" s="112">
        <f>C13*D13</f>
        <v>9.1730310028800002</v>
      </c>
      <c r="F13" s="109"/>
      <c r="G13" s="109"/>
      <c r="H13" s="109"/>
      <c r="I13" s="109"/>
      <c r="J13" s="109"/>
      <c r="K13" s="109"/>
      <c r="L13" s="109"/>
      <c r="M13" s="109"/>
      <c r="N13" s="109"/>
    </row>
    <row r="14" spans="1:14" x14ac:dyDescent="0.3">
      <c r="A14" s="105">
        <v>50</v>
      </c>
      <c r="B14" s="169" t="s">
        <v>228</v>
      </c>
      <c r="C14" s="164">
        <f>'ST 02005'!N2</f>
        <v>1.3271904506699999</v>
      </c>
      <c r="D14" s="106">
        <v>2</v>
      </c>
      <c r="E14" s="112">
        <f>C14*D14</f>
        <v>2.6543809013399997</v>
      </c>
      <c r="F14" s="109"/>
      <c r="G14" s="109"/>
      <c r="H14" s="109"/>
      <c r="I14" s="109"/>
      <c r="J14" s="109"/>
      <c r="K14" s="109"/>
      <c r="L14" s="109"/>
      <c r="M14" s="109"/>
      <c r="N14" s="109"/>
    </row>
    <row r="15" spans="1:14" x14ac:dyDescent="0.3">
      <c r="A15" s="113"/>
      <c r="B15" s="93"/>
      <c r="C15" s="93"/>
      <c r="D15" s="117" t="s">
        <v>23</v>
      </c>
      <c r="E15" s="118">
        <f>SUM(E10:E11)</f>
        <v>5.7380236866250005</v>
      </c>
      <c r="F15" s="109"/>
      <c r="G15" s="109"/>
      <c r="H15" s="109"/>
      <c r="I15" s="109"/>
      <c r="J15" s="109"/>
      <c r="K15" s="109"/>
      <c r="L15" s="109"/>
      <c r="M15" s="109"/>
      <c r="N15" s="109"/>
    </row>
    <row r="16" spans="1:14" x14ac:dyDescent="0.3">
      <c r="A16" s="11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</row>
    <row r="17" spans="1:14" x14ac:dyDescent="0.3">
      <c r="A17" s="165" t="s">
        <v>19</v>
      </c>
      <c r="B17" s="165" t="s">
        <v>29</v>
      </c>
      <c r="C17" s="165" t="s">
        <v>30</v>
      </c>
      <c r="D17" s="165" t="s">
        <v>31</v>
      </c>
      <c r="E17" s="165" t="s">
        <v>32</v>
      </c>
      <c r="F17" s="165" t="s">
        <v>33</v>
      </c>
      <c r="G17" s="165" t="s">
        <v>34</v>
      </c>
      <c r="H17" s="165" t="s">
        <v>35</v>
      </c>
      <c r="I17" s="165" t="s">
        <v>36</v>
      </c>
      <c r="J17" s="165" t="s">
        <v>37</v>
      </c>
      <c r="K17" s="165" t="s">
        <v>38</v>
      </c>
      <c r="L17" s="165" t="s">
        <v>39</v>
      </c>
      <c r="M17" s="165" t="s">
        <v>22</v>
      </c>
      <c r="N17" s="165" t="s">
        <v>23</v>
      </c>
    </row>
    <row r="18" spans="1:14" x14ac:dyDescent="0.3">
      <c r="A18" s="153">
        <v>10</v>
      </c>
      <c r="B18" s="153" t="s">
        <v>204</v>
      </c>
      <c r="C18" s="153"/>
      <c r="D18" s="154">
        <v>20</v>
      </c>
      <c r="E18" s="153"/>
      <c r="F18" s="153"/>
      <c r="G18" s="153"/>
      <c r="H18" s="156"/>
      <c r="I18" s="167"/>
      <c r="J18" s="168"/>
      <c r="K18" s="156"/>
      <c r="L18" s="156"/>
      <c r="M18" s="156">
        <v>1</v>
      </c>
      <c r="N18" s="154">
        <f>M18*D18</f>
        <v>20</v>
      </c>
    </row>
    <row r="19" spans="1:14" x14ac:dyDescent="0.3">
      <c r="A19" s="153">
        <v>20</v>
      </c>
      <c r="B19" s="153" t="s">
        <v>211</v>
      </c>
      <c r="C19" s="153"/>
      <c r="D19" s="154"/>
      <c r="E19" s="153"/>
      <c r="F19" s="153"/>
      <c r="G19" s="153"/>
      <c r="H19" s="156"/>
      <c r="I19" s="167"/>
      <c r="J19" s="168"/>
      <c r="K19" s="156"/>
      <c r="L19" s="156"/>
      <c r="M19" s="156"/>
      <c r="N19" s="154"/>
    </row>
    <row r="20" spans="1:14" x14ac:dyDescent="0.3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66" t="s">
        <v>23</v>
      </c>
      <c r="N20" s="128">
        <f>SUM(N18:N18)</f>
        <v>20</v>
      </c>
    </row>
    <row r="21" spans="1:14" x14ac:dyDescent="0.3">
      <c r="A21" s="11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</row>
    <row r="22" spans="1:14" x14ac:dyDescent="0.3">
      <c r="A22" s="104" t="s">
        <v>19</v>
      </c>
      <c r="B22" s="104" t="s">
        <v>43</v>
      </c>
      <c r="C22" s="104" t="s">
        <v>30</v>
      </c>
      <c r="D22" s="104" t="s">
        <v>31</v>
      </c>
      <c r="E22" s="104" t="s">
        <v>44</v>
      </c>
      <c r="F22" s="104" t="s">
        <v>22</v>
      </c>
      <c r="G22" s="104" t="s">
        <v>45</v>
      </c>
      <c r="H22" s="104" t="s">
        <v>46</v>
      </c>
      <c r="I22" s="104" t="s">
        <v>23</v>
      </c>
      <c r="J22" s="121"/>
      <c r="K22" s="121"/>
      <c r="L22" s="121"/>
      <c r="M22" s="121"/>
      <c r="N22" s="121"/>
    </row>
    <row r="23" spans="1:14" ht="28.8" x14ac:dyDescent="0.3">
      <c r="A23" s="31">
        <v>10</v>
      </c>
      <c r="B23" s="141" t="s">
        <v>47</v>
      </c>
      <c r="C23" s="142" t="s">
        <v>205</v>
      </c>
      <c r="D23" s="143">
        <v>1.3</v>
      </c>
      <c r="E23" s="144" t="s">
        <v>137</v>
      </c>
      <c r="F23" s="145">
        <v>1</v>
      </c>
      <c r="G23" s="145"/>
      <c r="H23" s="145"/>
      <c r="I23" s="146">
        <f>D23*F23</f>
        <v>1.3</v>
      </c>
      <c r="J23" s="93"/>
      <c r="K23" s="93"/>
      <c r="L23" s="93"/>
      <c r="M23" s="93"/>
      <c r="N23" s="93"/>
    </row>
    <row r="24" spans="1:14" ht="28.8" x14ac:dyDescent="0.3">
      <c r="A24" s="114">
        <v>20</v>
      </c>
      <c r="B24" s="28" t="s">
        <v>48</v>
      </c>
      <c r="C24" s="29" t="s">
        <v>206</v>
      </c>
      <c r="D24" s="35">
        <v>0.04</v>
      </c>
      <c r="E24" s="28" t="s">
        <v>49</v>
      </c>
      <c r="F24" s="36">
        <f>(1^2 - 0.8^2)*3.1416*5</f>
        <v>5.6548799999999977</v>
      </c>
      <c r="G24" s="28" t="s">
        <v>61</v>
      </c>
      <c r="H24" s="31">
        <v>3</v>
      </c>
      <c r="I24" s="32">
        <f>D24*F24*H24</f>
        <v>0.67858559999999968</v>
      </c>
      <c r="J24" s="93"/>
      <c r="K24" s="93"/>
      <c r="L24" s="93"/>
      <c r="M24" s="93"/>
      <c r="N24" s="93"/>
    </row>
    <row r="25" spans="1:14" ht="28.8" x14ac:dyDescent="0.3">
      <c r="A25" s="114">
        <v>30</v>
      </c>
      <c r="B25" s="144" t="s">
        <v>132</v>
      </c>
      <c r="C25" s="142" t="s">
        <v>207</v>
      </c>
      <c r="D25" s="150">
        <v>0.15</v>
      </c>
      <c r="E25" s="144" t="s">
        <v>50</v>
      </c>
      <c r="F25" s="145">
        <v>6.2</v>
      </c>
      <c r="G25" s="145"/>
      <c r="H25" s="145"/>
      <c r="I25" s="162">
        <f>6.2*D25</f>
        <v>0.92999999999999994</v>
      </c>
      <c r="J25" s="93"/>
      <c r="K25" s="93"/>
      <c r="L25" s="93"/>
      <c r="M25" s="93"/>
      <c r="N25" s="93"/>
    </row>
    <row r="26" spans="1:14" ht="28.8" x14ac:dyDescent="0.3">
      <c r="A26" s="114">
        <v>40</v>
      </c>
      <c r="B26" s="144" t="s">
        <v>132</v>
      </c>
      <c r="C26" s="142" t="s">
        <v>208</v>
      </c>
      <c r="D26" s="150">
        <v>0.15</v>
      </c>
      <c r="E26" s="144" t="s">
        <v>50</v>
      </c>
      <c r="F26" s="145">
        <v>6.2</v>
      </c>
      <c r="G26" s="145"/>
      <c r="H26" s="145"/>
      <c r="I26" s="162">
        <f>6.2*D26</f>
        <v>0.92999999999999994</v>
      </c>
      <c r="J26" s="109"/>
      <c r="K26" s="109"/>
      <c r="L26" s="109"/>
      <c r="M26" s="109"/>
      <c r="N26" s="109"/>
    </row>
    <row r="27" spans="1:14" x14ac:dyDescent="0.3">
      <c r="A27" s="105"/>
      <c r="B27" s="173"/>
      <c r="C27" s="174"/>
      <c r="D27" s="175"/>
      <c r="E27" s="173"/>
      <c r="F27" s="176"/>
      <c r="G27" s="176"/>
      <c r="H27" s="176"/>
      <c r="I27" s="177"/>
      <c r="J27" s="109"/>
      <c r="K27" s="109"/>
      <c r="L27" s="109"/>
      <c r="M27" s="109"/>
      <c r="N27" s="109"/>
    </row>
    <row r="28" spans="1:14" x14ac:dyDescent="0.3">
      <c r="A28" s="105"/>
      <c r="B28" s="173"/>
      <c r="C28" s="174"/>
      <c r="D28" s="175"/>
      <c r="E28" s="173"/>
      <c r="F28" s="176"/>
      <c r="G28" s="176"/>
      <c r="H28" s="176"/>
      <c r="I28" s="177"/>
      <c r="J28" s="109"/>
      <c r="K28" s="109"/>
      <c r="L28" s="109"/>
      <c r="M28" s="109"/>
      <c r="N28" s="109"/>
    </row>
    <row r="29" spans="1:14" x14ac:dyDescent="0.3">
      <c r="A29" s="105"/>
      <c r="B29" s="173"/>
      <c r="C29" s="174"/>
      <c r="D29" s="175"/>
      <c r="E29" s="173"/>
      <c r="F29" s="176"/>
      <c r="G29" s="176"/>
      <c r="H29" s="176"/>
      <c r="I29" s="177"/>
      <c r="J29" s="109"/>
      <c r="K29" s="109"/>
      <c r="L29" s="109"/>
      <c r="M29" s="109"/>
      <c r="N29" s="109"/>
    </row>
    <row r="30" spans="1:14" x14ac:dyDescent="0.3">
      <c r="A30" s="120"/>
      <c r="B30" s="121"/>
      <c r="C30" s="121"/>
      <c r="D30" s="121"/>
      <c r="E30" s="121"/>
      <c r="F30" s="121"/>
      <c r="G30" s="121"/>
      <c r="H30" s="117" t="s">
        <v>23</v>
      </c>
      <c r="I30" s="118">
        <f>SUM(I23:I25)</f>
        <v>2.9085855999999994</v>
      </c>
      <c r="J30" s="93"/>
      <c r="K30" s="93"/>
      <c r="L30" s="93"/>
      <c r="M30" s="93"/>
      <c r="N30" s="93"/>
    </row>
    <row r="31" spans="1:14" x14ac:dyDescent="0.3">
      <c r="A31" s="11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</row>
    <row r="32" spans="1:14" x14ac:dyDescent="0.3">
      <c r="A32" s="104" t="s">
        <v>19</v>
      </c>
      <c r="B32" s="104" t="s">
        <v>65</v>
      </c>
      <c r="C32" s="104" t="s">
        <v>30</v>
      </c>
      <c r="D32" s="104" t="s">
        <v>31</v>
      </c>
      <c r="E32" s="104" t="s">
        <v>32</v>
      </c>
      <c r="F32" s="104" t="s">
        <v>33</v>
      </c>
      <c r="G32" s="104" t="s">
        <v>34</v>
      </c>
      <c r="H32" s="104" t="s">
        <v>35</v>
      </c>
      <c r="I32" s="104" t="s">
        <v>22</v>
      </c>
      <c r="J32" s="104" t="s">
        <v>23</v>
      </c>
      <c r="K32" s="93"/>
      <c r="L32" s="93"/>
      <c r="M32" s="93"/>
      <c r="N32" s="93"/>
    </row>
    <row r="33" spans="1:14" x14ac:dyDescent="0.3">
      <c r="A33" s="114">
        <v>10</v>
      </c>
      <c r="B33" s="122" t="s">
        <v>213</v>
      </c>
      <c r="C33" s="116"/>
      <c r="D33" s="123"/>
      <c r="E33" s="119"/>
      <c r="F33" s="124"/>
      <c r="G33" s="119"/>
      <c r="H33" s="119"/>
      <c r="I33" s="125"/>
      <c r="J33" s="112"/>
      <c r="K33" s="126"/>
      <c r="L33" s="126"/>
      <c r="M33" s="126"/>
      <c r="N33" s="126"/>
    </row>
    <row r="34" spans="1:14" x14ac:dyDescent="0.3">
      <c r="A34" s="120"/>
      <c r="B34" s="121"/>
      <c r="C34" s="121"/>
      <c r="D34" s="121"/>
      <c r="E34" s="121"/>
      <c r="F34" s="121"/>
      <c r="G34" s="121"/>
      <c r="H34" s="121"/>
      <c r="I34" s="117" t="s">
        <v>23</v>
      </c>
      <c r="J34" s="118">
        <f>SUM(J33:J33)</f>
        <v>0</v>
      </c>
      <c r="K34" s="93"/>
      <c r="L34" s="93"/>
      <c r="M34" s="93"/>
      <c r="N34" s="93"/>
    </row>
    <row r="35" spans="1:14" x14ac:dyDescent="0.3">
      <c r="A35" s="11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  <row r="36" spans="1:14" x14ac:dyDescent="0.3">
      <c r="A36" s="104" t="s">
        <v>19</v>
      </c>
      <c r="B36" s="104" t="s">
        <v>66</v>
      </c>
      <c r="C36" s="104" t="s">
        <v>30</v>
      </c>
      <c r="D36" s="104" t="s">
        <v>31</v>
      </c>
      <c r="E36" s="104" t="s">
        <v>44</v>
      </c>
      <c r="F36" s="104" t="s">
        <v>22</v>
      </c>
      <c r="G36" s="104" t="s">
        <v>67</v>
      </c>
      <c r="H36" s="104" t="s">
        <v>68</v>
      </c>
      <c r="I36" s="104" t="s">
        <v>23</v>
      </c>
      <c r="J36" s="121"/>
      <c r="K36" s="93"/>
      <c r="L36" s="93"/>
      <c r="M36" s="93"/>
      <c r="N36" s="93"/>
    </row>
    <row r="37" spans="1:14" ht="28.8" x14ac:dyDescent="0.3">
      <c r="A37" s="39">
        <v>10</v>
      </c>
      <c r="B37" s="29" t="s">
        <v>154</v>
      </c>
      <c r="C37" s="86" t="s">
        <v>209</v>
      </c>
      <c r="D37" s="92">
        <v>500</v>
      </c>
      <c r="E37" s="7">
        <v>1</v>
      </c>
      <c r="F37" s="7">
        <v>2</v>
      </c>
      <c r="G37" s="7">
        <v>3000</v>
      </c>
      <c r="H37" s="7">
        <v>1</v>
      </c>
      <c r="I37" s="24">
        <f>F37*D37/G37</f>
        <v>0.33333333333333331</v>
      </c>
      <c r="J37" s="121"/>
      <c r="K37" s="93"/>
      <c r="L37" s="93"/>
      <c r="M37" s="93"/>
      <c r="N37" s="93"/>
    </row>
    <row r="38" spans="1:14" ht="28.8" x14ac:dyDescent="0.3">
      <c r="A38" s="39">
        <v>20</v>
      </c>
      <c r="B38" s="29" t="s">
        <v>154</v>
      </c>
      <c r="C38" s="86" t="s">
        <v>210</v>
      </c>
      <c r="D38" s="92">
        <v>500</v>
      </c>
      <c r="E38" s="7">
        <v>1</v>
      </c>
      <c r="F38" s="7">
        <v>2</v>
      </c>
      <c r="G38" s="7">
        <v>3000</v>
      </c>
      <c r="H38" s="7">
        <v>1</v>
      </c>
      <c r="I38" s="24">
        <f>F38*D38/G38</f>
        <v>0.33333333333333331</v>
      </c>
      <c r="J38" s="109"/>
      <c r="K38" s="93"/>
      <c r="L38" s="93"/>
      <c r="M38" s="93"/>
      <c r="N38" s="93"/>
    </row>
    <row r="39" spans="1:14" x14ac:dyDescent="0.3">
      <c r="A39" s="120"/>
      <c r="B39" s="121"/>
      <c r="C39" s="121"/>
      <c r="D39" s="121"/>
      <c r="E39" s="121"/>
      <c r="F39" s="121"/>
      <c r="G39" s="121"/>
      <c r="H39" s="127" t="s">
        <v>23</v>
      </c>
      <c r="I39" s="128">
        <f>SUM(I37:I38)</f>
        <v>0.66666666666666663</v>
      </c>
      <c r="J39" s="121"/>
      <c r="K39" s="93"/>
      <c r="L39" s="93"/>
      <c r="M39" s="93"/>
      <c r="N39" s="93"/>
    </row>
  </sheetData>
  <hyperlinks>
    <hyperlink ref="B10" location="'ST 02001'!A1" display="Spline Coupler"/>
    <hyperlink ref="B11" location="'ST 02002'!A1" display="Steering column"/>
    <hyperlink ref="B12" location="'ST 02003'!A1" display="Steering Upper Shaft Pivot"/>
    <hyperlink ref="B13" location="'ST 02004'!A1" display="Steering Bore"/>
    <hyperlink ref="B14" location="'ST 02005'!A1" display="Steering Bore suppor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I9" sqref="I9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9" max="9" width="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3.6317736866249999</v>
      </c>
    </row>
    <row r="3" spans="1:14" x14ac:dyDescent="0.3">
      <c r="A3" s="72" t="s">
        <v>5</v>
      </c>
      <c r="B3" s="10" t="s">
        <v>6</v>
      </c>
      <c r="C3" s="11"/>
      <c r="D3" s="13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3.6317736866249999</v>
      </c>
    </row>
    <row r="6" spans="1:14" x14ac:dyDescent="0.3">
      <c r="A6" s="72" t="s">
        <v>11</v>
      </c>
      <c r="B6" s="14" t="s">
        <v>187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31" t="s">
        <v>190</v>
      </c>
      <c r="C11" s="132" t="s">
        <v>191</v>
      </c>
      <c r="D11" s="133">
        <v>2.25</v>
      </c>
      <c r="E11" s="134">
        <f>J11*K11*L11</f>
        <v>0.1156010625</v>
      </c>
      <c r="F11" s="135" t="s">
        <v>42</v>
      </c>
      <c r="G11" s="135"/>
      <c r="H11" s="136"/>
      <c r="I11" s="137" t="s">
        <v>232</v>
      </c>
      <c r="J11" s="138">
        <f xml:space="preserve"> 3.1416*12.5^2*10^-6</f>
        <v>4.9087499999999999E-4</v>
      </c>
      <c r="K11" s="139">
        <v>0.03</v>
      </c>
      <c r="L11" s="131">
        <v>7850</v>
      </c>
      <c r="M11" s="140">
        <v>1</v>
      </c>
      <c r="N11" s="133">
        <f>D11*E11</f>
        <v>0.26010239062500001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0.26010239062500001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141" t="s">
        <v>47</v>
      </c>
      <c r="C15" s="142" t="s">
        <v>193</v>
      </c>
      <c r="D15" s="143">
        <v>1.3</v>
      </c>
      <c r="E15" s="144" t="s">
        <v>137</v>
      </c>
      <c r="F15" s="145">
        <v>1</v>
      </c>
      <c r="G15" s="145"/>
      <c r="H15" s="145"/>
      <c r="I15" s="146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45">
        <v>20</v>
      </c>
      <c r="B16" s="141" t="s">
        <v>104</v>
      </c>
      <c r="C16" s="29" t="s">
        <v>194</v>
      </c>
      <c r="D16" s="143">
        <v>0.35</v>
      </c>
      <c r="E16" s="29" t="s">
        <v>105</v>
      </c>
      <c r="F16" s="29">
        <v>1</v>
      </c>
      <c r="G16" s="29"/>
      <c r="H16" s="29"/>
      <c r="I16" s="146">
        <f>D16*F16</f>
        <v>0.35</v>
      </c>
      <c r="J16" s="10"/>
      <c r="K16" s="10"/>
      <c r="L16" s="10"/>
      <c r="M16" s="10"/>
      <c r="N16" s="10"/>
    </row>
    <row r="17" spans="1:14" ht="28.8" x14ac:dyDescent="0.3">
      <c r="A17" s="27">
        <v>30</v>
      </c>
      <c r="B17" s="28" t="s">
        <v>48</v>
      </c>
      <c r="C17" s="29" t="s">
        <v>197</v>
      </c>
      <c r="D17" s="35">
        <v>0.04</v>
      </c>
      <c r="E17" s="28" t="s">
        <v>49</v>
      </c>
      <c r="F17" s="36">
        <f>(J11 - 0.012^2*3.1416)*4.8*10^4</f>
        <v>1.8472607999999984</v>
      </c>
      <c r="G17" s="28" t="s">
        <v>61</v>
      </c>
      <c r="H17" s="31">
        <v>3</v>
      </c>
      <c r="I17" s="32">
        <f>D17*F17*H17</f>
        <v>0.2216712959999998</v>
      </c>
      <c r="J17" s="10"/>
      <c r="K17" s="10"/>
      <c r="L17" s="10"/>
      <c r="M17" s="10"/>
      <c r="N17" s="10"/>
    </row>
    <row r="18" spans="1:14" ht="57.6" x14ac:dyDescent="0.3">
      <c r="A18" s="145">
        <v>40</v>
      </c>
      <c r="B18" s="147" t="s">
        <v>195</v>
      </c>
      <c r="C18" s="148" t="s">
        <v>196</v>
      </c>
      <c r="D18" s="143">
        <v>0.5</v>
      </c>
      <c r="E18" s="149" t="s">
        <v>50</v>
      </c>
      <c r="F18" s="59">
        <v>1</v>
      </c>
      <c r="G18" s="59"/>
      <c r="H18" s="59"/>
      <c r="I18" s="146">
        <f>D18*K11*100</f>
        <v>1.5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3.3716712959999997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7"/>
  <sheetViews>
    <sheetView workbookViewId="0">
      <selection activeCell="K22" sqref="K22"/>
    </sheetView>
  </sheetViews>
  <sheetFormatPr baseColWidth="10" defaultRowHeight="14.4" x14ac:dyDescent="0.3"/>
  <cols>
    <col min="2" max="2" width="19.6640625" bestFit="1" customWidth="1"/>
    <col min="3" max="3" width="32.77734375" bestFit="1" customWidth="1"/>
    <col min="9" max="9" width="22.21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N12+I17</f>
        <v>2.1062500000000002</v>
      </c>
    </row>
    <row r="3" spans="1:14" x14ac:dyDescent="0.3">
      <c r="A3" s="72" t="s">
        <v>5</v>
      </c>
      <c r="B3" s="10" t="s">
        <v>6</v>
      </c>
      <c r="C3" s="11"/>
      <c r="D3" s="13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188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2.1062500000000002</v>
      </c>
    </row>
    <row r="6" spans="1:14" x14ac:dyDescent="0.3">
      <c r="A6" s="72" t="s">
        <v>11</v>
      </c>
      <c r="B6" s="14" t="s">
        <v>189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52" t="s">
        <v>190</v>
      </c>
      <c r="C11" s="153" t="s">
        <v>198</v>
      </c>
      <c r="D11" s="154">
        <v>2.25</v>
      </c>
      <c r="E11" s="161">
        <v>0.22500000000000001</v>
      </c>
      <c r="F11" s="155" t="s">
        <v>42</v>
      </c>
      <c r="G11" s="155"/>
      <c r="H11" s="156"/>
      <c r="I11" s="157" t="s">
        <v>199</v>
      </c>
      <c r="J11" s="160">
        <f>(20^2-17^2)*3.1416*10^-6</f>
        <v>3.487176E-4</v>
      </c>
      <c r="K11" s="158">
        <v>0.33500000000000002</v>
      </c>
      <c r="L11" s="152">
        <v>7850</v>
      </c>
      <c r="M11" s="159">
        <v>1</v>
      </c>
      <c r="N11" s="154">
        <f>E11*D11*M11</f>
        <v>0.50624999999999998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0.50624999999999998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201</v>
      </c>
      <c r="D15" s="35">
        <v>1.3</v>
      </c>
      <c r="E15" s="33" t="s">
        <v>44</v>
      </c>
      <c r="F15" s="31">
        <v>1</v>
      </c>
      <c r="G15" s="28"/>
      <c r="H15" s="29"/>
      <c r="I15" s="32">
        <f>D15*F15</f>
        <v>1.3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202</v>
      </c>
      <c r="C16" s="29" t="s">
        <v>203</v>
      </c>
      <c r="D16" s="163">
        <v>0.15</v>
      </c>
      <c r="E16" s="28" t="s">
        <v>50</v>
      </c>
      <c r="F16" s="56">
        <v>2</v>
      </c>
      <c r="G16" s="28"/>
      <c r="H16" s="31"/>
      <c r="I16" s="32">
        <f>D16*F16</f>
        <v>0.3</v>
      </c>
      <c r="J16" s="10"/>
      <c r="K16" s="10"/>
      <c r="L16" s="10"/>
      <c r="M16" s="10"/>
      <c r="N16" s="10"/>
    </row>
    <row r="17" spans="1:14" x14ac:dyDescent="0.3">
      <c r="A17" s="25"/>
      <c r="B17" s="25"/>
      <c r="C17" s="25"/>
      <c r="D17" s="25"/>
      <c r="E17" s="25"/>
      <c r="F17" s="25"/>
      <c r="G17" s="25"/>
      <c r="H17" s="76" t="s">
        <v>23</v>
      </c>
      <c r="I17" s="77">
        <f>SUM(I15:I16)</f>
        <v>1.6</v>
      </c>
      <c r="J17" s="25"/>
      <c r="K17" s="25"/>
      <c r="L17" s="25"/>
      <c r="M17" s="25"/>
      <c r="N17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topLeftCell="A3" workbookViewId="0">
      <selection activeCell="I16" sqref="A16:I16"/>
    </sheetView>
  </sheetViews>
  <sheetFormatPr baseColWidth="10" defaultColWidth="8.88671875" defaultRowHeight="14.4" x14ac:dyDescent="0.3"/>
  <cols>
    <col min="2" max="2" width="22.33203125" bestFit="1" customWidth="1"/>
    <col min="3" max="3" width="23.77734375" bestFit="1" customWidth="1"/>
    <col min="4" max="4" width="14.21875" customWidth="1"/>
    <col min="5" max="5" width="5.5546875" bestFit="1" customWidth="1"/>
    <col min="6" max="6" width="11.6640625" bestFit="1" customWidth="1"/>
    <col min="7" max="7" width="9.1093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N12+I22</f>
        <v>7.5644642915000002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7.5644642915000002</v>
      </c>
    </row>
    <row r="6" spans="1:14" x14ac:dyDescent="0.3">
      <c r="A6" s="72" t="s">
        <v>11</v>
      </c>
      <c r="B6" s="14" t="s">
        <v>63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57.6" x14ac:dyDescent="0.3">
      <c r="A11" s="15">
        <v>10</v>
      </c>
      <c r="B11" s="16" t="s">
        <v>40</v>
      </c>
      <c r="C11" s="17" t="s">
        <v>41</v>
      </c>
      <c r="D11" s="18">
        <v>2.25</v>
      </c>
      <c r="E11" s="19">
        <f>J11*K11*L11</f>
        <v>0.43258995</v>
      </c>
      <c r="F11" s="15" t="s">
        <v>42</v>
      </c>
      <c r="G11" s="15"/>
      <c r="H11" s="20"/>
      <c r="I11" s="21" t="s">
        <v>51</v>
      </c>
      <c r="J11" s="22">
        <f>3.14*(0.015)^2</f>
        <v>7.0649999999999999E-4</v>
      </c>
      <c r="K11" s="20">
        <v>7.8E-2</v>
      </c>
      <c r="L11" s="23">
        <v>7850</v>
      </c>
      <c r="M11" s="23">
        <v>1</v>
      </c>
      <c r="N11" s="24">
        <f>IF(J11="",D11*M11,D11*J11*K11*L11*M11)</f>
        <v>0.97332738749999992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0.97332738749999992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  <c r="J15" s="10"/>
      <c r="K15" s="10"/>
      <c r="L15" s="10"/>
      <c r="M15" s="10"/>
      <c r="N15" s="10"/>
    </row>
    <row r="16" spans="1:14" ht="28.8" x14ac:dyDescent="0.3">
      <c r="A16" s="27">
        <v>20</v>
      </c>
      <c r="B16" s="28" t="s">
        <v>48</v>
      </c>
      <c r="C16" s="29" t="s">
        <v>62</v>
      </c>
      <c r="D16" s="35">
        <v>0.04</v>
      </c>
      <c r="E16" s="28" t="s">
        <v>49</v>
      </c>
      <c r="F16" s="36">
        <f>(J11 - 0.012^2*3.1416)*4.8*10^4</f>
        <v>12.197260799999999</v>
      </c>
      <c r="G16" s="28" t="s">
        <v>61</v>
      </c>
      <c r="H16" s="31">
        <v>3</v>
      </c>
      <c r="I16" s="32">
        <f>D16*F16*H16</f>
        <v>1.463671296</v>
      </c>
      <c r="J16" s="10"/>
      <c r="K16" s="10"/>
      <c r="L16" s="10"/>
      <c r="M16" s="10"/>
      <c r="N16" s="10"/>
    </row>
    <row r="17" spans="1:14" x14ac:dyDescent="0.3">
      <c r="A17" s="27">
        <v>30</v>
      </c>
      <c r="B17" s="28" t="s">
        <v>56</v>
      </c>
      <c r="C17" s="29" t="s">
        <v>57</v>
      </c>
      <c r="D17" s="37">
        <v>0.5</v>
      </c>
      <c r="E17" s="28" t="s">
        <v>50</v>
      </c>
      <c r="F17" s="36">
        <v>2.2000000000000002</v>
      </c>
      <c r="G17" s="31"/>
      <c r="H17" s="31"/>
      <c r="I17" s="32">
        <f>D17*F17</f>
        <v>1.1000000000000001</v>
      </c>
      <c r="J17" s="10"/>
      <c r="K17" s="10"/>
      <c r="L17" s="10"/>
      <c r="M17" s="10"/>
      <c r="N17" s="10"/>
    </row>
    <row r="18" spans="1:14" x14ac:dyDescent="0.3">
      <c r="A18" s="27">
        <v>40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50</v>
      </c>
      <c r="B19" s="33" t="s">
        <v>48</v>
      </c>
      <c r="C19" s="31" t="s">
        <v>55</v>
      </c>
      <c r="D19" s="35">
        <v>0.04</v>
      </c>
      <c r="E19" s="28" t="s">
        <v>49</v>
      </c>
      <c r="F19" s="38">
        <f>(J11 - 3.1416*0.0085^2)*1.1*10^4</f>
        <v>5.2747134000000004</v>
      </c>
      <c r="G19" s="28" t="s">
        <v>61</v>
      </c>
      <c r="H19" s="31">
        <v>3</v>
      </c>
      <c r="I19" s="32">
        <f>D19*F19*H19</f>
        <v>0.63296560800000012</v>
      </c>
      <c r="J19" s="10"/>
      <c r="K19" s="10"/>
      <c r="L19" s="10"/>
      <c r="M19" s="10"/>
      <c r="N19" s="10"/>
    </row>
    <row r="20" spans="1:14" ht="28.8" x14ac:dyDescent="0.3">
      <c r="A20" s="27">
        <v>60</v>
      </c>
      <c r="B20" s="33" t="s">
        <v>47</v>
      </c>
      <c r="C20" s="34" t="s">
        <v>58</v>
      </c>
      <c r="D20" s="35">
        <v>1.3</v>
      </c>
      <c r="E20" s="33" t="s">
        <v>44</v>
      </c>
      <c r="F20" s="31">
        <v>1</v>
      </c>
      <c r="G20" s="31"/>
      <c r="H20" s="31"/>
      <c r="I20" s="32">
        <f>IF(H20="",D20*F20,D20*F20*H20)</f>
        <v>1.3</v>
      </c>
      <c r="J20" s="10"/>
      <c r="K20" s="10"/>
      <c r="L20" s="10"/>
      <c r="M20" s="10"/>
      <c r="N20" s="10"/>
    </row>
    <row r="21" spans="1:14" x14ac:dyDescent="0.3">
      <c r="A21" s="27">
        <v>70</v>
      </c>
      <c r="B21" s="28" t="s">
        <v>59</v>
      </c>
      <c r="C21" s="29" t="s">
        <v>60</v>
      </c>
      <c r="D21" s="30">
        <v>0.01</v>
      </c>
      <c r="E21" s="28" t="s">
        <v>50</v>
      </c>
      <c r="F21" s="31">
        <f>(0.85*17)</f>
        <v>14.45</v>
      </c>
      <c r="G21" s="31"/>
      <c r="H21" s="31"/>
      <c r="I21" s="32">
        <f>D21*F21</f>
        <v>0.14449999999999999</v>
      </c>
      <c r="J21" s="10"/>
      <c r="K21" s="10"/>
      <c r="L21" s="10"/>
      <c r="M21" s="10"/>
      <c r="N21" s="10"/>
    </row>
    <row r="22" spans="1:14" x14ac:dyDescent="0.3">
      <c r="A22" s="25"/>
      <c r="B22" s="25"/>
      <c r="C22" s="25"/>
      <c r="D22" s="25"/>
      <c r="E22" s="25"/>
      <c r="F22" s="25"/>
      <c r="G22" s="25"/>
      <c r="H22" s="76" t="s">
        <v>23</v>
      </c>
      <c r="I22" s="77">
        <f>SUM(I15:I21)</f>
        <v>6.5911369039999999</v>
      </c>
      <c r="J22" s="25"/>
      <c r="K22" s="25"/>
      <c r="L22" s="25"/>
      <c r="M22" s="25"/>
      <c r="N22" s="25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E26" sqref="E26"/>
    </sheetView>
  </sheetViews>
  <sheetFormatPr baseColWidth="10" defaultRowHeight="14.4" x14ac:dyDescent="0.3"/>
  <cols>
    <col min="2" max="2" width="22.44140625" bestFit="1" customWidth="1"/>
    <col min="3" max="3" width="22.7773437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6.2856945139200011</v>
      </c>
    </row>
    <row r="3" spans="1:14" x14ac:dyDescent="0.3">
      <c r="A3" s="72" t="s">
        <v>5</v>
      </c>
      <c r="B3" s="10" t="s">
        <v>6</v>
      </c>
      <c r="C3" s="11" t="s">
        <v>134</v>
      </c>
      <c r="D3" s="172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212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6.2856945139200011</v>
      </c>
    </row>
    <row r="6" spans="1:14" x14ac:dyDescent="0.3">
      <c r="A6" s="72" t="s">
        <v>11</v>
      </c>
      <c r="B6" s="14" t="s">
        <v>215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31" t="s">
        <v>190</v>
      </c>
      <c r="C11" s="132" t="s">
        <v>223</v>
      </c>
      <c r="D11" s="133">
        <v>2.25</v>
      </c>
      <c r="E11" s="134">
        <f>J11*K11*L11</f>
        <v>0.35986148351999997</v>
      </c>
      <c r="F11" s="135" t="s">
        <v>42</v>
      </c>
      <c r="G11" s="135"/>
      <c r="H11" s="136"/>
      <c r="I11" s="137" t="s">
        <v>214</v>
      </c>
      <c r="J11" s="170">
        <f xml:space="preserve"> 3.1416*16^2*10^-6</f>
        <v>8.0424959999999992E-4</v>
      </c>
      <c r="K11" s="139">
        <v>5.7000000000000002E-2</v>
      </c>
      <c r="L11" s="131">
        <v>7850</v>
      </c>
      <c r="M11" s="140">
        <v>1</v>
      </c>
      <c r="N11" s="133">
        <f>D11*E11</f>
        <v>0.80968833791999995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0.80968833791999995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45">
        <v>10</v>
      </c>
      <c r="B15" s="144" t="s">
        <v>47</v>
      </c>
      <c r="C15" s="142" t="s">
        <v>205</v>
      </c>
      <c r="D15" s="18">
        <v>1.3</v>
      </c>
      <c r="E15" s="144" t="s">
        <v>137</v>
      </c>
      <c r="F15" s="145">
        <v>1</v>
      </c>
      <c r="G15" s="145"/>
      <c r="H15" s="145"/>
      <c r="I15" s="162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45">
        <v>20</v>
      </c>
      <c r="B16" s="144" t="s">
        <v>48</v>
      </c>
      <c r="C16" s="46" t="s">
        <v>216</v>
      </c>
      <c r="D16" s="18">
        <v>0.04</v>
      </c>
      <c r="E16" s="94" t="s">
        <v>49</v>
      </c>
      <c r="F16" s="171">
        <f>(1.6^2-1.5^2)*3.1416*0.7 + (1.6^2-1.2^2)*3.1416*1.8 + (1.6^2-1.5^2)*3.1416*1.6 + 3.1416*4.2</f>
        <v>21.768146400000006</v>
      </c>
      <c r="G16" s="94" t="s">
        <v>61</v>
      </c>
      <c r="H16" s="145">
        <v>3</v>
      </c>
      <c r="I16" s="162">
        <f>D16*F16*H16</f>
        <v>2.6121775680000008</v>
      </c>
      <c r="J16" s="10"/>
      <c r="K16" s="10"/>
      <c r="L16" s="10"/>
      <c r="M16" s="10"/>
      <c r="N16" s="10"/>
    </row>
    <row r="17" spans="1:14" x14ac:dyDescent="0.3">
      <c r="A17" s="145">
        <v>30</v>
      </c>
      <c r="B17" s="94" t="s">
        <v>53</v>
      </c>
      <c r="C17" s="15" t="s">
        <v>54</v>
      </c>
      <c r="D17" s="18">
        <v>0.65</v>
      </c>
      <c r="E17" s="144" t="s">
        <v>44</v>
      </c>
      <c r="F17" s="145">
        <v>1</v>
      </c>
      <c r="G17" s="145"/>
      <c r="H17" s="145"/>
      <c r="I17" s="162">
        <f>IF(H17="",D17*F17,D17*F17*H17)</f>
        <v>0.65</v>
      </c>
      <c r="J17" s="10"/>
      <c r="K17" s="10"/>
      <c r="L17" s="10"/>
      <c r="M17" s="10"/>
      <c r="N17" s="10"/>
    </row>
    <row r="18" spans="1:14" ht="28.8" x14ac:dyDescent="0.3">
      <c r="A18" s="145">
        <v>40</v>
      </c>
      <c r="B18" s="144" t="s">
        <v>48</v>
      </c>
      <c r="C18" s="46" t="s">
        <v>217</v>
      </c>
      <c r="D18" s="18">
        <v>0.04</v>
      </c>
      <c r="E18" s="94" t="s">
        <v>49</v>
      </c>
      <c r="F18" s="171">
        <f>(1.6^2-0.8^2)*3.1416 + 1.4*3.1416*0.6^2</f>
        <v>7.6152384000000009</v>
      </c>
      <c r="G18" s="94" t="s">
        <v>61</v>
      </c>
      <c r="H18" s="145">
        <v>3</v>
      </c>
      <c r="I18" s="162">
        <f>D18*F18*H18</f>
        <v>0.91382860799999999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5.4760061760000012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  <hyperlink ref="D3" location="'ST 02003 Drawing'!A1" display="FileLink1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218</v>
      </c>
    </row>
  </sheetData>
  <hyperlinks>
    <hyperlink ref="A1" location="'ST 02003'!A1" display="ST 02003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A17" sqref="A17:I17"/>
    </sheetView>
  </sheetViews>
  <sheetFormatPr baseColWidth="10" defaultRowHeight="14.4" x14ac:dyDescent="0.3"/>
  <cols>
    <col min="2" max="2" width="19.6640625" bestFit="1" customWidth="1"/>
    <col min="3" max="3" width="26.5546875" bestFit="1" customWidth="1"/>
    <col min="9" max="9" width="28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9.1730310028800002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221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220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9.1730310028800002</v>
      </c>
    </row>
    <row r="6" spans="1:14" x14ac:dyDescent="0.3">
      <c r="A6" s="72" t="s">
        <v>11</v>
      </c>
      <c r="B6" s="14" t="s">
        <v>222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31" t="s">
        <v>190</v>
      </c>
      <c r="C11" s="132" t="s">
        <v>79</v>
      </c>
      <c r="D11" s="133">
        <v>2.25</v>
      </c>
      <c r="E11" s="134">
        <f>J11*K11*L11</f>
        <v>0.53979222528000004</v>
      </c>
      <c r="F11" s="135" t="s">
        <v>42</v>
      </c>
      <c r="G11" s="135"/>
      <c r="H11" s="136"/>
      <c r="I11" s="137" t="s">
        <v>224</v>
      </c>
      <c r="J11" s="170">
        <f xml:space="preserve"> 3.1416*0.024^2</f>
        <v>1.8095616000000001E-3</v>
      </c>
      <c r="K11" s="139">
        <v>3.7999999999999999E-2</v>
      </c>
      <c r="L11" s="131">
        <v>7850</v>
      </c>
      <c r="M11" s="140">
        <v>1</v>
      </c>
      <c r="N11" s="133">
        <f>D11*E11</f>
        <v>1.2145325068800001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1.2145325068800001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45">
        <v>10</v>
      </c>
      <c r="B15" s="144" t="s">
        <v>47</v>
      </c>
      <c r="C15" s="142" t="s">
        <v>205</v>
      </c>
      <c r="D15" s="18">
        <v>1.3</v>
      </c>
      <c r="E15" s="144" t="s">
        <v>137</v>
      </c>
      <c r="F15" s="145">
        <v>1</v>
      </c>
      <c r="G15" s="145"/>
      <c r="H15" s="145"/>
      <c r="I15" s="162">
        <f>D15*F15</f>
        <v>1.3</v>
      </c>
      <c r="J15" s="10"/>
      <c r="K15" s="10"/>
      <c r="L15" s="10"/>
      <c r="M15" s="10"/>
      <c r="N15" s="10"/>
    </row>
    <row r="16" spans="1:14" ht="28.8" x14ac:dyDescent="0.3">
      <c r="A16" s="145">
        <v>20</v>
      </c>
      <c r="B16" s="144" t="s">
        <v>48</v>
      </c>
      <c r="C16" s="46" t="s">
        <v>225</v>
      </c>
      <c r="D16" s="18">
        <v>0.04</v>
      </c>
      <c r="E16" s="94" t="s">
        <v>49</v>
      </c>
      <c r="F16" s="171">
        <f>2.1^2*3.1416*0.7 + 2^2*3.1416*2</f>
        <v>34.830919199999997</v>
      </c>
      <c r="G16" s="94" t="s">
        <v>61</v>
      </c>
      <c r="H16" s="145">
        <v>3</v>
      </c>
      <c r="I16" s="162">
        <f>D16*F16*H16</f>
        <v>4.1797103040000003</v>
      </c>
      <c r="J16" s="10"/>
      <c r="K16" s="10"/>
      <c r="L16" s="10"/>
      <c r="M16" s="10"/>
      <c r="N16" s="10"/>
    </row>
    <row r="17" spans="1:14" ht="28.8" x14ac:dyDescent="0.3">
      <c r="A17" s="145">
        <v>30</v>
      </c>
      <c r="B17" s="94" t="s">
        <v>53</v>
      </c>
      <c r="C17" s="15" t="s">
        <v>226</v>
      </c>
      <c r="D17" s="18">
        <v>0.65</v>
      </c>
      <c r="E17" s="144" t="s">
        <v>44</v>
      </c>
      <c r="F17" s="145">
        <v>1</v>
      </c>
      <c r="G17" s="145"/>
      <c r="H17" s="145"/>
      <c r="I17" s="162">
        <f>IF(H17="",D17*F17,D17*F17*H17)</f>
        <v>0.65</v>
      </c>
      <c r="J17" s="10"/>
      <c r="K17" s="10"/>
      <c r="L17" s="10"/>
      <c r="M17" s="10"/>
      <c r="N17" s="10"/>
    </row>
    <row r="18" spans="1:14" ht="28.8" x14ac:dyDescent="0.3">
      <c r="A18" s="145">
        <v>40</v>
      </c>
      <c r="B18" s="144" t="s">
        <v>48</v>
      </c>
      <c r="C18" s="46" t="s">
        <v>227</v>
      </c>
      <c r="D18" s="18">
        <v>0.04</v>
      </c>
      <c r="E18" s="94" t="s">
        <v>49</v>
      </c>
      <c r="F18" s="171">
        <f>2.1^2*3.1416*1.1</f>
        <v>15.239901600000001</v>
      </c>
      <c r="G18" s="94" t="s">
        <v>61</v>
      </c>
      <c r="H18" s="145">
        <v>3</v>
      </c>
      <c r="I18" s="162">
        <f>D18*F18*H18</f>
        <v>1.8287881920000002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7.9584984960000007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Rack "/>
    <hyperlink ref="D3" location="'ST 02004 Drawing'!A1" display="FileLink1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/>
  </sheetViews>
  <sheetFormatPr baseColWidth="10" defaultRowHeight="14.4" x14ac:dyDescent="0.3"/>
  <sheetData>
    <row r="1" spans="1:1" x14ac:dyDescent="0.3">
      <c r="A1" s="89" t="s">
        <v>219</v>
      </c>
    </row>
  </sheetData>
  <hyperlinks>
    <hyperlink ref="A1" location="'ST 02004'!A1" display="ST 02004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19"/>
  <sheetViews>
    <sheetView workbookViewId="0">
      <selection activeCell="B4" sqref="B4"/>
    </sheetView>
  </sheetViews>
  <sheetFormatPr baseColWidth="10" defaultRowHeight="14.4" x14ac:dyDescent="0.3"/>
  <cols>
    <col min="2" max="2" width="21.77734375" bestFit="1" customWidth="1"/>
    <col min="3" max="3" width="20.109375" bestFit="1" customWidth="1"/>
    <col min="7" max="7" width="27.6640625" bestFit="1" customWidth="1"/>
    <col min="9" max="9" width="22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1.3271904506699999</v>
      </c>
    </row>
    <row r="3" spans="1:14" x14ac:dyDescent="0.3">
      <c r="A3" s="72" t="s">
        <v>5</v>
      </c>
      <c r="B3" s="10" t="s">
        <v>6</v>
      </c>
      <c r="C3" s="11"/>
      <c r="D3" s="130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184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229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2.6543809013399997</v>
      </c>
    </row>
    <row r="6" spans="1:14" x14ac:dyDescent="0.3">
      <c r="A6" s="72" t="s">
        <v>11</v>
      </c>
      <c r="B6" s="14" t="s">
        <v>230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43.2" x14ac:dyDescent="0.3">
      <c r="A8" s="72" t="s">
        <v>17</v>
      </c>
      <c r="B8" s="178" t="s">
        <v>231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15">
        <v>10</v>
      </c>
      <c r="B11" s="131" t="s">
        <v>190</v>
      </c>
      <c r="C11" s="132" t="s">
        <v>79</v>
      </c>
      <c r="D11" s="133">
        <v>2.25</v>
      </c>
      <c r="E11" s="134">
        <f>J11*K11*L11</f>
        <v>0.11386242251999998</v>
      </c>
      <c r="F11" s="135" t="s">
        <v>42</v>
      </c>
      <c r="G11" s="135"/>
      <c r="H11" s="136"/>
      <c r="I11" s="137" t="s">
        <v>192</v>
      </c>
      <c r="J11" s="179">
        <f xml:space="preserve"> 3.1416*(0.0075^2-0.006^2)</f>
        <v>6.3617399999999985E-5</v>
      </c>
      <c r="K11" s="139">
        <v>0.22800000000000001</v>
      </c>
      <c r="L11" s="131">
        <v>7850</v>
      </c>
      <c r="M11" s="140">
        <v>1</v>
      </c>
      <c r="N11" s="133">
        <f>D11*E11</f>
        <v>0.25619045066999996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0.25619045066999996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28.8" x14ac:dyDescent="0.3">
      <c r="A15" s="145">
        <v>10</v>
      </c>
      <c r="B15" s="144" t="s">
        <v>47</v>
      </c>
      <c r="C15" s="142" t="s">
        <v>205</v>
      </c>
      <c r="D15" s="18">
        <v>1.3</v>
      </c>
      <c r="E15" s="144" t="s">
        <v>137</v>
      </c>
      <c r="F15" s="145">
        <v>0.5</v>
      </c>
      <c r="G15" s="31" t="s">
        <v>95</v>
      </c>
      <c r="H15" s="145"/>
      <c r="I15" s="162">
        <f>D15*F15</f>
        <v>0.65</v>
      </c>
      <c r="J15" s="10"/>
      <c r="K15" s="10"/>
      <c r="L15" s="10"/>
      <c r="M15" s="10"/>
      <c r="N15" s="10"/>
    </row>
    <row r="16" spans="1:14" x14ac:dyDescent="0.3">
      <c r="A16" s="145">
        <v>20</v>
      </c>
      <c r="B16" s="26" t="s">
        <v>128</v>
      </c>
      <c r="C16" s="29" t="s">
        <v>233</v>
      </c>
      <c r="D16" s="143">
        <v>0.01</v>
      </c>
      <c r="E16" s="29" t="s">
        <v>50</v>
      </c>
      <c r="F16" s="29">
        <v>4.9000000000000004</v>
      </c>
      <c r="G16" s="29"/>
      <c r="H16" s="29"/>
      <c r="I16" s="146">
        <f>F16*D16</f>
        <v>4.9000000000000002E-2</v>
      </c>
      <c r="J16" s="10"/>
      <c r="K16" s="10"/>
      <c r="L16" s="10"/>
      <c r="M16" s="10"/>
      <c r="N16" s="10"/>
    </row>
    <row r="17" spans="1:14" x14ac:dyDescent="0.3">
      <c r="A17" s="145">
        <v>30</v>
      </c>
      <c r="B17" s="94" t="s">
        <v>53</v>
      </c>
      <c r="C17" s="148" t="s">
        <v>234</v>
      </c>
      <c r="D17" s="18">
        <v>0.65</v>
      </c>
      <c r="E17" s="144" t="s">
        <v>44</v>
      </c>
      <c r="F17" s="145">
        <v>0.5</v>
      </c>
      <c r="G17" s="31" t="s">
        <v>95</v>
      </c>
      <c r="H17" s="145"/>
      <c r="I17" s="162">
        <f>IF(H17="",D17*F17,D17*F17*H17)</f>
        <v>0.32500000000000001</v>
      </c>
      <c r="J17" s="10"/>
      <c r="K17" s="10"/>
      <c r="L17" s="10"/>
      <c r="M17" s="10"/>
      <c r="N17" s="10"/>
    </row>
    <row r="18" spans="1:14" x14ac:dyDescent="0.3">
      <c r="A18" s="145">
        <v>40</v>
      </c>
      <c r="B18" s="26" t="s">
        <v>128</v>
      </c>
      <c r="C18" s="148" t="s">
        <v>234</v>
      </c>
      <c r="D18" s="143">
        <v>0.01</v>
      </c>
      <c r="E18" s="29" t="s">
        <v>50</v>
      </c>
      <c r="F18" s="29">
        <v>4.7</v>
      </c>
      <c r="G18" s="29"/>
      <c r="H18" s="29"/>
      <c r="I18" s="146">
        <f>F18*D18</f>
        <v>4.7E-2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1.071</v>
      </c>
      <c r="J19" s="25"/>
      <c r="K19" s="25"/>
      <c r="L19" s="25"/>
      <c r="M19" s="25"/>
      <c r="N19" s="25"/>
    </row>
  </sheetData>
  <hyperlinks>
    <hyperlink ref="F2" location="BOM!A1" display="Back to BOM"/>
    <hyperlink ref="B4" location="'ST A0200'!A1" display="Steering Column assy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P23"/>
  <sheetViews>
    <sheetView topLeftCell="A4" workbookViewId="0">
      <selection activeCell="B4" sqref="B4"/>
    </sheetView>
  </sheetViews>
  <sheetFormatPr baseColWidth="10" defaultColWidth="8.88671875" defaultRowHeight="14.4" x14ac:dyDescent="0.3"/>
  <cols>
    <col min="2" max="2" width="22.33203125" bestFit="1" customWidth="1"/>
    <col min="3" max="3" width="23.44140625" bestFit="1" customWidth="1"/>
    <col min="4" max="4" width="8.21875" bestFit="1" customWidth="1"/>
    <col min="9" max="9" width="10.332031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N12+I23</f>
        <v>6.0399419045000009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24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6.0399419045000009</v>
      </c>
    </row>
    <row r="6" spans="1:14" x14ac:dyDescent="0.3">
      <c r="A6" s="72" t="s">
        <v>11</v>
      </c>
      <c r="B6" s="14" t="s">
        <v>27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15">
        <v>10</v>
      </c>
      <c r="B11" s="16" t="s">
        <v>40</v>
      </c>
      <c r="C11" s="17" t="s">
        <v>71</v>
      </c>
      <c r="D11" s="18">
        <v>2.25</v>
      </c>
      <c r="E11" s="19">
        <f>J11*K11*L11</f>
        <v>0.54351044999999998</v>
      </c>
      <c r="F11" s="15" t="s">
        <v>42</v>
      </c>
      <c r="G11" s="15"/>
      <c r="H11" s="20"/>
      <c r="I11" s="21" t="s">
        <v>51</v>
      </c>
      <c r="J11" s="22">
        <f>3.14*(0.0075)^2</f>
        <v>1.76625E-4</v>
      </c>
      <c r="K11" s="20">
        <v>0.39200000000000002</v>
      </c>
      <c r="L11" s="23">
        <v>7850</v>
      </c>
      <c r="M11" s="23">
        <v>1</v>
      </c>
      <c r="N11" s="24">
        <f>IF(J11="",D11*M11,D11*J11*K11*L11*M11)</f>
        <v>1.2228985125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1.2228985125</v>
      </c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</row>
    <row r="15" spans="1:14" ht="28.8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1</v>
      </c>
      <c r="G15" s="31"/>
      <c r="H15" s="31"/>
      <c r="I15" s="32">
        <f>IF(H15="",D15*F15,D15*F15*H15)</f>
        <v>1.3</v>
      </c>
    </row>
    <row r="16" spans="1:14" ht="28.8" x14ac:dyDescent="0.3">
      <c r="A16" s="27">
        <v>20</v>
      </c>
      <c r="B16" s="28" t="s">
        <v>48</v>
      </c>
      <c r="C16" s="29" t="s">
        <v>72</v>
      </c>
      <c r="D16" s="35">
        <v>0.04</v>
      </c>
      <c r="E16" s="28" t="s">
        <v>49</v>
      </c>
      <c r="F16" s="36">
        <f>(0.006^2*3.1416)*0.3*10^4 + 2*0.003^2*3.1416*10^4</f>
        <v>0.90478079999999994</v>
      </c>
      <c r="G16" s="28" t="s">
        <v>61</v>
      </c>
      <c r="H16" s="31">
        <v>3</v>
      </c>
      <c r="I16" s="32">
        <f>D16*F16*H16</f>
        <v>0.108573696</v>
      </c>
    </row>
    <row r="17" spans="1:16" ht="28.8" x14ac:dyDescent="0.3">
      <c r="A17" s="27">
        <v>30</v>
      </c>
      <c r="B17" s="26" t="s">
        <v>73</v>
      </c>
      <c r="C17" s="29" t="s">
        <v>74</v>
      </c>
      <c r="D17" s="35">
        <v>0.1</v>
      </c>
      <c r="E17" s="26" t="s">
        <v>50</v>
      </c>
      <c r="F17" s="36">
        <v>2</v>
      </c>
      <c r="G17" s="31"/>
      <c r="H17" s="31"/>
      <c r="I17" s="32">
        <f>D17*F17</f>
        <v>0.2</v>
      </c>
    </row>
    <row r="18" spans="1:16" x14ac:dyDescent="0.3">
      <c r="A18" s="27">
        <v>40</v>
      </c>
      <c r="B18" s="28" t="s">
        <v>53</v>
      </c>
      <c r="C18" s="27" t="s">
        <v>75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P18" t="s">
        <v>87</v>
      </c>
    </row>
    <row r="19" spans="1:16" ht="28.8" x14ac:dyDescent="0.3">
      <c r="A19" s="27">
        <v>50</v>
      </c>
      <c r="B19" s="28" t="s">
        <v>48</v>
      </c>
      <c r="C19" s="29" t="s">
        <v>107</v>
      </c>
      <c r="D19" s="35">
        <v>0.04</v>
      </c>
      <c r="E19" s="28" t="s">
        <v>49</v>
      </c>
      <c r="F19" s="36">
        <f>(0.006^2*3.1416)*0.3*10^4 + 2*0.003^2*3.1416*10^4</f>
        <v>0.90478079999999994</v>
      </c>
      <c r="G19" s="28" t="s">
        <v>61</v>
      </c>
      <c r="H19" s="31">
        <v>3</v>
      </c>
      <c r="I19" s="32">
        <f>D19*F19*H19</f>
        <v>0.108573696</v>
      </c>
    </row>
    <row r="20" spans="1:16" ht="28.8" x14ac:dyDescent="0.3">
      <c r="A20" s="27">
        <v>60</v>
      </c>
      <c r="B20" s="26" t="s">
        <v>73</v>
      </c>
      <c r="C20" s="29" t="s">
        <v>108</v>
      </c>
      <c r="D20" s="35">
        <v>0.1</v>
      </c>
      <c r="E20" s="26" t="s">
        <v>50</v>
      </c>
      <c r="F20" s="36">
        <v>2</v>
      </c>
      <c r="G20" s="31"/>
      <c r="H20" s="31"/>
      <c r="I20" s="32">
        <f>D20*F20</f>
        <v>0.2</v>
      </c>
    </row>
    <row r="21" spans="1:16" ht="28.8" x14ac:dyDescent="0.3">
      <c r="A21" s="31">
        <v>70</v>
      </c>
      <c r="B21" s="33" t="s">
        <v>47</v>
      </c>
      <c r="C21" s="34" t="s">
        <v>109</v>
      </c>
      <c r="D21" s="35">
        <v>1.3</v>
      </c>
      <c r="E21" s="33" t="s">
        <v>44</v>
      </c>
      <c r="F21" s="31">
        <v>1</v>
      </c>
      <c r="G21" s="31"/>
      <c r="H21" s="31"/>
      <c r="I21" s="32">
        <f>IF(H21="",D21*F21,D21*F21*H21)</f>
        <v>1.3</v>
      </c>
    </row>
    <row r="22" spans="1:16" ht="28.8" x14ac:dyDescent="0.3">
      <c r="A22" s="31">
        <v>80</v>
      </c>
      <c r="B22" s="28" t="s">
        <v>48</v>
      </c>
      <c r="C22" s="29" t="s">
        <v>110</v>
      </c>
      <c r="D22" s="35">
        <v>0.04</v>
      </c>
      <c r="E22" s="28" t="s">
        <v>49</v>
      </c>
      <c r="F22" s="36">
        <f>0.2*0.37*1.5*19+9.6*0.433 +11*0.15</f>
        <v>7.9157999999999991</v>
      </c>
      <c r="G22" s="28" t="s">
        <v>61</v>
      </c>
      <c r="H22" s="31">
        <v>3</v>
      </c>
      <c r="I22" s="32">
        <f>D22*F22*H22</f>
        <v>0.94989599999999985</v>
      </c>
    </row>
    <row r="23" spans="1:16" x14ac:dyDescent="0.3">
      <c r="A23" s="25"/>
      <c r="B23" s="25"/>
      <c r="C23" s="25"/>
      <c r="D23" s="25"/>
      <c r="E23" s="25"/>
      <c r="F23" s="25"/>
      <c r="G23" s="25"/>
      <c r="H23" s="76" t="s">
        <v>23</v>
      </c>
      <c r="I23" s="77">
        <f>SUM(I15:I22)</f>
        <v>4.8170433920000004</v>
      </c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5.554687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2.5686556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81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2.5686556</v>
      </c>
    </row>
    <row r="6" spans="1:14" x14ac:dyDescent="0.3">
      <c r="A6" s="72" t="s">
        <v>11</v>
      </c>
      <c r="B6" s="14" t="s">
        <v>77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5.4917999999999995E-2</v>
      </c>
      <c r="F11" s="27" t="s">
        <v>42</v>
      </c>
      <c r="G11" s="27"/>
      <c r="H11" s="51"/>
      <c r="I11" s="52" t="s">
        <v>78</v>
      </c>
      <c r="J11" s="53">
        <f>0.045*0.05</f>
        <v>2.2499999999999998E-3</v>
      </c>
      <c r="K11" s="51">
        <v>8.9999999999999993E-3</v>
      </c>
      <c r="L11" s="54">
        <v>2712</v>
      </c>
      <c r="M11" s="54">
        <v>1</v>
      </c>
      <c r="N11" s="55">
        <f>IF(J11="",D11*M11,D11*J11*K11*L11*M11)</f>
        <v>0.23065559999999999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2.8E-3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2.8000000000000001E-2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0.25865559999999999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0.75*0.001*10^4</f>
        <v>7.5</v>
      </c>
      <c r="G17" s="28" t="s">
        <v>84</v>
      </c>
      <c r="H17" s="31">
        <v>1</v>
      </c>
      <c r="I17" s="32">
        <f>D17*F17*H17</f>
        <v>0.3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1</v>
      </c>
      <c r="G18" s="31"/>
      <c r="H18" s="31"/>
      <c r="I18" s="32">
        <f>IF(H18="",D18*F18,D18*F18*H18)</f>
        <v>0.65</v>
      </c>
      <c r="J18" s="10"/>
      <c r="K18" s="10"/>
      <c r="L18" s="10"/>
      <c r="M18" s="10"/>
      <c r="N18" s="10"/>
    </row>
    <row r="19" spans="1:14" ht="28.8" x14ac:dyDescent="0.3">
      <c r="A19" s="27">
        <v>40</v>
      </c>
      <c r="B19" s="28" t="s">
        <v>48</v>
      </c>
      <c r="C19" s="29" t="s">
        <v>83</v>
      </c>
      <c r="D19" s="35">
        <v>0.04</v>
      </c>
      <c r="E19" s="28" t="s">
        <v>49</v>
      </c>
      <c r="F19" s="31">
        <v>1.5</v>
      </c>
      <c r="G19" s="28" t="s">
        <v>84</v>
      </c>
      <c r="H19" s="31">
        <v>1</v>
      </c>
      <c r="I19" s="32">
        <f>D19*F19*H19</f>
        <v>0.06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14*2*10^-4</f>
        <v>2.8E-3</v>
      </c>
      <c r="G20" s="28"/>
      <c r="H20" s="31"/>
      <c r="I20" s="32">
        <f>D20*F20</f>
        <v>1.47E-2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SUM(I16:I19)</f>
        <v>2.31</v>
      </c>
      <c r="J21" s="25"/>
      <c r="K21" s="25"/>
      <c r="L21" s="25"/>
      <c r="M21" s="25"/>
      <c r="N21" s="25"/>
    </row>
    <row r="22" spans="1:14" x14ac:dyDescent="0.3">
      <c r="B22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5"/>
  <sheetViews>
    <sheetView workbookViewId="0">
      <selection activeCell="A19" sqref="A19:I19"/>
    </sheetView>
  </sheetViews>
  <sheetFormatPr baseColWidth="10" defaultRowHeight="14.4" x14ac:dyDescent="0.3"/>
  <cols>
    <col min="2" max="2" width="22.33203125" bestFit="1" customWidth="1"/>
    <col min="3" max="3" width="23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N13+I24</f>
        <v>6.2552780440000006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76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6.2552780440000006</v>
      </c>
    </row>
    <row r="6" spans="1:14" x14ac:dyDescent="0.3">
      <c r="A6" s="72" t="s">
        <v>11</v>
      </c>
      <c r="B6" s="14" t="s">
        <v>94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0.23052000000000006</v>
      </c>
      <c r="F11" s="27" t="s">
        <v>42</v>
      </c>
      <c r="G11" s="27"/>
      <c r="H11" s="51"/>
      <c r="I11" s="52" t="s">
        <v>78</v>
      </c>
      <c r="J11" s="53">
        <f>0.05*0.05</f>
        <v>2.5000000000000005E-3</v>
      </c>
      <c r="K11" s="51">
        <v>3.4000000000000002E-2</v>
      </c>
      <c r="L11" s="54">
        <v>2712</v>
      </c>
      <c r="M11" s="54">
        <v>1</v>
      </c>
      <c r="N11" s="55">
        <f>IF(J11="",D11*M11,D11*J11*K11*L11*M11)</f>
        <v>0.96818400000000027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66">
        <f>F23</f>
        <v>8.3660000000000002E-3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8.3659999999999998E-2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1.0518440000000002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1</v>
      </c>
      <c r="G16" s="31"/>
      <c r="H16" s="31"/>
      <c r="I16" s="32">
        <f>IF(H16="",D16*F16,D16*F16*H16)</f>
        <v>1.3</v>
      </c>
      <c r="J16" s="10"/>
      <c r="K16" s="10"/>
      <c r="L16" s="10"/>
      <c r="M16" s="10"/>
      <c r="N16" s="10"/>
    </row>
    <row r="17" spans="1:14" ht="28.8" x14ac:dyDescent="0.3">
      <c r="A17" s="27">
        <v>20</v>
      </c>
      <c r="B17" s="28" t="s">
        <v>48</v>
      </c>
      <c r="C17" s="29" t="s">
        <v>82</v>
      </c>
      <c r="D17" s="35">
        <v>0.04</v>
      </c>
      <c r="E17" s="28" t="s">
        <v>49</v>
      </c>
      <c r="F17" s="36">
        <f>2.7*1.7^2*3.1416 + 4*0.2^2*3.1416</f>
        <v>25.016560800000001</v>
      </c>
      <c r="G17" s="28" t="s">
        <v>84</v>
      </c>
      <c r="H17" s="31">
        <v>1</v>
      </c>
      <c r="I17" s="32">
        <f>D17*F17*H17</f>
        <v>1.0006624319999999</v>
      </c>
      <c r="J17" s="10"/>
      <c r="K17" s="10"/>
      <c r="L17" s="10"/>
      <c r="M17" s="10"/>
      <c r="N17" s="10"/>
    </row>
    <row r="18" spans="1:14" ht="28.8" x14ac:dyDescent="0.3">
      <c r="A18" s="27">
        <v>30</v>
      </c>
      <c r="B18" s="28" t="s">
        <v>85</v>
      </c>
      <c r="C18" s="27" t="s">
        <v>86</v>
      </c>
      <c r="D18" s="35">
        <v>0.1</v>
      </c>
      <c r="E18" s="28" t="s">
        <v>50</v>
      </c>
      <c r="F18" s="31">
        <v>6</v>
      </c>
      <c r="G18" s="31"/>
      <c r="H18" s="31"/>
      <c r="I18" s="32">
        <f>F18*D18</f>
        <v>0.60000000000000009</v>
      </c>
      <c r="J18" s="10"/>
      <c r="K18" s="10"/>
      <c r="L18" s="10"/>
      <c r="M18" s="10"/>
      <c r="N18" s="10"/>
    </row>
    <row r="19" spans="1:14" x14ac:dyDescent="0.3">
      <c r="A19" s="31">
        <v>40</v>
      </c>
      <c r="B19" s="28" t="s">
        <v>53</v>
      </c>
      <c r="C19" s="27" t="s">
        <v>54</v>
      </c>
      <c r="D19" s="35">
        <v>0.65</v>
      </c>
      <c r="E19" s="33" t="s">
        <v>44</v>
      </c>
      <c r="F19" s="31">
        <v>1</v>
      </c>
      <c r="G19" s="31"/>
      <c r="H19" s="31"/>
      <c r="I19" s="32">
        <f>IF(H19="",D19*F19,D19*F19*H19)</f>
        <v>0.65</v>
      </c>
      <c r="J19" s="10"/>
      <c r="K19" s="10"/>
      <c r="L19" s="10"/>
      <c r="M19" s="10"/>
      <c r="N19" s="10"/>
    </row>
    <row r="20" spans="1:14" ht="28.8" x14ac:dyDescent="0.3">
      <c r="A20" s="27">
        <v>50</v>
      </c>
      <c r="B20" s="28" t="s">
        <v>48</v>
      </c>
      <c r="C20" s="29" t="s">
        <v>83</v>
      </c>
      <c r="D20" s="35">
        <v>0.04</v>
      </c>
      <c r="E20" s="28" t="s">
        <v>49</v>
      </c>
      <c r="F20" s="63">
        <f>1.165^2*3.1416*5</f>
        <v>21.319290300000002</v>
      </c>
      <c r="G20" s="28" t="s">
        <v>84</v>
      </c>
      <c r="H20" s="31">
        <v>1</v>
      </c>
      <c r="I20" s="32">
        <f>D20*F20*H20</f>
        <v>0.85277161200000007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53</v>
      </c>
      <c r="C21" s="27" t="s">
        <v>54</v>
      </c>
      <c r="D21" s="35">
        <v>0.65</v>
      </c>
      <c r="E21" s="33" t="s">
        <v>44</v>
      </c>
      <c r="F21" s="31">
        <v>1</v>
      </c>
      <c r="G21" s="31"/>
      <c r="H21" s="31"/>
      <c r="I21" s="32">
        <f>IF(H21="",D21*F21,D21*F21*H21)</f>
        <v>0.65</v>
      </c>
      <c r="J21" s="10"/>
      <c r="K21" s="10"/>
      <c r="L21" s="10"/>
      <c r="M21" s="10"/>
      <c r="N21" s="10"/>
    </row>
    <row r="22" spans="1:14" ht="28.8" x14ac:dyDescent="0.3">
      <c r="A22" s="31">
        <v>70</v>
      </c>
      <c r="B22" s="28" t="s">
        <v>48</v>
      </c>
      <c r="C22" s="27" t="s">
        <v>88</v>
      </c>
      <c r="D22" s="35">
        <v>0.04</v>
      </c>
      <c r="E22" s="28" t="s">
        <v>49</v>
      </c>
      <c r="F22" s="31">
        <f>0.75*5</f>
        <v>3.75</v>
      </c>
      <c r="G22" s="28" t="s">
        <v>84</v>
      </c>
      <c r="H22" s="31">
        <v>1</v>
      </c>
      <c r="I22" s="32">
        <f>IF(H22="",D22*F22,D22*F22*H22)</f>
        <v>0.15</v>
      </c>
      <c r="J22" s="10"/>
      <c r="K22" s="10"/>
      <c r="L22" s="10"/>
      <c r="M22" s="10"/>
      <c r="N22" s="10"/>
    </row>
    <row r="23" spans="1:14" x14ac:dyDescent="0.3">
      <c r="A23" s="31">
        <v>80</v>
      </c>
      <c r="B23" s="28" t="s">
        <v>123</v>
      </c>
      <c r="C23" s="29" t="s">
        <v>124</v>
      </c>
      <c r="D23" s="37">
        <v>5.25</v>
      </c>
      <c r="E23" s="28" t="s">
        <v>125</v>
      </c>
      <c r="F23" s="38">
        <f>(9.33*2 + 14 + 12 + 21 + 18)*10^-4</f>
        <v>8.3660000000000002E-3</v>
      </c>
      <c r="G23" s="28"/>
      <c r="H23" s="31"/>
      <c r="I23" s="32">
        <f>D23*F23</f>
        <v>4.3921500000000002E-2</v>
      </c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SUM(I16:I22)</f>
        <v>5.2034340440000006</v>
      </c>
      <c r="J24" s="25"/>
      <c r="K24" s="25"/>
      <c r="L24" s="25"/>
      <c r="M24" s="25"/>
      <c r="N24" s="25"/>
    </row>
    <row r="25" spans="1:14" x14ac:dyDescent="0.3">
      <c r="B25" s="58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2"/>
  <sheetViews>
    <sheetView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N13+I21</f>
        <v>2.7209665165222403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91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5.4419330330444806</v>
      </c>
    </row>
    <row r="6" spans="1:14" x14ac:dyDescent="0.3">
      <c r="A6" s="72" t="s">
        <v>11</v>
      </c>
      <c r="B6" s="14" t="s">
        <v>93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8.8143858633600011E-2</v>
      </c>
      <c r="F11" s="27" t="s">
        <v>42</v>
      </c>
      <c r="G11" s="27"/>
      <c r="H11" s="51"/>
      <c r="I11" s="52" t="s">
        <v>92</v>
      </c>
      <c r="J11" s="53">
        <f>0.0165^2*3.1416</f>
        <v>8.5530060000000012E-4</v>
      </c>
      <c r="K11" s="51">
        <v>3.7999999999999999E-2</v>
      </c>
      <c r="L11" s="54">
        <v>2712</v>
      </c>
      <c r="M11" s="54">
        <v>2</v>
      </c>
      <c r="N11" s="55">
        <f>IF(J11="",D11*M11,D11*J11*K11*L11*M11)</f>
        <v>0.7404084125222401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F20</f>
        <v>4.9399999999999999E-3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4.9399999999999999E-2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0.7898084125222401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3.1416*0.8^2*3.5+(1.65^2-1.05^2)*3.1416*1.3 + (1.65^2-1.15^2)*3.1416*1.6</f>
        <v>20.690577600000001</v>
      </c>
      <c r="G17" s="28" t="s">
        <v>84</v>
      </c>
      <c r="H17" s="31">
        <v>1</v>
      </c>
      <c r="I17" s="32">
        <f>D17*F17*H17</f>
        <v>0.82762310400000005</v>
      </c>
      <c r="J17" s="10"/>
      <c r="K17" s="10"/>
      <c r="L17" s="10"/>
      <c r="M17" s="10"/>
      <c r="N17" s="10"/>
    </row>
    <row r="18" spans="1:14" ht="43.2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7" t="s">
        <v>97</v>
      </c>
      <c r="D19" s="35">
        <v>0.04</v>
      </c>
      <c r="E19" s="28" t="s">
        <v>49</v>
      </c>
      <c r="F19" s="56">
        <f>8.55*0.3</f>
        <v>2.5649999999999999</v>
      </c>
      <c r="G19" s="28" t="s">
        <v>84</v>
      </c>
      <c r="H19" s="31">
        <v>1</v>
      </c>
      <c r="I19" s="32">
        <f>D19*F19*H19</f>
        <v>0.1026</v>
      </c>
      <c r="J19" s="10"/>
      <c r="K19" s="10"/>
      <c r="L19" s="10"/>
      <c r="M19" s="10"/>
      <c r="N19" s="10"/>
    </row>
    <row r="20" spans="1:14" x14ac:dyDescent="0.3">
      <c r="A20" s="27">
        <v>50</v>
      </c>
      <c r="B20" s="28" t="s">
        <v>123</v>
      </c>
      <c r="C20" s="29" t="s">
        <v>124</v>
      </c>
      <c r="D20" s="37">
        <v>5.25</v>
      </c>
      <c r="E20" s="28" t="s">
        <v>125</v>
      </c>
      <c r="F20" s="69">
        <f>(5 + 4*3 + 10.4 + 8 + 14)*10^-4</f>
        <v>4.9399999999999999E-3</v>
      </c>
      <c r="G20" s="28"/>
      <c r="H20" s="31"/>
      <c r="I20" s="32">
        <f>D20*F20</f>
        <v>2.5935E-2</v>
      </c>
      <c r="J20" s="10"/>
      <c r="K20" s="10"/>
      <c r="L20" s="10"/>
      <c r="M20" s="10"/>
      <c r="N20" s="10"/>
    </row>
    <row r="21" spans="1:14" x14ac:dyDescent="0.3">
      <c r="A21" s="25"/>
      <c r="B21" s="25"/>
      <c r="C21" s="25"/>
      <c r="D21" s="25"/>
      <c r="E21" s="25"/>
      <c r="F21" s="25"/>
      <c r="G21" s="25"/>
      <c r="H21" s="76" t="s">
        <v>23</v>
      </c>
      <c r="I21" s="77">
        <f>SUM(I16:I20)</f>
        <v>1.9311581040000001</v>
      </c>
      <c r="J21" s="25"/>
      <c r="K21" s="25"/>
      <c r="L21" s="25"/>
      <c r="M21" s="25"/>
      <c r="N21" s="25"/>
    </row>
    <row r="22" spans="1:14" x14ac:dyDescent="0.3">
      <c r="B22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8"/>
  <sheetViews>
    <sheetView topLeftCell="A6" zoomScaleNormal="100" workbookViewId="0">
      <selection activeCell="B4" sqref="B4"/>
    </sheetView>
  </sheetViews>
  <sheetFormatPr baseColWidth="10" defaultRowHeight="14.4" x14ac:dyDescent="0.3"/>
  <cols>
    <col min="2" max="2" width="22.33203125" bestFit="1" customWidth="1"/>
    <col min="3" max="3" width="24.8867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N13+I26</f>
        <v>3.2984030312217603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2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98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6.5968060624435205</v>
      </c>
    </row>
    <row r="6" spans="1:14" x14ac:dyDescent="0.3">
      <c r="A6" s="72" t="s">
        <v>11</v>
      </c>
      <c r="B6" s="14" t="s">
        <v>113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43.2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6.1914979526399988E-2</v>
      </c>
      <c r="F11" s="27" t="s">
        <v>42</v>
      </c>
      <c r="G11" s="27"/>
      <c r="H11" s="51"/>
      <c r="I11" s="52" t="s">
        <v>99</v>
      </c>
      <c r="J11" s="53">
        <f>0.013^2*3.1416</f>
        <v>5.3093039999999991E-4</v>
      </c>
      <c r="K11" s="51">
        <v>4.2999999999999997E-2</v>
      </c>
      <c r="L11" s="54">
        <v>2712</v>
      </c>
      <c r="M11" s="54">
        <v>2</v>
      </c>
      <c r="N11" s="55">
        <f>IF(J11="",D11*M11,D11*J11*K11*L11*M11)</f>
        <v>0.52008582802175984</v>
      </c>
    </row>
    <row r="12" spans="1:14" x14ac:dyDescent="0.3">
      <c r="A12" s="27">
        <v>20</v>
      </c>
      <c r="B12" s="47" t="s">
        <v>129</v>
      </c>
      <c r="C12" s="48"/>
      <c r="D12" s="65">
        <v>10</v>
      </c>
      <c r="E12" s="70">
        <f>F25</f>
        <v>3.6600000000000005E-3</v>
      </c>
      <c r="F12" s="67" t="s">
        <v>125</v>
      </c>
      <c r="G12" s="27"/>
      <c r="H12" s="51"/>
      <c r="I12" s="52"/>
      <c r="J12" s="53"/>
      <c r="K12" s="51"/>
      <c r="L12" s="54"/>
      <c r="M12" s="54"/>
      <c r="N12" s="55">
        <f>E12*D12</f>
        <v>3.6600000000000008E-2</v>
      </c>
    </row>
    <row r="13" spans="1:14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76" t="s">
        <v>23</v>
      </c>
      <c r="N13" s="78">
        <f>SUM(N11:N12)</f>
        <v>0.55668582802175981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3">
      <c r="A15" s="73" t="s">
        <v>19</v>
      </c>
      <c r="B15" s="74" t="s">
        <v>43</v>
      </c>
      <c r="C15" s="74" t="s">
        <v>30</v>
      </c>
      <c r="D15" s="74" t="s">
        <v>31</v>
      </c>
      <c r="E15" s="74" t="s">
        <v>44</v>
      </c>
      <c r="F15" s="74" t="s">
        <v>22</v>
      </c>
      <c r="G15" s="74" t="s">
        <v>45</v>
      </c>
      <c r="H15" s="74" t="s">
        <v>46</v>
      </c>
      <c r="I15" s="74" t="s">
        <v>23</v>
      </c>
      <c r="J15" s="25"/>
      <c r="K15" s="25"/>
      <c r="L15" s="25"/>
      <c r="M15" s="25"/>
      <c r="N15" s="25"/>
    </row>
    <row r="16" spans="1:14" ht="43.2" x14ac:dyDescent="0.3">
      <c r="A16" s="31">
        <v>10</v>
      </c>
      <c r="B16" s="33" t="s">
        <v>47</v>
      </c>
      <c r="C16" s="34" t="s">
        <v>52</v>
      </c>
      <c r="D16" s="35">
        <v>1.3</v>
      </c>
      <c r="E16" s="33" t="s">
        <v>44</v>
      </c>
      <c r="F16" s="31">
        <v>0.5</v>
      </c>
      <c r="G16" s="31" t="s">
        <v>95</v>
      </c>
      <c r="H16" s="31"/>
      <c r="I16" s="32">
        <f>IF(H16="",D16*F16,D16*F16*H16)</f>
        <v>0.65</v>
      </c>
      <c r="J16" s="10"/>
      <c r="K16" s="10"/>
      <c r="L16" s="10"/>
      <c r="M16" s="10"/>
      <c r="N16" s="10"/>
    </row>
    <row r="17" spans="1:14" x14ac:dyDescent="0.3">
      <c r="A17" s="27">
        <v>20</v>
      </c>
      <c r="B17" s="28" t="s">
        <v>48</v>
      </c>
      <c r="C17" s="29" t="s">
        <v>96</v>
      </c>
      <c r="D17" s="35">
        <v>0.04</v>
      </c>
      <c r="E17" s="28" t="s">
        <v>49</v>
      </c>
      <c r="F17" s="36">
        <f>0.8*1.3^2*3.1416 + 0.8*0.4^2*3.1416</f>
        <v>4.6495680000000013</v>
      </c>
      <c r="G17" s="28" t="s">
        <v>84</v>
      </c>
      <c r="H17" s="31">
        <v>1</v>
      </c>
      <c r="I17" s="32">
        <f>D17*F17*H17</f>
        <v>0.18598272000000005</v>
      </c>
      <c r="J17" s="10"/>
      <c r="K17" s="10"/>
      <c r="L17" s="10"/>
      <c r="M17" s="10"/>
      <c r="N17" s="10"/>
    </row>
    <row r="18" spans="1:14" x14ac:dyDescent="0.3">
      <c r="A18" s="27">
        <v>30</v>
      </c>
      <c r="B18" s="28" t="s">
        <v>53</v>
      </c>
      <c r="C18" s="27" t="s">
        <v>54</v>
      </c>
      <c r="D18" s="35">
        <v>0.65</v>
      </c>
      <c r="E18" s="33" t="s">
        <v>44</v>
      </c>
      <c r="F18" s="31">
        <v>0.5</v>
      </c>
      <c r="G18" s="31"/>
      <c r="H18" s="31"/>
      <c r="I18" s="32">
        <f>IF(H18="",D18*F18,D18*F18*H18)</f>
        <v>0.32500000000000001</v>
      </c>
      <c r="J18" s="10"/>
      <c r="K18" s="10"/>
      <c r="L18" s="10"/>
      <c r="M18" s="10"/>
      <c r="N18" s="10"/>
    </row>
    <row r="19" spans="1:14" x14ac:dyDescent="0.3">
      <c r="A19" s="27">
        <v>40</v>
      </c>
      <c r="B19" s="28" t="s">
        <v>48</v>
      </c>
      <c r="C19" s="29" t="s">
        <v>101</v>
      </c>
      <c r="D19" s="35">
        <v>0.04</v>
      </c>
      <c r="E19" s="28" t="s">
        <v>49</v>
      </c>
      <c r="F19" s="36">
        <f>0.86*(1.3^2 - 0.6^2)*3.1416</f>
        <v>3.5933620800000003</v>
      </c>
      <c r="G19" s="28" t="s">
        <v>84</v>
      </c>
      <c r="H19" s="31">
        <v>1</v>
      </c>
      <c r="I19" s="32">
        <f>D19*F19*H19</f>
        <v>0.14373448320000001</v>
      </c>
      <c r="J19" s="10"/>
      <c r="K19" s="10"/>
      <c r="L19" s="10"/>
      <c r="M19" s="10"/>
      <c r="N19" s="10"/>
    </row>
    <row r="20" spans="1:14" ht="28.8" x14ac:dyDescent="0.3">
      <c r="A20" s="31">
        <v>50</v>
      </c>
      <c r="B20" s="33" t="s">
        <v>47</v>
      </c>
      <c r="C20" s="34" t="s">
        <v>102</v>
      </c>
      <c r="D20" s="35">
        <v>1.3</v>
      </c>
      <c r="E20" s="33" t="s">
        <v>44</v>
      </c>
      <c r="F20" s="31">
        <v>0.5</v>
      </c>
      <c r="G20" s="31" t="s">
        <v>95</v>
      </c>
      <c r="H20" s="31"/>
      <c r="I20" s="32">
        <f>IF(H20="",D20*F20,D20*F20*H20)</f>
        <v>0.65</v>
      </c>
      <c r="J20" s="10"/>
      <c r="K20" s="10"/>
      <c r="L20" s="10"/>
      <c r="M20" s="10"/>
      <c r="N20" s="10"/>
    </row>
    <row r="21" spans="1:14" x14ac:dyDescent="0.3">
      <c r="A21" s="27">
        <v>60</v>
      </c>
      <c r="B21" s="28" t="s">
        <v>48</v>
      </c>
      <c r="C21" s="29" t="s">
        <v>100</v>
      </c>
      <c r="D21" s="35">
        <v>0.04</v>
      </c>
      <c r="E21" s="28" t="s">
        <v>49</v>
      </c>
      <c r="F21" s="36">
        <f>2.5*1.9*1.8+3</f>
        <v>11.55</v>
      </c>
      <c r="G21" s="28" t="s">
        <v>84</v>
      </c>
      <c r="H21" s="31">
        <v>1</v>
      </c>
      <c r="I21" s="32">
        <f>D21*F21*H21</f>
        <v>0.46200000000000002</v>
      </c>
      <c r="J21" s="10"/>
      <c r="K21" s="10"/>
      <c r="L21" s="10"/>
      <c r="M21" s="10"/>
      <c r="N21" s="10"/>
    </row>
    <row r="22" spans="1:14" x14ac:dyDescent="0.3">
      <c r="A22" s="27">
        <v>70</v>
      </c>
      <c r="B22" s="28" t="s">
        <v>53</v>
      </c>
      <c r="C22" s="27" t="s">
        <v>54</v>
      </c>
      <c r="D22" s="35">
        <v>0.65</v>
      </c>
      <c r="E22" s="33" t="s">
        <v>44</v>
      </c>
      <c r="F22" s="31">
        <v>0.5</v>
      </c>
      <c r="G22" s="31"/>
      <c r="H22" s="31"/>
      <c r="I22" s="32">
        <f>IF(H22="",D22*F22,D22*F22*H22)</f>
        <v>0.32500000000000001</v>
      </c>
      <c r="J22" s="10"/>
      <c r="K22" s="10"/>
      <c r="L22" s="10"/>
      <c r="M22" s="10"/>
      <c r="N22" s="10"/>
    </row>
    <row r="23" spans="1:14" x14ac:dyDescent="0.3">
      <c r="A23" s="27">
        <v>80</v>
      </c>
      <c r="B23" s="28" t="s">
        <v>48</v>
      </c>
      <c r="C23" s="29" t="s">
        <v>103</v>
      </c>
      <c r="D23" s="35">
        <v>0.04</v>
      </c>
      <c r="E23" s="28" t="s">
        <v>49</v>
      </c>
      <c r="F23" s="36">
        <f>1.1</f>
        <v>1.1000000000000001</v>
      </c>
      <c r="G23" s="28" t="s">
        <v>84</v>
      </c>
      <c r="H23" s="31">
        <v>1</v>
      </c>
      <c r="I23" s="32">
        <f>D23*F23*H23</f>
        <v>4.4000000000000004E-2</v>
      </c>
      <c r="J23" s="10"/>
      <c r="K23" s="10"/>
      <c r="L23" s="10"/>
      <c r="M23" s="10"/>
      <c r="N23" s="10"/>
    </row>
    <row r="24" spans="1:14" ht="28.8" x14ac:dyDescent="0.3">
      <c r="A24" s="27">
        <v>90</v>
      </c>
      <c r="B24" s="28" t="s">
        <v>104</v>
      </c>
      <c r="C24" s="64" t="s">
        <v>106</v>
      </c>
      <c r="D24" s="35">
        <v>0.35</v>
      </c>
      <c r="E24" s="28" t="s">
        <v>105</v>
      </c>
      <c r="F24" s="36">
        <v>2</v>
      </c>
      <c r="G24" s="28"/>
      <c r="H24" s="31"/>
      <c r="I24" s="32">
        <f>D24*F24</f>
        <v>0.7</v>
      </c>
      <c r="J24" s="10"/>
      <c r="K24" s="10"/>
      <c r="L24" s="10"/>
      <c r="M24" s="10"/>
      <c r="N24" s="10"/>
    </row>
    <row r="25" spans="1:14" x14ac:dyDescent="0.3">
      <c r="A25" s="27">
        <v>100</v>
      </c>
      <c r="B25" s="28" t="s">
        <v>123</v>
      </c>
      <c r="C25" s="29" t="s">
        <v>124</v>
      </c>
      <c r="D25" s="37">
        <v>5.25</v>
      </c>
      <c r="E25" s="28" t="s">
        <v>125</v>
      </c>
      <c r="F25" s="69">
        <f>(1.3*2 + 8 + 2 + 6 + 4 + 4 + 7 + 3)*10^-4</f>
        <v>3.6600000000000005E-3</v>
      </c>
      <c r="G25" s="28"/>
      <c r="H25" s="31"/>
      <c r="I25" s="32">
        <f>D25*F25</f>
        <v>1.9215000000000003E-2</v>
      </c>
      <c r="J25" s="10"/>
      <c r="K25" s="10"/>
      <c r="L25" s="10"/>
      <c r="M25" s="10"/>
      <c r="N25" s="10"/>
    </row>
    <row r="26" spans="1:14" x14ac:dyDescent="0.3">
      <c r="A26" s="25"/>
      <c r="B26" s="25"/>
      <c r="C26" s="25"/>
      <c r="D26" s="25"/>
      <c r="E26" s="25"/>
      <c r="F26" s="25"/>
      <c r="G26" s="25"/>
      <c r="H26" s="76" t="s">
        <v>23</v>
      </c>
      <c r="I26" s="77">
        <f>SUM(I16:I22)</f>
        <v>2.7417172032000003</v>
      </c>
      <c r="J26" s="25"/>
      <c r="K26" s="25"/>
      <c r="L26" s="25"/>
      <c r="M26" s="25"/>
      <c r="N26" s="25"/>
    </row>
    <row r="28" spans="1:14" x14ac:dyDescent="0.3">
      <c r="B28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6"/>
  <sheetViews>
    <sheetView workbookViewId="0">
      <selection activeCell="B4" sqref="B4"/>
    </sheetView>
  </sheetViews>
  <sheetFormatPr baseColWidth="10" defaultRowHeight="14.4" x14ac:dyDescent="0.3"/>
  <cols>
    <col min="1" max="1" width="9.6640625" bestFit="1" customWidth="1"/>
    <col min="2" max="2" width="22.33203125" bestFit="1" customWidth="1"/>
    <col min="3" max="3" width="24.88671875" bestFit="1" customWidth="1"/>
    <col min="4" max="4" width="8.2187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N12+I24</f>
        <v>0</v>
      </c>
    </row>
    <row r="3" spans="1:14" x14ac:dyDescent="0.3">
      <c r="A3" s="72" t="s">
        <v>5</v>
      </c>
      <c r="B3" s="10" t="s">
        <v>6</v>
      </c>
      <c r="C3" s="10"/>
      <c r="D3" s="88"/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114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0</v>
      </c>
    </row>
    <row r="6" spans="1:14" x14ac:dyDescent="0.3">
      <c r="A6" s="72" t="s">
        <v>11</v>
      </c>
      <c r="B6" s="14" t="s">
        <v>112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28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x14ac:dyDescent="0.3">
      <c r="A11" s="27"/>
      <c r="B11" s="47"/>
      <c r="C11" s="48"/>
      <c r="D11" s="49"/>
      <c r="E11" s="50"/>
      <c r="F11" s="27"/>
      <c r="G11" s="27"/>
      <c r="H11" s="51"/>
      <c r="I11" s="52"/>
      <c r="J11" s="53"/>
      <c r="K11" s="51"/>
      <c r="L11" s="54"/>
      <c r="M11" s="54"/>
      <c r="N11" s="55"/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x14ac:dyDescent="0.3">
      <c r="A15" s="31"/>
      <c r="B15" s="33"/>
      <c r="C15" s="34"/>
      <c r="D15" s="35"/>
      <c r="E15" s="33"/>
      <c r="F15" s="31"/>
      <c r="G15" s="31"/>
      <c r="H15" s="31"/>
      <c r="I15" s="32"/>
      <c r="J15" s="10"/>
      <c r="K15" s="10"/>
      <c r="L15" s="10"/>
      <c r="M15" s="10"/>
      <c r="N15" s="10"/>
    </row>
    <row r="16" spans="1:14" x14ac:dyDescent="0.3">
      <c r="A16" s="27"/>
      <c r="B16" s="28"/>
      <c r="C16" s="29"/>
      <c r="D16" s="35"/>
      <c r="E16" s="28"/>
      <c r="F16" s="36"/>
      <c r="G16" s="28"/>
      <c r="H16" s="31"/>
      <c r="I16" s="32"/>
      <c r="J16" s="10"/>
      <c r="K16" s="10"/>
      <c r="L16" s="10"/>
      <c r="M16" s="10"/>
      <c r="N16" s="10"/>
    </row>
    <row r="17" spans="1:14" x14ac:dyDescent="0.3">
      <c r="A17" s="27"/>
      <c r="B17" s="28"/>
      <c r="C17" s="27"/>
      <c r="D17" s="35"/>
      <c r="E17" s="33"/>
      <c r="F17" s="31"/>
      <c r="G17" s="31"/>
      <c r="H17" s="31"/>
      <c r="I17" s="32"/>
      <c r="J17" s="10"/>
      <c r="K17" s="10"/>
      <c r="L17" s="10"/>
      <c r="M17" s="10"/>
      <c r="N17" s="10"/>
    </row>
    <row r="18" spans="1:14" x14ac:dyDescent="0.3">
      <c r="A18" s="27"/>
      <c r="B18" s="28"/>
      <c r="C18" s="29"/>
      <c r="D18" s="35"/>
      <c r="E18" s="28"/>
      <c r="F18" s="36"/>
      <c r="G18" s="28"/>
      <c r="H18" s="31"/>
      <c r="I18" s="32"/>
      <c r="J18" s="10"/>
      <c r="K18" s="10"/>
      <c r="L18" s="10"/>
      <c r="M18" s="10"/>
      <c r="N18" s="10"/>
    </row>
    <row r="19" spans="1:14" x14ac:dyDescent="0.3">
      <c r="A19" s="31"/>
      <c r="B19" s="33"/>
      <c r="C19" s="34"/>
      <c r="D19" s="35"/>
      <c r="E19" s="33"/>
      <c r="F19" s="31"/>
      <c r="G19" s="31"/>
      <c r="H19" s="31"/>
      <c r="I19" s="32"/>
      <c r="J19" s="10"/>
      <c r="K19" s="10"/>
      <c r="L19" s="10"/>
      <c r="M19" s="10"/>
      <c r="N19" s="10"/>
    </row>
    <row r="20" spans="1:14" x14ac:dyDescent="0.3">
      <c r="A20" s="27"/>
      <c r="B20" s="28"/>
      <c r="C20" s="29"/>
      <c r="D20" s="35"/>
      <c r="E20" s="28"/>
      <c r="F20" s="36"/>
      <c r="G20" s="28"/>
      <c r="H20" s="31"/>
      <c r="I20" s="32"/>
      <c r="J20" s="10"/>
      <c r="K20" s="10"/>
      <c r="L20" s="10"/>
      <c r="M20" s="10"/>
      <c r="N20" s="10"/>
    </row>
    <row r="21" spans="1:14" x14ac:dyDescent="0.3">
      <c r="A21" s="27"/>
      <c r="B21" s="28"/>
      <c r="C21" s="27"/>
      <c r="D21" s="35"/>
      <c r="E21" s="33"/>
      <c r="F21" s="31"/>
      <c r="G21" s="31"/>
      <c r="H21" s="31"/>
      <c r="I21" s="32"/>
      <c r="J21" s="10"/>
      <c r="K21" s="10"/>
      <c r="L21" s="10"/>
      <c r="M21" s="10"/>
      <c r="N21" s="10"/>
    </row>
    <row r="22" spans="1:14" x14ac:dyDescent="0.3">
      <c r="A22" s="27"/>
      <c r="B22" s="28"/>
      <c r="C22" s="29"/>
      <c r="D22" s="35"/>
      <c r="E22" s="28"/>
      <c r="F22" s="36"/>
      <c r="G22" s="28"/>
      <c r="H22" s="31"/>
      <c r="I22" s="32"/>
      <c r="J22" s="10"/>
      <c r="K22" s="10"/>
      <c r="L22" s="10"/>
      <c r="M22" s="10"/>
      <c r="N22" s="10"/>
    </row>
    <row r="23" spans="1:14" x14ac:dyDescent="0.3">
      <c r="A23" s="57"/>
      <c r="B23" s="26"/>
      <c r="C23" s="61"/>
      <c r="D23" s="35"/>
      <c r="E23" s="26"/>
      <c r="F23" s="60"/>
      <c r="G23" s="58"/>
      <c r="H23" s="59"/>
      <c r="I23" s="32"/>
      <c r="J23" s="10"/>
      <c r="K23" s="10"/>
      <c r="L23" s="10"/>
      <c r="M23" s="10"/>
      <c r="N23" s="10"/>
    </row>
    <row r="24" spans="1:14" x14ac:dyDescent="0.3">
      <c r="A24" s="25"/>
      <c r="B24" s="25"/>
      <c r="C24" s="25"/>
      <c r="D24" s="25"/>
      <c r="E24" s="25"/>
      <c r="F24" s="25"/>
      <c r="G24" s="25"/>
      <c r="H24" s="76" t="s">
        <v>23</v>
      </c>
      <c r="I24" s="77">
        <f>SUM(I15:I21)</f>
        <v>0</v>
      </c>
      <c r="J24" s="25"/>
      <c r="K24" s="25"/>
      <c r="L24" s="25"/>
      <c r="M24" s="25"/>
      <c r="N24" s="25"/>
    </row>
    <row r="26" spans="1:14" x14ac:dyDescent="0.3">
      <c r="B26" s="62"/>
    </row>
  </sheetData>
  <hyperlinks>
    <hyperlink ref="F2" location="BOM!A1" display="Back to BOM"/>
    <hyperlink ref="B4" location="'ST A0100'!A1" display="Steering Rack 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N21"/>
  <sheetViews>
    <sheetView workbookViewId="0">
      <selection activeCell="B16" sqref="B16"/>
    </sheetView>
  </sheetViews>
  <sheetFormatPr baseColWidth="10" defaultRowHeight="14.4" x14ac:dyDescent="0.3"/>
  <cols>
    <col min="2" max="2" width="22.33203125" bestFit="1" customWidth="1"/>
    <col min="3" max="3" width="21.33203125" bestFit="1" customWidth="1"/>
    <col min="7" max="7" width="27.6640625" bestFit="1" customWidth="1"/>
  </cols>
  <sheetData>
    <row r="2" spans="1:14" x14ac:dyDescent="0.3">
      <c r="A2" s="71" t="s">
        <v>0</v>
      </c>
      <c r="B2" s="10" t="s">
        <v>1</v>
      </c>
      <c r="C2" s="10"/>
      <c r="D2" s="10"/>
      <c r="E2" s="10"/>
      <c r="F2" s="2" t="s">
        <v>2</v>
      </c>
      <c r="G2" s="10"/>
      <c r="H2" s="10"/>
      <c r="I2" s="10"/>
      <c r="J2" s="75" t="s">
        <v>3</v>
      </c>
      <c r="K2" s="11">
        <v>81</v>
      </c>
      <c r="L2" s="10"/>
      <c r="M2" s="71" t="s">
        <v>21</v>
      </c>
      <c r="N2" s="12">
        <f>N12+I19</f>
        <v>1.978274656</v>
      </c>
    </row>
    <row r="3" spans="1:14" x14ac:dyDescent="0.3">
      <c r="A3" s="72" t="s">
        <v>5</v>
      </c>
      <c r="B3" s="10" t="s">
        <v>6</v>
      </c>
      <c r="C3" s="11" t="s">
        <v>134</v>
      </c>
      <c r="D3" s="90" t="s">
        <v>10</v>
      </c>
      <c r="E3" s="10"/>
      <c r="F3" s="10"/>
      <c r="G3" s="10"/>
      <c r="H3" s="10"/>
      <c r="I3" s="10"/>
      <c r="J3" s="10"/>
      <c r="K3" s="10"/>
      <c r="L3" s="10"/>
      <c r="M3" s="72" t="s">
        <v>7</v>
      </c>
      <c r="N3" s="13">
        <v>1</v>
      </c>
    </row>
    <row r="4" spans="1:14" x14ac:dyDescent="0.3">
      <c r="A4" s="72" t="s">
        <v>8</v>
      </c>
      <c r="B4" s="2" t="s">
        <v>9</v>
      </c>
      <c r="C4" s="10"/>
      <c r="D4" s="87"/>
      <c r="E4" s="10"/>
      <c r="F4" s="10"/>
      <c r="G4" s="10"/>
      <c r="H4" s="10"/>
      <c r="I4" s="10"/>
      <c r="J4" s="71" t="s">
        <v>10</v>
      </c>
      <c r="K4" s="10"/>
      <c r="L4" s="10"/>
      <c r="M4" s="10"/>
      <c r="N4" s="10"/>
    </row>
    <row r="5" spans="1:14" x14ac:dyDescent="0.3">
      <c r="A5" s="72" t="s">
        <v>20</v>
      </c>
      <c r="B5" s="1" t="s">
        <v>115</v>
      </c>
      <c r="C5" s="10"/>
      <c r="D5" s="87"/>
      <c r="E5" s="10"/>
      <c r="F5" s="10"/>
      <c r="G5" s="10"/>
      <c r="H5" s="10"/>
      <c r="I5" s="10"/>
      <c r="J5" s="72" t="s">
        <v>12</v>
      </c>
      <c r="K5" s="10"/>
      <c r="L5" s="10"/>
      <c r="M5" s="71" t="s">
        <v>13</v>
      </c>
      <c r="N5" s="12">
        <f>N2*N3</f>
        <v>1.978274656</v>
      </c>
    </row>
    <row r="6" spans="1:14" x14ac:dyDescent="0.3">
      <c r="A6" s="72" t="s">
        <v>11</v>
      </c>
      <c r="B6" s="14" t="s">
        <v>117</v>
      </c>
      <c r="C6" s="10"/>
      <c r="D6" s="10"/>
      <c r="E6" s="10"/>
      <c r="F6" s="10"/>
      <c r="G6" s="10"/>
      <c r="H6" s="10"/>
      <c r="I6" s="10"/>
      <c r="J6" s="72" t="s">
        <v>16</v>
      </c>
      <c r="K6" s="10"/>
      <c r="L6" s="10"/>
      <c r="M6" s="10"/>
      <c r="N6" s="10"/>
    </row>
    <row r="7" spans="1:14" x14ac:dyDescent="0.3">
      <c r="A7" s="72" t="s">
        <v>14</v>
      </c>
      <c r="B7" s="10" t="s">
        <v>15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3">
      <c r="A8" s="72" t="s">
        <v>17</v>
      </c>
      <c r="B8" s="10" t="s">
        <v>136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3">
      <c r="A10" s="73" t="s">
        <v>19</v>
      </c>
      <c r="B10" s="74" t="s">
        <v>29</v>
      </c>
      <c r="C10" s="74" t="s">
        <v>30</v>
      </c>
      <c r="D10" s="74" t="s">
        <v>31</v>
      </c>
      <c r="E10" s="74" t="s">
        <v>32</v>
      </c>
      <c r="F10" s="74" t="s">
        <v>33</v>
      </c>
      <c r="G10" s="74" t="s">
        <v>34</v>
      </c>
      <c r="H10" s="74" t="s">
        <v>35</v>
      </c>
      <c r="I10" s="74" t="s">
        <v>36</v>
      </c>
      <c r="J10" s="74" t="s">
        <v>37</v>
      </c>
      <c r="K10" s="74" t="s">
        <v>38</v>
      </c>
      <c r="L10" s="74" t="s">
        <v>39</v>
      </c>
      <c r="M10" s="74" t="s">
        <v>22</v>
      </c>
      <c r="N10" s="74" t="s">
        <v>23</v>
      </c>
    </row>
    <row r="11" spans="1:14" ht="28.8" x14ac:dyDescent="0.3">
      <c r="A11" s="27">
        <v>10</v>
      </c>
      <c r="B11" s="47" t="s">
        <v>80</v>
      </c>
      <c r="C11" s="48" t="s">
        <v>79</v>
      </c>
      <c r="D11" s="49">
        <v>4.2</v>
      </c>
      <c r="E11" s="50">
        <f>J11*K11*L11</f>
        <v>3.1242240000000004E-2</v>
      </c>
      <c r="F11" s="27" t="s">
        <v>42</v>
      </c>
      <c r="G11" s="27"/>
      <c r="H11" s="51"/>
      <c r="I11" s="52" t="s">
        <v>126</v>
      </c>
      <c r="J11" s="53">
        <f>2.56*10^-4</f>
        <v>2.5600000000000004E-4</v>
      </c>
      <c r="K11" s="51">
        <v>4.4999999999999998E-2</v>
      </c>
      <c r="L11" s="54">
        <v>2712</v>
      </c>
      <c r="M11" s="54">
        <v>4</v>
      </c>
      <c r="N11" s="55">
        <f>IF(J11="",D11*M11,D11*J11*K11*L11*M11)</f>
        <v>0.52486963200000014</v>
      </c>
    </row>
    <row r="12" spans="1:14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76" t="s">
        <v>23</v>
      </c>
      <c r="N12" s="78">
        <f>SUM(N11:N11)</f>
        <v>0.52486963200000014</v>
      </c>
    </row>
    <row r="13" spans="1:14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3">
      <c r="A14" s="73" t="s">
        <v>19</v>
      </c>
      <c r="B14" s="74" t="s">
        <v>43</v>
      </c>
      <c r="C14" s="74" t="s">
        <v>30</v>
      </c>
      <c r="D14" s="74" t="s">
        <v>31</v>
      </c>
      <c r="E14" s="74" t="s">
        <v>44</v>
      </c>
      <c r="F14" s="74" t="s">
        <v>22</v>
      </c>
      <c r="G14" s="74" t="s">
        <v>45</v>
      </c>
      <c r="H14" s="74" t="s">
        <v>46</v>
      </c>
      <c r="I14" s="74" t="s">
        <v>23</v>
      </c>
      <c r="J14" s="25"/>
      <c r="K14" s="25"/>
      <c r="L14" s="25"/>
      <c r="M14" s="25"/>
      <c r="N14" s="25"/>
    </row>
    <row r="15" spans="1:14" ht="43.2" x14ac:dyDescent="0.3">
      <c r="A15" s="31">
        <v>10</v>
      </c>
      <c r="B15" s="33" t="s">
        <v>47</v>
      </c>
      <c r="C15" s="34" t="s">
        <v>52</v>
      </c>
      <c r="D15" s="35">
        <v>1.3</v>
      </c>
      <c r="E15" s="33" t="s">
        <v>44</v>
      </c>
      <c r="F15" s="31">
        <v>0.25</v>
      </c>
      <c r="G15" s="31" t="s">
        <v>120</v>
      </c>
      <c r="H15" s="31"/>
      <c r="I15" s="32">
        <f>IF(H15="",D15*F15,D15*F15*H15)</f>
        <v>0.32500000000000001</v>
      </c>
      <c r="J15" s="10"/>
      <c r="K15" s="10"/>
      <c r="L15" s="10"/>
      <c r="M15" s="10"/>
      <c r="N15" s="10"/>
    </row>
    <row r="16" spans="1:14" x14ac:dyDescent="0.3">
      <c r="A16" s="27">
        <v>20</v>
      </c>
      <c r="B16" s="28" t="s">
        <v>48</v>
      </c>
      <c r="C16" s="29" t="s">
        <v>121</v>
      </c>
      <c r="D16" s="35">
        <v>0.04</v>
      </c>
      <c r="E16" s="28" t="s">
        <v>49</v>
      </c>
      <c r="F16" s="36">
        <f>1.6*1.15^2*3.1416</f>
        <v>6.6476255999999987</v>
      </c>
      <c r="G16" s="28" t="s">
        <v>84</v>
      </c>
      <c r="H16" s="31">
        <v>1</v>
      </c>
      <c r="I16" s="32">
        <f>D16*F16*H16</f>
        <v>0.26590502399999993</v>
      </c>
      <c r="J16" s="10"/>
      <c r="K16" s="10"/>
      <c r="L16" s="10"/>
      <c r="M16" s="10"/>
      <c r="N16" s="10"/>
    </row>
    <row r="17" spans="1:14" ht="43.2" x14ac:dyDescent="0.3">
      <c r="A17" s="27">
        <v>30</v>
      </c>
      <c r="B17" s="28" t="s">
        <v>53</v>
      </c>
      <c r="C17" s="27" t="s">
        <v>122</v>
      </c>
      <c r="D17" s="35">
        <v>0.65</v>
      </c>
      <c r="E17" s="33" t="s">
        <v>44</v>
      </c>
      <c r="F17" s="31">
        <v>0.25</v>
      </c>
      <c r="G17" s="31" t="s">
        <v>120</v>
      </c>
      <c r="H17" s="31"/>
      <c r="I17" s="32">
        <f>IF(H17="",D17*F17,D17*F17*H17)</f>
        <v>0.16250000000000001</v>
      </c>
      <c r="J17" s="10"/>
      <c r="K17" s="10"/>
      <c r="L17" s="10"/>
      <c r="M17" s="10"/>
      <c r="N17" s="10"/>
    </row>
    <row r="18" spans="1:14" ht="28.8" x14ac:dyDescent="0.3">
      <c r="A18" s="27">
        <v>40</v>
      </c>
      <c r="B18" s="28" t="s">
        <v>104</v>
      </c>
      <c r="C18" s="29" t="s">
        <v>106</v>
      </c>
      <c r="D18" s="35">
        <v>0.35</v>
      </c>
      <c r="E18" s="28" t="s">
        <v>105</v>
      </c>
      <c r="F18" s="36">
        <v>2</v>
      </c>
      <c r="G18" s="28"/>
      <c r="H18" s="31"/>
      <c r="I18" s="32">
        <f>IF(H18="",D18*F18,D18*F18*H18)</f>
        <v>0.7</v>
      </c>
      <c r="J18" s="10"/>
      <c r="K18" s="10"/>
      <c r="L18" s="10"/>
      <c r="M18" s="10"/>
      <c r="N18" s="10"/>
    </row>
    <row r="19" spans="1:14" x14ac:dyDescent="0.3">
      <c r="A19" s="25"/>
      <c r="B19" s="25"/>
      <c r="C19" s="25"/>
      <c r="D19" s="25"/>
      <c r="E19" s="25"/>
      <c r="F19" s="25"/>
      <c r="G19" s="25"/>
      <c r="H19" s="76" t="s">
        <v>23</v>
      </c>
      <c r="I19" s="77">
        <f>SUM(I15:I18)</f>
        <v>1.4534050239999998</v>
      </c>
      <c r="J19" s="25"/>
      <c r="K19" s="25"/>
      <c r="L19" s="25"/>
      <c r="M19" s="25"/>
      <c r="N19" s="25"/>
    </row>
    <row r="21" spans="1:14" x14ac:dyDescent="0.3">
      <c r="B21" s="62"/>
    </row>
  </sheetData>
  <hyperlinks>
    <hyperlink ref="F2" location="BOM!A1" display="Back to BOM"/>
    <hyperlink ref="B4" location="'ST A0100'!A1" display="Steering Rack "/>
    <hyperlink ref="D3" location="'ST 01008 Drawing'!A1" display="FileLink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5</vt:i4>
      </vt:variant>
    </vt:vector>
  </HeadingPairs>
  <TitlesOfParts>
    <vt:vector size="29" baseType="lpstr">
      <vt:lpstr>ST A0100</vt:lpstr>
      <vt:lpstr>ST 01001</vt:lpstr>
      <vt:lpstr>ST 01002</vt:lpstr>
      <vt:lpstr>ST 01003</vt:lpstr>
      <vt:lpstr>ST 01004</vt:lpstr>
      <vt:lpstr>ST 01005</vt:lpstr>
      <vt:lpstr>ST 01006</vt:lpstr>
      <vt:lpstr>ST 01007</vt:lpstr>
      <vt:lpstr>ST 01008</vt:lpstr>
      <vt:lpstr>ST 01008 Drawing</vt:lpstr>
      <vt:lpstr>ST 01009</vt:lpstr>
      <vt:lpstr>ST 01009 Drawing</vt:lpstr>
      <vt:lpstr>ST 01010</vt:lpstr>
      <vt:lpstr>ST 01010 Drawing</vt:lpstr>
      <vt:lpstr>ST 01011</vt:lpstr>
      <vt:lpstr>ST 01011 Drawing</vt:lpstr>
      <vt:lpstr>ST A0200</vt:lpstr>
      <vt:lpstr>ST 02001</vt:lpstr>
      <vt:lpstr>ST 02002</vt:lpstr>
      <vt:lpstr>ST 02003</vt:lpstr>
      <vt:lpstr>ST 02003 Drawing</vt:lpstr>
      <vt:lpstr>ST 02004</vt:lpstr>
      <vt:lpstr>ST 02004 Drawing</vt:lpstr>
      <vt:lpstr>ST 02005</vt:lpstr>
      <vt:lpstr>BR_A0001_f</vt:lpstr>
      <vt:lpstr>BR_A0001_m</vt:lpstr>
      <vt:lpstr>BR_A0001_p</vt:lpstr>
      <vt:lpstr>BR_A0001_pa</vt:lpstr>
      <vt:lpstr>BR_A0001_t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2018-04-29T22:38:11Z</dcterms:modified>
</cp:coreProperties>
</file>