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Cost_FR\"/>
    </mc:Choice>
  </mc:AlternateContent>
  <xr:revisionPtr revIDLastSave="0" documentId="13_ncr:1_{87A8874D-3D46-425B-B501-D5F595CE2AD5}" xr6:coauthVersionLast="31" xr6:coauthVersionMax="31" xr10:uidLastSave="{00000000-0000-0000-0000-000000000000}"/>
  <bookViews>
    <workbookView xWindow="0" yWindow="0" windowWidth="20490" windowHeight="6945" activeTab="1" xr2:uid="{00000000-000D-0000-FFFF-FFFF00000000}"/>
  </bookViews>
  <sheets>
    <sheet name="Instructions" sheetId="7" r:id="rId1"/>
    <sheet name="BOM" sheetId="8" r:id="rId2"/>
    <sheet name="FR A0001" sheetId="1" r:id="rId3"/>
    <sheet name="FR 01001" sheetId="2" r:id="rId4"/>
    <sheet name="FR 01002" sheetId="11" r:id="rId5"/>
    <sheet name="FR 01003" sheetId="12" r:id="rId6"/>
    <sheet name="FR 01004" sheetId="13" r:id="rId7"/>
    <sheet name="dFR 01004" sheetId="9" r:id="rId8"/>
  </sheets>
  <definedNames>
    <definedName name="FR_01001">'FR 01001'!$B$6</definedName>
    <definedName name="FR_01001_m">'FR 01001'!$N$13</definedName>
    <definedName name="FR_01001_p">'FR 01001'!$I$20</definedName>
    <definedName name="FR_01001_q">'FR 01001'!$N$3</definedName>
    <definedName name="FR_01002">'FR 01002'!$B$6</definedName>
    <definedName name="FR_01002_f">'FR 01002'!#REF!</definedName>
    <definedName name="FR_01002_m">'FR 01002'!$N$17</definedName>
    <definedName name="FR_01002_p">'FR 01002'!$I$24</definedName>
    <definedName name="FR_01002_q">'FR 01002'!$N$3</definedName>
    <definedName name="FR_01002_t">'FR 01002'!#REF!</definedName>
    <definedName name="FR_01003">'FR 01003'!$B$6</definedName>
    <definedName name="FR_01003_f">'FR 01003'!#REF!</definedName>
    <definedName name="FR_01003_m">'FR 01003'!$N$12</definedName>
    <definedName name="FR_01003_P">'FR 01003'!$I$18</definedName>
    <definedName name="FR_01003_q">'FR 01003'!$N$3</definedName>
    <definedName name="FR_01003_t">'FR 01003'!#REF!</definedName>
    <definedName name="FR_01004">'FR 01004'!$B$6</definedName>
    <definedName name="FR_01004_f">'FR 01004'!#REF!</definedName>
    <definedName name="FR_01004_m">'FR 01004'!$N$12</definedName>
    <definedName name="FR_01004_p">'FR 01004'!$I$18</definedName>
    <definedName name="FR_01004_q">'FR 01004'!$N$3</definedName>
    <definedName name="FR_01004_t">'FR 01004'!#REF!</definedName>
    <definedName name="FR_A0001">'FR A0001'!$B$5</definedName>
    <definedName name="FR_A0001_f">'FR A0001'!$J$31</definedName>
    <definedName name="FR_A0001_m">'FR A0001'!$N$18</definedName>
    <definedName name="FR_A0001_p">'FR A0001'!$I$26</definedName>
    <definedName name="FR_A0001_pa">'FR A0001'!$E$14</definedName>
    <definedName name="FR_A0001_q">'FR A0001'!$N$3</definedName>
    <definedName name="FR_A0001_t">'FR A0001'!$I$36</definedName>
  </definedNames>
  <calcPr calcId="179017"/>
</workbook>
</file>

<file path=xl/calcChain.xml><?xml version="1.0" encoding="utf-8"?>
<calcChain xmlns="http://schemas.openxmlformats.org/spreadsheetml/2006/main">
  <c r="J31" i="1" l="1"/>
  <c r="I26" i="1"/>
  <c r="N2" i="1"/>
  <c r="I24" i="1"/>
  <c r="I25" i="1"/>
  <c r="I11" i="8" l="1"/>
  <c r="I10" i="8"/>
  <c r="I9" i="8"/>
  <c r="I8" i="8"/>
  <c r="I7" i="8"/>
  <c r="I35" i="1"/>
  <c r="M17" i="1"/>
  <c r="D10" i="1"/>
  <c r="D11" i="1"/>
  <c r="D12" i="1"/>
  <c r="D13" i="1"/>
  <c r="J11" i="13"/>
  <c r="N11" i="13" s="1"/>
  <c r="N12" i="13" s="1"/>
  <c r="J11" i="8" s="1"/>
  <c r="J16" i="11"/>
  <c r="N16" i="11" s="1"/>
  <c r="I22" i="11"/>
  <c r="I23" i="11"/>
  <c r="K14" i="11"/>
  <c r="K13" i="11"/>
  <c r="E13" i="11"/>
  <c r="J15" i="11"/>
  <c r="N15" i="11" s="1"/>
  <c r="J14" i="11"/>
  <c r="J13" i="11"/>
  <c r="J11" i="11"/>
  <c r="N11" i="11" s="1"/>
  <c r="J12" i="11"/>
  <c r="N12" i="11" s="1"/>
  <c r="J11" i="2"/>
  <c r="J12" i="2"/>
  <c r="N12" i="2" s="1"/>
  <c r="J11" i="12"/>
  <c r="I17" i="13"/>
  <c r="I16" i="13"/>
  <c r="I15" i="13"/>
  <c r="B4" i="13"/>
  <c r="B3" i="13"/>
  <c r="B4" i="2"/>
  <c r="I17" i="12"/>
  <c r="I16" i="12"/>
  <c r="I15" i="12"/>
  <c r="N11" i="12"/>
  <c r="N12" i="12" s="1"/>
  <c r="B4" i="12"/>
  <c r="B3" i="12"/>
  <c r="I21" i="11"/>
  <c r="I20" i="11"/>
  <c r="B4" i="11"/>
  <c r="B3" i="11"/>
  <c r="N14" i="11" l="1"/>
  <c r="J10" i="8"/>
  <c r="N2" i="13"/>
  <c r="C13" i="1" s="1"/>
  <c r="E13" i="1" s="1"/>
  <c r="N13" i="11"/>
  <c r="I18" i="13"/>
  <c r="K11" i="8" s="1"/>
  <c r="I18" i="12"/>
  <c r="N17" i="11"/>
  <c r="I24" i="11"/>
  <c r="K9" i="8" s="1"/>
  <c r="B8" i="8"/>
  <c r="K10" i="8" l="1"/>
  <c r="N2" i="11"/>
  <c r="C11" i="1" s="1"/>
  <c r="E11" i="1" s="1"/>
  <c r="J9" i="8"/>
  <c r="N2" i="12"/>
  <c r="C12" i="1" s="1"/>
  <c r="E12" i="1" s="1"/>
  <c r="N5" i="13"/>
  <c r="N5" i="11"/>
  <c r="N5" i="12"/>
  <c r="B3" i="2"/>
  <c r="B12" i="8"/>
  <c r="B9" i="8"/>
  <c r="B10" i="8"/>
  <c r="B11" i="8"/>
  <c r="B7" i="8"/>
  <c r="C7" i="8" l="1"/>
  <c r="C8" i="8"/>
  <c r="F8" i="8"/>
  <c r="F7" i="8"/>
  <c r="E8" i="8" s="1"/>
  <c r="H9" i="8" l="1"/>
  <c r="N9" i="8" s="1"/>
  <c r="H10" i="8"/>
  <c r="N10" i="8" s="1"/>
  <c r="H11" i="8"/>
  <c r="N11" i="8" s="1"/>
  <c r="I19" i="2"/>
  <c r="I18" i="2"/>
  <c r="I17" i="2"/>
  <c r="I16" i="2"/>
  <c r="N11" i="2"/>
  <c r="N13" i="2" s="1"/>
  <c r="I34" i="1"/>
  <c r="J30" i="1"/>
  <c r="J29" i="1"/>
  <c r="I23" i="1"/>
  <c r="I22" i="1"/>
  <c r="I21" i="1"/>
  <c r="N17" i="1"/>
  <c r="B10" i="1"/>
  <c r="J8" i="8" l="1"/>
  <c r="L7" i="8"/>
  <c r="I36" i="1"/>
  <c r="M7" i="8" s="1"/>
  <c r="I20" i="2"/>
  <c r="K8" i="8" s="1"/>
  <c r="N18" i="1"/>
  <c r="K7" i="8" l="1"/>
  <c r="N2" i="2"/>
  <c r="N5" i="2"/>
  <c r="J7" i="8"/>
  <c r="H8" i="8"/>
  <c r="O1" i="8"/>
  <c r="H7" i="8" l="1"/>
  <c r="C10" i="1"/>
  <c r="E10" i="1" s="1"/>
  <c r="N8" i="8"/>
  <c r="E14" i="1" l="1"/>
  <c r="N5" i="1" s="1"/>
  <c r="L12" i="8"/>
  <c r="M12" i="8"/>
  <c r="N7" i="8"/>
  <c r="N12" i="8" s="1"/>
  <c r="J12" i="8"/>
  <c r="K12" i="8"/>
</calcChain>
</file>

<file path=xl/sharedStrings.xml><?xml version="1.0" encoding="utf-8"?>
<sst xmlns="http://schemas.openxmlformats.org/spreadsheetml/2006/main" count="472" uniqueCount="197">
  <si>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</si>
  <si>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</si>
  <si>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</si>
  <si>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</si>
  <si>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</si>
  <si>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</si>
  <si>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</si>
  <si>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</si>
  <si>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</si>
  <si>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</si>
  <si>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</si>
  <si>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</si>
  <si>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</si>
  <si>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</si>
  <si>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</si>
  <si>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</si>
  <si>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</si>
  <si>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</si>
  <si>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</si>
  <si>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</si>
  <si>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</si>
  <si>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</si>
  <si>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</si>
  <si>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</si>
  <si>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</si>
  <si>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</si>
  <si>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</si>
  <si>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</si>
  <si>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</si>
  <si>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</si>
  <si>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Process</t>
  </si>
  <si>
    <t>Unit</t>
  </si>
  <si>
    <t>Multiplier</t>
  </si>
  <si>
    <t>Mult. Val.</t>
  </si>
  <si>
    <t>unit</t>
  </si>
  <si>
    <t>Fastener</t>
  </si>
  <si>
    <t>Bolt,Grade 8.8 (SAE)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</si>
  <si>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</si>
  <si>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</si>
  <si>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</si>
  <si>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</si>
  <si>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</si>
  <si>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</si>
  <si>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</si>
  <si>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</si>
  <si>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Cutout shape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</si>
  <si>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</si>
  <si>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</si>
  <si>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</si>
  <si>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</si>
  <si>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</si>
  <si>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</si>
  <si>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</si>
  <si>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</si>
  <si>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</si>
  <si>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</si>
  <si>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</si>
  <si>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</si>
  <si>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</si>
  <si>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</si>
  <si>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</si>
  <si>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</si>
  <si>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</si>
  <si>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</si>
  <si>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</si>
  <si>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</si>
  <si>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</si>
  <si>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</si>
  <si>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</si>
  <si>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</si>
  <si>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</si>
  <si>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</si>
  <si>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</si>
  <si>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</si>
  <si>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</si>
  <si>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</si>
  <si>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</si>
  <si>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</si>
  <si>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</si>
  <si>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</si>
  <si>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</si>
  <si>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</si>
  <si>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</si>
  <si>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</si>
  <si>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</si>
  <si>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</si>
  <si>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</si>
  <si>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</si>
  <si>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</si>
  <si>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</si>
  <si>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</si>
  <si>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</si>
  <si>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</si>
  <si>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</si>
  <si>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</si>
  <si>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</si>
  <si>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</si>
  <si>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</si>
  <si>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</si>
  <si>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</si>
  <si>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</si>
  <si>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</si>
  <si>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</si>
  <si>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</si>
  <si>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</si>
  <si>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</si>
  <si>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</si>
  <si>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</si>
  <si>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</si>
  <si>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</si>
  <si>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</si>
  <si>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</si>
  <si>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</si>
  <si>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</si>
  <si>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</si>
  <si>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</si>
  <si>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</si>
  <si>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</si>
  <si>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</si>
  <si>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</si>
  <si>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</si>
  <si>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</si>
  <si>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</si>
  <si>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</si>
  <si>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</si>
  <si>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</si>
  <si>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</si>
  <si>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</si>
  <si>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</si>
  <si>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</si>
  <si>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</si>
  <si>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</si>
  <si>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</si>
  <si>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</si>
  <si>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 sur cette étape.</t>
  </si>
  <si>
    <t>Frame and Body</t>
  </si>
  <si>
    <t>FR 01001</t>
  </si>
  <si>
    <t>Frame</t>
  </si>
  <si>
    <t>Tubular and space frame</t>
  </si>
  <si>
    <t>Bend Round steel tubing</t>
  </si>
  <si>
    <t>Hoops of the frame</t>
  </si>
  <si>
    <t>Straight round steel tubing</t>
  </si>
  <si>
    <t>FR 01002</t>
  </si>
  <si>
    <t>FR A0001</t>
  </si>
  <si>
    <t>FR 01003</t>
  </si>
  <si>
    <t>Ant-intrusion plate</t>
  </si>
  <si>
    <t>Anti-intusion plate</t>
  </si>
  <si>
    <t>Paint</t>
  </si>
  <si>
    <t>Painting of the frame</t>
  </si>
  <si>
    <t>Weld round tubing</t>
  </si>
  <si>
    <t>Aerosol Apply</t>
  </si>
  <si>
    <t>Anti-intrusion plate</t>
  </si>
  <si>
    <t>Frame Welding fixiture</t>
  </si>
  <si>
    <t>Anti-intrusion fixiture</t>
  </si>
  <si>
    <t>FR 01004</t>
  </si>
  <si>
    <t>Sleeved joint</t>
  </si>
  <si>
    <t>Steel, Alloy</t>
  </si>
  <si>
    <t>Main Hoop</t>
  </si>
  <si>
    <t>Front Hoop</t>
  </si>
  <si>
    <t>Tube bends</t>
  </si>
  <si>
    <t>Tube cut</t>
  </si>
  <si>
    <t>Tube end preparation for welding</t>
  </si>
  <si>
    <t>Main Hoop bends</t>
  </si>
  <si>
    <t>Front Hoop bends</t>
  </si>
  <si>
    <t>Cut to proper length</t>
  </si>
  <si>
    <t>Bend</t>
  </si>
  <si>
    <t>end</t>
  </si>
  <si>
    <t>kg</t>
  </si>
  <si>
    <t>Round, 30 x 2 mm</t>
  </si>
  <si>
    <t>Shoulder Harness Mounting Bar</t>
  </si>
  <si>
    <t>Side impact structure, Front Bulkhead, Roll Hoop Bracing, Front Bulkhead Support, Main Hoop Bracing Support</t>
  </si>
  <si>
    <t>Jacking point &amp; Miscellaneous</t>
  </si>
  <si>
    <t>Miscellaneous</t>
  </si>
  <si>
    <t>Round, 30 x 1,5 mm</t>
  </si>
  <si>
    <t>Round, 25 x 1,5 mm</t>
  </si>
  <si>
    <t>Round, 20 x 1,5 mm</t>
  </si>
  <si>
    <t>Round, 15 x 1,5 mm</t>
  </si>
  <si>
    <t>Rectangular area</t>
  </si>
  <si>
    <t>Setup for metal shearing</t>
  </si>
  <si>
    <t>Sheet metal shearing</t>
  </si>
  <si>
    <t>Drilled holes &lt; 25.4 mm dia.</t>
  </si>
  <si>
    <t>cut</t>
  </si>
  <si>
    <t>hole</t>
  </si>
  <si>
    <t>Sleeve joint</t>
  </si>
  <si>
    <t>Round , 34 x 2 mm</t>
  </si>
  <si>
    <t>Machining</t>
  </si>
  <si>
    <t>Inner</t>
  </si>
  <si>
    <t>Drilled holes &lt; 25,4 mm dia.</t>
  </si>
  <si>
    <t>Round, 20 x 4 mm</t>
  </si>
  <si>
    <t>cm^3</t>
  </si>
  <si>
    <t>Drawing Part :</t>
  </si>
  <si>
    <t>Bolt on sleeved joints</t>
  </si>
  <si>
    <t>Nut on sleeved joints</t>
  </si>
  <si>
    <t>m^2</t>
  </si>
  <si>
    <t>mm</t>
  </si>
  <si>
    <t>Ratchet &lt;= 25.4 mm</t>
  </si>
  <si>
    <t>Reaction Tool &lt;= 25.4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</si>
</sst>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-[$$-409]* #,##0.00_ ;_-[$$-409]* \-#,##0.00,;_-[$$-409]* \-??_ ;_-@_ 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3" formatCode="0.000"/>
    <numFmt numFmtId="174" formatCode="0.000E+00"/>
    <numFmt numFmtId="175" formatCode="0.0"/>
    <numFmt numFmtId="176" formatCode="0.0E+00"/>
  </numFmts>
  <fonts count="2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99FF"/>
        <bgColor rgb="FFFCD5B5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rgb="FFFAC090"/>
      </patternFill>
    </fill>
  </fills>
  <borders count="3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8" fillId="0" borderId="0"/>
    <xf numFmtId="170" fontId="8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7" fillId="2" borderId="6">
      <alignment vertical="center" wrapText="1"/>
    </xf>
    <xf numFmtId="171" fontId="8" fillId="0" borderId="0" applyFont="0" applyFill="0" applyBorder="0" applyAlignment="0" applyProtection="0"/>
    <xf numFmtId="0" fontId="3" fillId="0" borderId="0"/>
    <xf numFmtId="166" fontId="6" fillId="0" borderId="1">
      <alignment vertical="center" wrapText="1"/>
    </xf>
    <xf numFmtId="0" fontId="19" fillId="0" borderId="0" applyNumberFormat="0" applyFill="0" applyBorder="0" applyAlignment="0" applyProtection="0"/>
  </cellStyleXfs>
  <cellXfs count="163">
    <xf numFmtId="0" fontId="0" fillId="0" borderId="0" xfId="0"/>
    <xf numFmtId="18" fontId="12" fillId="0" borderId="7" xfId="1" applyNumberFormat="1" applyFont="1" applyFill="1" applyBorder="1" applyAlignment="1" applyProtection="1">
      <protection locked="0"/>
    </xf>
    <xf numFmtId="0" fontId="12" fillId="0" borderId="7" xfId="1" applyFont="1" applyFill="1" applyBorder="1" applyAlignment="1">
      <alignment horizontal="center"/>
    </xf>
    <xf numFmtId="171" fontId="12" fillId="0" borderId="7" xfId="5" applyFont="1" applyFill="1" applyBorder="1" applyProtection="1">
      <protection locked="0"/>
    </xf>
    <xf numFmtId="0" fontId="12" fillId="0" borderId="7" xfId="1" applyFont="1" applyFill="1" applyBorder="1" applyAlignment="1" applyProtection="1">
      <alignment horizontal="center"/>
      <protection locked="0"/>
    </xf>
    <xf numFmtId="0" fontId="12" fillId="0" borderId="7" xfId="1" applyFont="1" applyFill="1" applyBorder="1" applyProtection="1">
      <protection locked="0"/>
    </xf>
    <xf numFmtId="171" fontId="9" fillId="0" borderId="0" xfId="5" applyFont="1"/>
    <xf numFmtId="0" fontId="9" fillId="0" borderId="0" xfId="1" applyFont="1" applyProtection="1">
      <protection locked="0"/>
    </xf>
    <xf numFmtId="171" fontId="8" fillId="0" borderId="0" xfId="5" applyFont="1"/>
    <xf numFmtId="0" fontId="9" fillId="0" borderId="0" xfId="1" applyFont="1"/>
    <xf numFmtId="0" fontId="11" fillId="0" borderId="0" xfId="1" applyFont="1"/>
    <xf numFmtId="0" fontId="8" fillId="0" borderId="0" xfId="1" applyFont="1" applyProtection="1">
      <protection locked="0"/>
    </xf>
    <xf numFmtId="0" fontId="8" fillId="0" borderId="0" xfId="1" applyFont="1" applyFill="1"/>
    <xf numFmtId="0" fontId="8" fillId="0" borderId="0" xfId="1" applyFont="1"/>
    <xf numFmtId="0" fontId="3" fillId="0" borderId="0" xfId="6" applyBorder="1"/>
    <xf numFmtId="0" fontId="3" fillId="0" borderId="0" xfId="6"/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0" fontId="0" fillId="0" borderId="0" xfId="0" applyFont="1"/>
    <xf numFmtId="0" fontId="5" fillId="0" borderId="0" xfId="0" applyFont="1" applyBorder="1" applyAlignment="1">
      <alignment horizontal="left"/>
    </xf>
    <xf numFmtId="0" fontId="5" fillId="0" borderId="3" xfId="0" applyFont="1" applyBorder="1"/>
    <xf numFmtId="164" fontId="5" fillId="0" borderId="3" xfId="7" applyNumberFormat="1" applyFont="1" applyBorder="1" applyAlignment="1" applyProtection="1"/>
    <xf numFmtId="0" fontId="5" fillId="0" borderId="3" xfId="0" applyFont="1" applyBorder="1" applyAlignment="1"/>
    <xf numFmtId="11" fontId="5" fillId="0" borderId="3" xfId="0" applyNumberFormat="1" applyFont="1" applyBorder="1" applyAlignment="1"/>
    <xf numFmtId="168" fontId="5" fillId="0" borderId="3" xfId="7" applyNumberFormat="1" applyFont="1" applyBorder="1" applyAlignment="1" applyProtection="1"/>
    <xf numFmtId="0" fontId="0" fillId="0" borderId="0" xfId="0" applyAlignment="1"/>
    <xf numFmtId="2" fontId="5" fillId="0" borderId="3" xfId="7" applyNumberFormat="1" applyFont="1" applyBorder="1" applyAlignment="1" applyProtection="1"/>
    <xf numFmtId="0" fontId="4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5" fillId="0" borderId="0" xfId="0" applyNumberFormat="1" applyFont="1" applyBorder="1" applyAlignment="1">
      <alignment horizontal="left"/>
    </xf>
    <xf numFmtId="0" fontId="4" fillId="0" borderId="4" xfId="0" applyFont="1" applyBorder="1"/>
    <xf numFmtId="0" fontId="5" fillId="0" borderId="3" xfId="0" applyFont="1" applyBorder="1" applyAlignment="1" applyProtection="1"/>
    <xf numFmtId="3" fontId="0" fillId="0" borderId="3" xfId="0" applyNumberFormat="1" applyBorder="1" applyAlignment="1"/>
    <xf numFmtId="165" fontId="5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5" fillId="0" borderId="3" xfId="7" applyNumberFormat="1" applyFont="1" applyBorder="1" applyAlignment="1" applyProtection="1">
      <alignment wrapText="1"/>
    </xf>
    <xf numFmtId="1" fontId="5" fillId="0" borderId="3" xfId="0" applyNumberFormat="1" applyFont="1" applyBorder="1"/>
    <xf numFmtId="165" fontId="5" fillId="0" borderId="0" xfId="0" applyNumberFormat="1" applyFont="1" applyBorder="1"/>
    <xf numFmtId="0" fontId="13" fillId="0" borderId="0" xfId="1" applyFont="1" applyAlignment="1">
      <alignment horizontal="center"/>
    </xf>
    <xf numFmtId="0" fontId="14" fillId="0" borderId="0" xfId="1" applyFont="1"/>
    <xf numFmtId="0" fontId="17" fillId="0" borderId="0" xfId="6" applyFont="1" applyFill="1" applyBorder="1"/>
    <xf numFmtId="0" fontId="3" fillId="0" borderId="0" xfId="6" applyFill="1"/>
    <xf numFmtId="0" fontId="3" fillId="0" borderId="0" xfId="6" applyFill="1" applyBorder="1"/>
    <xf numFmtId="0" fontId="3" fillId="0" borderId="0" xfId="6" applyFont="1"/>
    <xf numFmtId="0" fontId="3" fillId="0" borderId="0" xfId="6" applyFont="1" applyFill="1" applyBorder="1"/>
    <xf numFmtId="0" fontId="3" fillId="0" borderId="0" xfId="6" applyFont="1" applyFill="1"/>
    <xf numFmtId="0" fontId="12" fillId="0" borderId="7" xfId="1" applyFont="1" applyFill="1" applyBorder="1" applyAlignment="1">
      <alignment horizontal="left"/>
    </xf>
    <xf numFmtId="0" fontId="10" fillId="0" borderId="0" xfId="1" applyFont="1"/>
    <xf numFmtId="0" fontId="15" fillId="0" borderId="0" xfId="1" applyFont="1"/>
    <xf numFmtId="0" fontId="17" fillId="3" borderId="0" xfId="6" applyFont="1" applyFill="1" applyBorder="1" applyAlignment="1"/>
    <xf numFmtId="171" fontId="8" fillId="0" borderId="0" xfId="1" applyNumberFormat="1" applyFont="1"/>
    <xf numFmtId="0" fontId="13" fillId="0" borderId="8" xfId="1" applyFont="1" applyBorder="1" applyAlignment="1">
      <alignment horizontal="center" wrapText="1"/>
    </xf>
    <xf numFmtId="2" fontId="13" fillId="0" borderId="8" xfId="1" applyNumberFormat="1" applyFont="1" applyBorder="1" applyAlignment="1">
      <alignment horizontal="center" wrapText="1"/>
    </xf>
    <xf numFmtId="171" fontId="13" fillId="0" borderId="8" xfId="5" applyFont="1" applyBorder="1" applyAlignment="1">
      <alignment horizontal="center" wrapText="1"/>
    </xf>
    <xf numFmtId="0" fontId="18" fillId="4" borderId="9" xfId="6" applyFont="1" applyFill="1" applyBorder="1"/>
    <xf numFmtId="0" fontId="18" fillId="4" borderId="11" xfId="6" applyFont="1" applyFill="1" applyBorder="1"/>
    <xf numFmtId="0" fontId="18" fillId="4" borderId="10" xfId="6" applyFont="1" applyFill="1" applyBorder="1"/>
    <xf numFmtId="0" fontId="18" fillId="4" borderId="12" xfId="6" applyFont="1" applyFill="1" applyBorder="1"/>
    <xf numFmtId="0" fontId="3" fillId="5" borderId="14" xfId="6" quotePrefix="1" applyFill="1" applyBorder="1" applyAlignment="1">
      <alignment horizontal="left"/>
    </xf>
    <xf numFmtId="2" fontId="3" fillId="6" borderId="15" xfId="6" quotePrefix="1" applyNumberFormat="1" applyFill="1" applyBorder="1" applyAlignment="1">
      <alignment horizontal="right"/>
    </xf>
    <xf numFmtId="0" fontId="18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22" xfId="0" applyFont="1" applyBorder="1"/>
    <xf numFmtId="0" fontId="5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4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5" fillId="0" borderId="16" xfId="0" applyFont="1" applyBorder="1"/>
    <xf numFmtId="165" fontId="5" fillId="0" borderId="16" xfId="7" applyNumberFormat="1" applyFont="1" applyBorder="1" applyAlignment="1" applyProtection="1"/>
    <xf numFmtId="164" fontId="5" fillId="0" borderId="16" xfId="7" applyNumberFormat="1" applyFont="1" applyBorder="1" applyAlignment="1" applyProtection="1"/>
    <xf numFmtId="11" fontId="5" fillId="0" borderId="16" xfId="0" applyNumberFormat="1" applyFont="1" applyBorder="1"/>
    <xf numFmtId="167" fontId="5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69" fontId="5" fillId="0" borderId="16" xfId="0" applyNumberFormat="1" applyFont="1" applyBorder="1"/>
    <xf numFmtId="0" fontId="5" fillId="0" borderId="16" xfId="7" applyNumberFormat="1" applyFont="1" applyBorder="1" applyAlignment="1" applyProtection="1">
      <alignment vertical="center" wrapText="1"/>
    </xf>
    <xf numFmtId="37" fontId="5" fillId="0" borderId="16" xfId="7" applyNumberFormat="1" applyFont="1" applyBorder="1" applyAlignment="1" applyProtection="1"/>
    <xf numFmtId="39" fontId="5" fillId="0" borderId="16" xfId="7" applyNumberFormat="1" applyFont="1" applyBorder="1" applyAlignment="1" applyProtection="1"/>
    <xf numFmtId="0" fontId="5" fillId="0" borderId="16" xfId="0" applyFont="1" applyBorder="1" applyAlignment="1">
      <alignment horizontal="right"/>
    </xf>
    <xf numFmtId="0" fontId="4" fillId="0" borderId="27" xfId="0" applyFont="1" applyBorder="1"/>
    <xf numFmtId="0" fontId="5" fillId="0" borderId="22" xfId="0" applyFont="1" applyBorder="1" applyAlignment="1"/>
    <xf numFmtId="0" fontId="0" fillId="0" borderId="22" xfId="0" applyBorder="1" applyAlignment="1">
      <alignment wrapText="1"/>
    </xf>
    <xf numFmtId="0" fontId="0" fillId="0" borderId="21" xfId="0" applyFont="1" applyBorder="1"/>
    <xf numFmtId="37" fontId="5" fillId="0" borderId="16" xfId="0" applyNumberFormat="1" applyFont="1" applyBorder="1"/>
    <xf numFmtId="0" fontId="19" fillId="0" borderId="16" xfId="8" applyNumberFormat="1" applyBorder="1" applyAlignment="1" applyProtection="1"/>
    <xf numFmtId="0" fontId="20" fillId="0" borderId="0" xfId="0" applyFont="1"/>
    <xf numFmtId="0" fontId="19" fillId="0" borderId="0" xfId="8" applyBorder="1"/>
    <xf numFmtId="0" fontId="19" fillId="0" borderId="0" xfId="8"/>
    <xf numFmtId="0" fontId="22" fillId="0" borderId="0" xfId="0" applyFont="1"/>
    <xf numFmtId="0" fontId="23" fillId="0" borderId="0" xfId="0" applyFont="1"/>
    <xf numFmtId="0" fontId="3" fillId="5" borderId="14" xfId="6" quotePrefix="1" applyFont="1" applyFill="1" applyBorder="1" applyAlignment="1">
      <alignment horizontal="left"/>
    </xf>
    <xf numFmtId="0" fontId="2" fillId="5" borderId="14" xfId="6" applyFont="1" applyFill="1" applyBorder="1"/>
    <xf numFmtId="172" fontId="5" fillId="0" borderId="16" xfId="7" applyNumberFormat="1" applyFont="1" applyBorder="1" applyAlignment="1" applyProtection="1"/>
    <xf numFmtId="172" fontId="12" fillId="0" borderId="7" xfId="1" applyNumberFormat="1" applyFont="1" applyFill="1" applyBorder="1" applyAlignment="1">
      <alignment horizontal="right"/>
    </xf>
    <xf numFmtId="173" fontId="5" fillId="0" borderId="3" xfId="7" applyNumberFormat="1" applyFont="1" applyBorder="1" applyAlignment="1" applyProtection="1"/>
    <xf numFmtId="0" fontId="4" fillId="7" borderId="16" xfId="0" applyFont="1" applyFill="1" applyBorder="1"/>
    <xf numFmtId="0" fontId="4" fillId="7" borderId="16" xfId="0" applyFont="1" applyFill="1" applyBorder="1" applyAlignment="1">
      <alignment horizontal="right"/>
    </xf>
    <xf numFmtId="165" fontId="4" fillId="7" borderId="16" xfId="0" applyNumberFormat="1" applyFont="1" applyFill="1" applyBorder="1"/>
    <xf numFmtId="0" fontId="4" fillId="7" borderId="0" xfId="0" applyFont="1" applyFill="1" applyBorder="1"/>
    <xf numFmtId="0" fontId="4" fillId="7" borderId="26" xfId="0" applyFont="1" applyFill="1" applyBorder="1" applyAlignment="1">
      <alignment horizontal="right"/>
    </xf>
    <xf numFmtId="165" fontId="4" fillId="7" borderId="26" xfId="0" applyNumberFormat="1" applyFont="1" applyFill="1" applyBorder="1"/>
    <xf numFmtId="0" fontId="12" fillId="8" borderId="3" xfId="1" applyFont="1" applyFill="1" applyBorder="1" applyProtection="1">
      <protection locked="0"/>
    </xf>
    <xf numFmtId="0" fontId="12" fillId="8" borderId="3" xfId="1" applyFont="1" applyFill="1" applyBorder="1" applyAlignment="1">
      <alignment horizontal="left"/>
    </xf>
    <xf numFmtId="18" fontId="12" fillId="8" borderId="3" xfId="1" applyNumberFormat="1" applyFont="1" applyFill="1" applyBorder="1" applyAlignment="1" applyProtection="1">
      <protection locked="0"/>
    </xf>
    <xf numFmtId="0" fontId="19" fillId="8" borderId="3" xfId="8" applyFill="1" applyBorder="1" applyAlignment="1">
      <alignment horizontal="left"/>
    </xf>
    <xf numFmtId="172" fontId="12" fillId="8" borderId="3" xfId="5" applyNumberFormat="1" applyFont="1" applyFill="1" applyBorder="1" applyProtection="1">
      <protection locked="0"/>
    </xf>
    <xf numFmtId="37" fontId="12" fillId="8" borderId="3" xfId="1" applyNumberFormat="1" applyFont="1" applyFill="1" applyBorder="1" applyAlignment="1" applyProtection="1">
      <alignment horizontal="center"/>
      <protection locked="0"/>
    </xf>
    <xf numFmtId="172" fontId="12" fillId="8" borderId="3" xfId="1" applyNumberFormat="1" applyFont="1" applyFill="1" applyBorder="1" applyAlignment="1" applyProtection="1">
      <alignment horizontal="center"/>
      <protection locked="0"/>
    </xf>
    <xf numFmtId="172" fontId="12" fillId="8" borderId="3" xfId="1" applyNumberFormat="1" applyFont="1" applyFill="1" applyBorder="1" applyAlignment="1">
      <alignment horizontal="right"/>
    </xf>
    <xf numFmtId="0" fontId="12" fillId="8" borderId="3" xfId="1" applyFont="1" applyFill="1" applyBorder="1" applyAlignment="1">
      <alignment horizontal="center"/>
    </xf>
    <xf numFmtId="0" fontId="12" fillId="9" borderId="3" xfId="1" applyFont="1" applyFill="1" applyBorder="1" applyProtection="1">
      <protection locked="0"/>
    </xf>
    <xf numFmtId="0" fontId="12" fillId="9" borderId="3" xfId="1" applyFont="1" applyFill="1" applyBorder="1" applyAlignment="1">
      <alignment horizontal="left"/>
    </xf>
    <xf numFmtId="18" fontId="12" fillId="9" borderId="3" xfId="1" applyNumberFormat="1" applyFont="1" applyFill="1" applyBorder="1" applyAlignment="1" applyProtection="1">
      <alignment horizontal="right"/>
      <protection locked="0"/>
    </xf>
    <xf numFmtId="18" fontId="12" fillId="9" borderId="3" xfId="1" applyNumberFormat="1" applyFont="1" applyFill="1" applyBorder="1" applyAlignment="1" applyProtection="1">
      <protection locked="0"/>
    </xf>
    <xf numFmtId="0" fontId="19" fillId="9" borderId="3" xfId="8" applyFill="1" applyBorder="1" applyAlignment="1">
      <alignment horizontal="left"/>
    </xf>
    <xf numFmtId="172" fontId="12" fillId="9" borderId="3" xfId="5" applyNumberFormat="1" applyFont="1" applyFill="1" applyBorder="1" applyProtection="1">
      <protection locked="0"/>
    </xf>
    <xf numFmtId="37" fontId="12" fillId="9" borderId="3" xfId="1" applyNumberFormat="1" applyFont="1" applyFill="1" applyBorder="1" applyAlignment="1" applyProtection="1">
      <alignment horizontal="center"/>
      <protection locked="0"/>
    </xf>
    <xf numFmtId="172" fontId="12" fillId="9" borderId="3" xfId="1" applyNumberFormat="1" applyFont="1" applyFill="1" applyBorder="1" applyAlignment="1" applyProtection="1">
      <alignment horizontal="center"/>
      <protection locked="0"/>
    </xf>
    <xf numFmtId="172" fontId="12" fillId="9" borderId="3" xfId="1" applyNumberFormat="1" applyFont="1" applyFill="1" applyBorder="1" applyAlignment="1">
      <alignment horizontal="right"/>
    </xf>
    <xf numFmtId="0" fontId="12" fillId="9" borderId="3" xfId="1" applyFont="1" applyFill="1" applyBorder="1" applyAlignment="1">
      <alignment horizontal="center"/>
    </xf>
    <xf numFmtId="0" fontId="4" fillId="10" borderId="16" xfId="0" applyFont="1" applyFill="1" applyBorder="1"/>
    <xf numFmtId="0" fontId="4" fillId="10" borderId="16" xfId="0" applyFont="1" applyFill="1" applyBorder="1" applyAlignment="1">
      <alignment horizontal="left"/>
    </xf>
    <xf numFmtId="0" fontId="4" fillId="10" borderId="2" xfId="0" applyFont="1" applyFill="1" applyBorder="1"/>
    <xf numFmtId="0" fontId="4" fillId="10" borderId="28" xfId="0" applyFont="1" applyFill="1" applyBorder="1"/>
    <xf numFmtId="0" fontId="4" fillId="10" borderId="5" xfId="0" applyFont="1" applyFill="1" applyBorder="1"/>
    <xf numFmtId="0" fontId="4" fillId="10" borderId="3" xfId="0" applyFont="1" applyFill="1" applyBorder="1"/>
    <xf numFmtId="0" fontId="4" fillId="10" borderId="3" xfId="0" applyFont="1" applyFill="1" applyBorder="1" applyAlignment="1">
      <alignment horizontal="right"/>
    </xf>
    <xf numFmtId="165" fontId="4" fillId="10" borderId="5" xfId="0" applyNumberFormat="1" applyFont="1" applyFill="1" applyBorder="1"/>
    <xf numFmtId="0" fontId="4" fillId="10" borderId="22" xfId="0" applyFont="1" applyFill="1" applyBorder="1"/>
    <xf numFmtId="0" fontId="4" fillId="10" borderId="5" xfId="0" applyFont="1" applyFill="1" applyBorder="1" applyAlignment="1">
      <alignment horizontal="right"/>
    </xf>
    <xf numFmtId="0" fontId="5" fillId="0" borderId="21" xfId="0" applyFont="1" applyBorder="1" applyAlignment="1"/>
    <xf numFmtId="0" fontId="5" fillId="0" borderId="0" xfId="0" applyFont="1" applyBorder="1" applyAlignment="1"/>
    <xf numFmtId="0" fontId="5" fillId="0" borderId="3" xfId="0" applyFont="1" applyBorder="1" applyAlignment="1">
      <alignment wrapText="1"/>
    </xf>
    <xf numFmtId="174" fontId="5" fillId="0" borderId="3" xfId="7" applyNumberFormat="1" applyFont="1" applyBorder="1" applyAlignment="1" applyProtection="1"/>
    <xf numFmtId="175" fontId="5" fillId="0" borderId="3" xfId="0" applyNumberFormat="1" applyFont="1" applyBorder="1"/>
    <xf numFmtId="0" fontId="0" fillId="0" borderId="0" xfId="0" applyFill="1"/>
    <xf numFmtId="176" fontId="5" fillId="0" borderId="3" xfId="0" applyNumberFormat="1" applyFont="1" applyBorder="1"/>
    <xf numFmtId="0" fontId="1" fillId="5" borderId="13" xfId="6" applyFont="1" applyFill="1" applyBorder="1"/>
    <xf numFmtId="0" fontId="5" fillId="0" borderId="29" xfId="0" applyFont="1" applyBorder="1"/>
    <xf numFmtId="165" fontId="5" fillId="0" borderId="30" xfId="7" applyNumberFormat="1" applyFont="1" applyBorder="1" applyAlignment="1" applyProtection="1"/>
    <xf numFmtId="0" fontId="19" fillId="0" borderId="31" xfId="8" applyNumberFormat="1" applyBorder="1" applyAlignment="1" applyProtection="1"/>
    <xf numFmtId="0" fontId="19" fillId="0" borderId="3" xfId="8" applyBorder="1"/>
    <xf numFmtId="0" fontId="5" fillId="0" borderId="31" xfId="0" applyFont="1" applyBorder="1"/>
    <xf numFmtId="0" fontId="0" fillId="0" borderId="31" xfId="7" applyNumberFormat="1" applyFont="1" applyBorder="1" applyAlignment="1">
      <alignment wrapText="1"/>
    </xf>
    <xf numFmtId="165" fontId="5" fillId="0" borderId="31" xfId="7" applyNumberFormat="1" applyFont="1" applyBorder="1" applyAlignment="1" applyProtection="1"/>
    <xf numFmtId="0" fontId="0" fillId="0" borderId="31" xfId="0" applyBorder="1"/>
    <xf numFmtId="0" fontId="5" fillId="0" borderId="32" xfId="0" applyFont="1" applyBorder="1"/>
    <xf numFmtId="0" fontId="0" fillId="0" borderId="32" xfId="7" applyNumberFormat="1" applyFont="1" applyBorder="1" applyAlignment="1">
      <alignment wrapText="1"/>
    </xf>
    <xf numFmtId="165" fontId="5" fillId="0" borderId="32" xfId="7" applyNumberFormat="1" applyFont="1" applyBorder="1" applyAlignment="1" applyProtection="1"/>
    <xf numFmtId="0" fontId="0" fillId="0" borderId="32" xfId="0" applyBorder="1"/>
  </cellXfs>
  <cellStyles count="9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onétaire 2" xfId="3" xr:uid="{00000000-0005-0000-0000-000004000000}"/>
    <cellStyle name="Normal" xfId="0" builtinId="0"/>
    <cellStyle name="Normal 2" xfId="1" xr:uid="{00000000-0005-0000-0000-000006000000}"/>
    <cellStyle name="Normal 3" xfId="6" xr:uid="{00000000-0005-0000-0000-000007000000}"/>
    <cellStyle name="TableStyleLight1" xfId="7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  <color rgb="FFFF99FF"/>
      <color rgb="FFFF66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308729</xdr:colOff>
      <xdr:row>2</xdr:row>
      <xdr:rowOff>38099</xdr:rowOff>
    </xdr:from>
    <xdr:to>
      <xdr:col>6</xdr:col>
      <xdr:colOff>529733</xdr:colOff>
      <xdr:row>21</xdr:row>
      <xdr:rowOff>142875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EA309B-1413-4E94-AD7F-FD8C9AEEA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8729" y="400049"/>
          <a:ext cx="5031129" cy="3543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topLeftCell="A58" workbookViewId="0">
      <selection activeCell="B20" sqref="B20"/>
    </sheetView>
  </sheetViews>
  <sheetFormatPr baseColWidth="10" defaultRowHeight="15" x14ac:dyDescent="0.25"/>
  <sheetData>
    <row r="1" spans="1:2" x14ac:dyDescent="0.25">
      <c r="A1" s="102" t="s">
        <v>133</v>
      </c>
    </row>
    <row r="3" spans="1:2" x14ac:dyDescent="0.25">
      <c r="A3" s="101" t="s">
        <v>66</v>
      </c>
      <c r="B3" s="98" t="s">
        <v>67</v>
      </c>
    </row>
    <row r="5" spans="1:2" x14ac:dyDescent="0.25">
      <c r="A5" t="s">
        <v>101</v>
      </c>
    </row>
    <row r="6" spans="1:2" x14ac:dyDescent="0.25">
      <c r="A6" t="s">
        <v>102</v>
      </c>
    </row>
    <row r="7" spans="1:2" x14ac:dyDescent="0.25">
      <c r="A7" t="s">
        <v>109</v>
      </c>
    </row>
    <row r="8" spans="1:2" x14ac:dyDescent="0.25">
      <c r="A8" t="s">
        <v>106</v>
      </c>
    </row>
    <row r="9" spans="1:2" x14ac:dyDescent="0.25">
      <c r="A9" t="s">
        <v>68</v>
      </c>
    </row>
    <row r="10" spans="1:2" x14ac:dyDescent="0.25">
      <c r="A10" s="98" t="s">
        <v>97</v>
      </c>
    </row>
    <row r="11" spans="1:2" x14ac:dyDescent="0.25">
      <c r="A11" t="s">
        <v>69</v>
      </c>
    </row>
    <row r="12" spans="1:2" x14ac:dyDescent="0.25">
      <c r="A12" t="s">
        <v>70</v>
      </c>
    </row>
    <row r="14" spans="1:2" x14ac:dyDescent="0.25">
      <c r="A14" t="s">
        <v>100</v>
      </c>
    </row>
    <row r="15" spans="1:2" x14ac:dyDescent="0.25">
      <c r="A15" t="s">
        <v>114</v>
      </c>
    </row>
    <row r="16" spans="1:2" x14ac:dyDescent="0.25">
      <c r="A16" t="s">
        <v>118</v>
      </c>
    </row>
    <row r="18" spans="1:3" x14ac:dyDescent="0.25">
      <c r="A18" s="101" t="s">
        <v>71</v>
      </c>
      <c r="B18" s="98" t="s">
        <v>104</v>
      </c>
      <c r="C18" s="98"/>
    </row>
    <row r="20" spans="1:3" x14ac:dyDescent="0.25">
      <c r="A20" t="s">
        <v>115</v>
      </c>
    </row>
    <row r="21" spans="1:3" x14ac:dyDescent="0.25">
      <c r="A21" t="s">
        <v>134</v>
      </c>
    </row>
    <row r="23" spans="1:3" x14ac:dyDescent="0.25">
      <c r="A23" s="101" t="s">
        <v>73</v>
      </c>
      <c r="B23" s="98" t="s">
        <v>74</v>
      </c>
    </row>
    <row r="25" spans="1:3" x14ac:dyDescent="0.25">
      <c r="A25" t="s">
        <v>126</v>
      </c>
    </row>
    <row r="26" spans="1:3" x14ac:dyDescent="0.25">
      <c r="A26" t="s">
        <v>80</v>
      </c>
    </row>
    <row r="27" spans="1:3" x14ac:dyDescent="0.25">
      <c r="A27" t="s">
        <v>75</v>
      </c>
    </row>
    <row r="28" spans="1:3" x14ac:dyDescent="0.25">
      <c r="A28" t="s">
        <v>110</v>
      </c>
    </row>
    <row r="29" spans="1:3" x14ac:dyDescent="0.25">
      <c r="A29" t="s">
        <v>107</v>
      </c>
    </row>
    <row r="30" spans="1:3" x14ac:dyDescent="0.25">
      <c r="A30" t="s">
        <v>76</v>
      </c>
    </row>
    <row r="31" spans="1:3" x14ac:dyDescent="0.25">
      <c r="A31" s="98" t="s">
        <v>97</v>
      </c>
    </row>
    <row r="32" spans="1:3" x14ac:dyDescent="0.25">
      <c r="A32" t="s">
        <v>108</v>
      </c>
    </row>
    <row r="33" spans="1:2" x14ac:dyDescent="0.25">
      <c r="A33" t="s">
        <v>111</v>
      </c>
    </row>
    <row r="35" spans="1:2" x14ac:dyDescent="0.25">
      <c r="A35" t="s">
        <v>112</v>
      </c>
    </row>
    <row r="36" spans="1:2" x14ac:dyDescent="0.25">
      <c r="A36" t="s">
        <v>113</v>
      </c>
    </row>
    <row r="37" spans="1:2" x14ac:dyDescent="0.25">
      <c r="A37" t="s">
        <v>119</v>
      </c>
    </row>
    <row r="39" spans="1:2" x14ac:dyDescent="0.25">
      <c r="A39" s="101" t="s">
        <v>77</v>
      </c>
      <c r="B39" s="98" t="s">
        <v>72</v>
      </c>
    </row>
    <row r="41" spans="1:2" x14ac:dyDescent="0.25">
      <c r="A41" t="s">
        <v>124</v>
      </c>
    </row>
    <row r="42" spans="1:2" x14ac:dyDescent="0.25">
      <c r="A42" t="s">
        <v>125</v>
      </c>
    </row>
    <row r="43" spans="1:2" x14ac:dyDescent="0.25">
      <c r="A43" t="s">
        <v>103</v>
      </c>
    </row>
    <row r="45" spans="1:2" x14ac:dyDescent="0.25">
      <c r="A45" s="101" t="s">
        <v>78</v>
      </c>
      <c r="B45" s="98" t="s">
        <v>94</v>
      </c>
    </row>
    <row r="47" spans="1:2" x14ac:dyDescent="0.25">
      <c r="A47" t="s">
        <v>127</v>
      </c>
    </row>
    <row r="48" spans="1:2" x14ac:dyDescent="0.25">
      <c r="A48" t="s">
        <v>95</v>
      </c>
    </row>
    <row r="49" spans="1:2" x14ac:dyDescent="0.25">
      <c r="A49" t="s">
        <v>96</v>
      </c>
    </row>
    <row r="50" spans="1:2" x14ac:dyDescent="0.25">
      <c r="A50" t="s">
        <v>116</v>
      </c>
    </row>
    <row r="51" spans="1:2" x14ac:dyDescent="0.25">
      <c r="A51" t="s">
        <v>128</v>
      </c>
    </row>
    <row r="52" spans="1:2" x14ac:dyDescent="0.25">
      <c r="A52" t="s">
        <v>129</v>
      </c>
    </row>
    <row r="53" spans="1:2" x14ac:dyDescent="0.25">
      <c r="A53" t="s">
        <v>98</v>
      </c>
    </row>
    <row r="55" spans="1:2" x14ac:dyDescent="0.25">
      <c r="A55" t="s">
        <v>120</v>
      </c>
    </row>
    <row r="57" spans="1:2" x14ac:dyDescent="0.25">
      <c r="A57" s="101" t="s">
        <v>82</v>
      </c>
      <c r="B57" s="98" t="s">
        <v>79</v>
      </c>
    </row>
    <row r="59" spans="1:2" x14ac:dyDescent="0.25">
      <c r="A59" t="s">
        <v>81</v>
      </c>
    </row>
    <row r="60" spans="1:2" x14ac:dyDescent="0.25">
      <c r="A60" t="s">
        <v>121</v>
      </c>
    </row>
    <row r="61" spans="1:2" x14ac:dyDescent="0.25">
      <c r="A61" t="s">
        <v>117</v>
      </c>
    </row>
    <row r="63" spans="1:2" x14ac:dyDescent="0.25">
      <c r="A63" s="101" t="s">
        <v>93</v>
      </c>
      <c r="B63" s="98" t="s">
        <v>83</v>
      </c>
    </row>
    <row r="65" spans="1:1" x14ac:dyDescent="0.25">
      <c r="A65" t="s">
        <v>84</v>
      </c>
    </row>
    <row r="66" spans="1:1" x14ac:dyDescent="0.25">
      <c r="A66" t="s">
        <v>86</v>
      </c>
    </row>
    <row r="67" spans="1:1" x14ac:dyDescent="0.25">
      <c r="A67" t="s">
        <v>85</v>
      </c>
    </row>
    <row r="68" spans="1:1" x14ac:dyDescent="0.25">
      <c r="A68" t="s">
        <v>87</v>
      </c>
    </row>
    <row r="69" spans="1:1" x14ac:dyDescent="0.25">
      <c r="A69" t="s">
        <v>88</v>
      </c>
    </row>
    <row r="70" spans="1:1" x14ac:dyDescent="0.25">
      <c r="A70" t="s">
        <v>89</v>
      </c>
    </row>
    <row r="71" spans="1:1" x14ac:dyDescent="0.25">
      <c r="A71" t="s">
        <v>122</v>
      </c>
    </row>
    <row r="72" spans="1:1" x14ac:dyDescent="0.25">
      <c r="A72" t="s">
        <v>123</v>
      </c>
    </row>
    <row r="74" spans="1:1" x14ac:dyDescent="0.25">
      <c r="A74" t="s">
        <v>130</v>
      </c>
    </row>
    <row r="75" spans="1:1" x14ac:dyDescent="0.25">
      <c r="A75" t="s">
        <v>90</v>
      </c>
    </row>
    <row r="76" spans="1:1" x14ac:dyDescent="0.25">
      <c r="A76" t="s">
        <v>91</v>
      </c>
    </row>
    <row r="77" spans="1:1" x14ac:dyDescent="0.25">
      <c r="A77" t="s">
        <v>122</v>
      </c>
    </row>
    <row r="78" spans="1:1" x14ac:dyDescent="0.25">
      <c r="A78" t="s">
        <v>123</v>
      </c>
    </row>
    <row r="80" spans="1:1" x14ac:dyDescent="0.25">
      <c r="A80" s="98" t="s">
        <v>99</v>
      </c>
    </row>
    <row r="82" spans="1:1" x14ac:dyDescent="0.25">
      <c r="A82" s="102" t="s">
        <v>105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58"/>
  <sheetViews>
    <sheetView tabSelected="1" zoomScaleNormal="100" workbookViewId="0">
      <pane xSplit="3" ySplit="6" topLeftCell="G7" activePane="bottomRight" state="frozen"/>
      <selection activeCell="H10" sqref="H10"/>
      <selection pane="topRight" activeCell="H10" sqref="H10"/>
      <selection pane="bottomLeft" activeCell="H10" sqref="H10"/>
      <selection pane="bottomRight" activeCell="C14" sqref="C14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49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59" t="s">
        <v>0</v>
      </c>
      <c r="B1" s="150" t="s">
        <v>43</v>
      </c>
      <c r="D1" s="50"/>
      <c r="M1" s="62" t="s">
        <v>47</v>
      </c>
      <c r="N1" s="51"/>
      <c r="O1" s="61" t="e">
        <f>#REF!</f>
        <v>#REF!</v>
      </c>
    </row>
    <row r="2" spans="1:15" s="15" customFormat="1" ht="15.75" thickBot="1" x14ac:dyDescent="0.3">
      <c r="A2" s="57" t="s">
        <v>48</v>
      </c>
      <c r="B2" s="104" t="s">
        <v>131</v>
      </c>
      <c r="C2" s="14"/>
      <c r="F2" s="45"/>
    </row>
    <row r="3" spans="1:15" s="15" customFormat="1" ht="16.5" thickTop="1" thickBot="1" x14ac:dyDescent="0.3">
      <c r="A3" s="58" t="s">
        <v>49</v>
      </c>
      <c r="B3" s="60">
        <v>2018</v>
      </c>
      <c r="C3" s="14"/>
      <c r="F3" s="45"/>
    </row>
    <row r="4" spans="1:15" s="15" customFormat="1" ht="16.5" thickTop="1" thickBot="1" x14ac:dyDescent="0.3">
      <c r="A4" s="56" t="s">
        <v>1</v>
      </c>
      <c r="B4" s="103">
        <v>81</v>
      </c>
      <c r="C4" s="14"/>
      <c r="D4" s="50" t="s">
        <v>50</v>
      </c>
      <c r="F4" s="45"/>
    </row>
    <row r="5" spans="1:15" s="43" customFormat="1" ht="15.75" thickTop="1" x14ac:dyDescent="0.25">
      <c r="A5" s="42"/>
      <c r="B5" s="46"/>
      <c r="C5" s="44"/>
      <c r="F5" s="47"/>
    </row>
    <row r="6" spans="1:15" s="41" customFormat="1" ht="49.5" customHeight="1" x14ac:dyDescent="0.25">
      <c r="A6" s="40" t="s">
        <v>51</v>
      </c>
      <c r="B6" s="53" t="s">
        <v>52</v>
      </c>
      <c r="C6" s="53" t="s">
        <v>53</v>
      </c>
      <c r="D6" s="53" t="s">
        <v>54</v>
      </c>
      <c r="E6" s="53" t="s">
        <v>55</v>
      </c>
      <c r="F6" s="53" t="s">
        <v>56</v>
      </c>
      <c r="G6" s="53" t="s">
        <v>57</v>
      </c>
      <c r="H6" s="55" t="s">
        <v>58</v>
      </c>
      <c r="I6" s="53" t="s">
        <v>17</v>
      </c>
      <c r="J6" s="53" t="s">
        <v>59</v>
      </c>
      <c r="K6" s="53" t="s">
        <v>60</v>
      </c>
      <c r="L6" s="53" t="s">
        <v>61</v>
      </c>
      <c r="M6" s="53" t="s">
        <v>62</v>
      </c>
      <c r="N6" s="54" t="s">
        <v>63</v>
      </c>
      <c r="O6" s="53" t="s">
        <v>64</v>
      </c>
    </row>
    <row r="7" spans="1:15" ht="15" x14ac:dyDescent="0.25">
      <c r="A7" s="114"/>
      <c r="B7" s="115" t="str">
        <f>'FR A0001'!B3</f>
        <v>Frame and Body</v>
      </c>
      <c r="C7" s="116" t="e">
        <f>EL_A0001</f>
        <v>#NAME?</v>
      </c>
      <c r="D7" s="116" t="s">
        <v>11</v>
      </c>
      <c r="E7" s="116"/>
      <c r="F7" s="117" t="str">
        <f>'FR A0001'!B4</f>
        <v>Frame</v>
      </c>
      <c r="G7" s="116"/>
      <c r="H7" s="118" t="e">
        <f t="shared" ref="H7:H11" si="0">SUM(J7:M7)</f>
        <v>#NAME?</v>
      </c>
      <c r="I7" s="119">
        <f>FR_A0001_q</f>
        <v>1</v>
      </c>
      <c r="J7" s="120" t="e">
        <f>BR_A0001_m</f>
        <v>#NAME?</v>
      </c>
      <c r="K7" s="120" t="e">
        <f>BR_A0001_p</f>
        <v>#NAME?</v>
      </c>
      <c r="L7" s="120" t="e">
        <f>BR_A0001_f</f>
        <v>#NAME?</v>
      </c>
      <c r="M7" s="120" t="e">
        <f>BR_A0001_t</f>
        <v>#NAME?</v>
      </c>
      <c r="N7" s="121" t="e">
        <f t="shared" ref="N7:N11" si="1">H7*I7</f>
        <v>#NAME?</v>
      </c>
      <c r="O7" s="122"/>
    </row>
    <row r="8" spans="1:15" ht="15" x14ac:dyDescent="0.25">
      <c r="A8" s="123"/>
      <c r="B8" s="124" t="str">
        <f>'FR A0001'!B3</f>
        <v>Frame and Body</v>
      </c>
      <c r="C8" s="125" t="e">
        <f>EL_01001</f>
        <v>#NAME?</v>
      </c>
      <c r="D8" s="126" t="s">
        <v>11</v>
      </c>
      <c r="E8" s="126" t="str">
        <f>F7</f>
        <v>Frame</v>
      </c>
      <c r="F8" s="127" t="str">
        <f>'FR 01001'!B5</f>
        <v>Bend Round steel tubing</v>
      </c>
      <c r="G8" s="126"/>
      <c r="H8" s="128">
        <f t="shared" si="0"/>
        <v>23.75227908990254</v>
      </c>
      <c r="I8" s="129">
        <f>FR_A0001_q*FR_01001_q</f>
        <v>1</v>
      </c>
      <c r="J8" s="130">
        <f>FR_01001_m</f>
        <v>12.802279089902541</v>
      </c>
      <c r="K8" s="130">
        <f>FR_01001_p</f>
        <v>10.95</v>
      </c>
      <c r="L8" s="130"/>
      <c r="M8" s="130"/>
      <c r="N8" s="131">
        <f t="shared" si="1"/>
        <v>23.75227908990254</v>
      </c>
      <c r="O8" s="132"/>
    </row>
    <row r="9" spans="1:15" ht="14.25" x14ac:dyDescent="0.2">
      <c r="A9" s="123"/>
      <c r="B9" s="124" t="str">
        <f>'FR A0001'!$B$3</f>
        <v>Frame and Body</v>
      </c>
      <c r="C9" s="125" t="s">
        <v>142</v>
      </c>
      <c r="D9" s="126" t="s">
        <v>11</v>
      </c>
      <c r="E9" s="126"/>
      <c r="F9" s="124"/>
      <c r="G9" s="126"/>
      <c r="H9" s="128">
        <f t="shared" si="0"/>
        <v>253.01039372242448</v>
      </c>
      <c r="I9" s="129">
        <f>FR_A0001_q*FR_01002_q</f>
        <v>1</v>
      </c>
      <c r="J9" s="130">
        <f>FR_01002_m</f>
        <v>70.46039372242447</v>
      </c>
      <c r="K9" s="130">
        <f>FR_01002_p</f>
        <v>182.55</v>
      </c>
      <c r="L9" s="130"/>
      <c r="M9" s="130"/>
      <c r="N9" s="131">
        <f t="shared" si="1"/>
        <v>253.01039372242448</v>
      </c>
      <c r="O9" s="132"/>
    </row>
    <row r="10" spans="1:15" ht="14.25" x14ac:dyDescent="0.2">
      <c r="A10" s="123"/>
      <c r="B10" s="124" t="str">
        <f>'FR A0001'!$B$3</f>
        <v>Frame and Body</v>
      </c>
      <c r="C10" s="125" t="s">
        <v>144</v>
      </c>
      <c r="D10" s="126" t="s">
        <v>11</v>
      </c>
      <c r="E10" s="126"/>
      <c r="F10" s="124"/>
      <c r="G10" s="126"/>
      <c r="H10" s="128">
        <f t="shared" si="0"/>
        <v>9.1270500000000006</v>
      </c>
      <c r="I10" s="129">
        <f>FR_A0001_q*FR_01003_q</f>
        <v>1</v>
      </c>
      <c r="J10" s="130">
        <f>FR_01003_m</f>
        <v>4.02705</v>
      </c>
      <c r="K10" s="130">
        <f>FR_01003_P</f>
        <v>5.0999999999999996</v>
      </c>
      <c r="L10" s="130"/>
      <c r="M10" s="130"/>
      <c r="N10" s="131">
        <f t="shared" si="1"/>
        <v>9.1270500000000006</v>
      </c>
      <c r="O10" s="132"/>
    </row>
    <row r="11" spans="1:15" ht="15" thickBot="1" x14ac:dyDescent="0.25">
      <c r="A11" s="123"/>
      <c r="B11" s="124" t="str">
        <f>'FR A0001'!$B$3</f>
        <v>Frame and Body</v>
      </c>
      <c r="C11" s="125" t="s">
        <v>154</v>
      </c>
      <c r="D11" s="126" t="s">
        <v>11</v>
      </c>
      <c r="E11" s="126"/>
      <c r="F11" s="124"/>
      <c r="G11" s="126"/>
      <c r="H11" s="128">
        <f t="shared" si="0"/>
        <v>3.9191256335617903</v>
      </c>
      <c r="I11" s="129">
        <f>FR_A0001_q*FR_01004_q</f>
        <v>4</v>
      </c>
      <c r="J11" s="130">
        <f>FR_01004_m</f>
        <v>0.35512563356179044</v>
      </c>
      <c r="K11" s="130">
        <f>FR_01004_p</f>
        <v>3.5640000000000001</v>
      </c>
      <c r="L11" s="130"/>
      <c r="M11" s="130"/>
      <c r="N11" s="131">
        <f t="shared" si="1"/>
        <v>15.676502534247161</v>
      </c>
      <c r="O11" s="132"/>
    </row>
    <row r="12" spans="1:15" s="12" customFormat="1" ht="15.75" thickTop="1" thickBot="1" x14ac:dyDescent="0.25">
      <c r="A12" s="5"/>
      <c r="B12" s="48" t="str">
        <f>'FR A0001'!B3</f>
        <v>Frame and Body</v>
      </c>
      <c r="C12" s="1"/>
      <c r="D12" s="1"/>
      <c r="E12" s="1"/>
      <c r="F12" s="48" t="s">
        <v>65</v>
      </c>
      <c r="G12" s="1"/>
      <c r="H12" s="3"/>
      <c r="I12" s="4"/>
      <c r="J12" s="106" t="e">
        <f>SUMPRODUCT($I7:$I11,J7:J11)</f>
        <v>#NAME?</v>
      </c>
      <c r="K12" s="106" t="e">
        <f>SUMPRODUCT($I7:$I11,K7:K11)</f>
        <v>#NAME?</v>
      </c>
      <c r="L12" s="106" t="e">
        <f>SUMPRODUCT($I7:$I11,L7:L11)</f>
        <v>#NAME?</v>
      </c>
      <c r="M12" s="106" t="e">
        <f>SUMPRODUCT($I7:$I11,M7:M11)</f>
        <v>#NAME?</v>
      </c>
      <c r="N12" s="106" t="e">
        <f>SUM(N7:N11)</f>
        <v>#NAME?</v>
      </c>
      <c r="O12" s="2"/>
    </row>
    <row r="13" spans="1:15" ht="13.5" thickTop="1" x14ac:dyDescent="0.2">
      <c r="A13" s="11"/>
      <c r="B13" s="49"/>
      <c r="C13" s="13"/>
      <c r="D13" s="13"/>
      <c r="E13" s="13"/>
      <c r="F13" s="13"/>
      <c r="G13" s="13"/>
      <c r="H13" s="8"/>
      <c r="I13" s="13"/>
      <c r="J13" s="13"/>
      <c r="K13" s="13"/>
      <c r="L13" s="13"/>
      <c r="M13" s="13"/>
      <c r="N13" s="13"/>
    </row>
    <row r="14" spans="1:15" x14ac:dyDescent="0.2">
      <c r="A14" s="11"/>
      <c r="B14" s="49"/>
      <c r="C14" s="13"/>
      <c r="D14" s="13"/>
      <c r="E14" s="13"/>
      <c r="F14" s="13"/>
      <c r="G14" s="13"/>
      <c r="H14" s="8"/>
      <c r="I14" s="13"/>
      <c r="J14" s="13"/>
      <c r="K14" s="13"/>
      <c r="L14" s="13"/>
      <c r="M14" s="13"/>
      <c r="N14" s="13"/>
    </row>
    <row r="15" spans="1:15" x14ac:dyDescent="0.2">
      <c r="A15" s="11"/>
      <c r="B15" s="11"/>
      <c r="D15" s="13"/>
      <c r="E15" s="13"/>
      <c r="G15" s="13"/>
      <c r="H15" s="13"/>
      <c r="I15" s="8"/>
      <c r="J15" s="8"/>
      <c r="K15" s="8"/>
      <c r="L15" s="8"/>
      <c r="M15" s="8"/>
      <c r="N15" s="13"/>
    </row>
    <row r="16" spans="1:15" x14ac:dyDescent="0.2">
      <c r="A16" s="11"/>
      <c r="B16" s="11"/>
      <c r="D16" s="13"/>
      <c r="E16" s="13"/>
      <c r="G16" s="13"/>
      <c r="H16" s="13"/>
      <c r="I16" s="8"/>
      <c r="J16" s="8"/>
      <c r="K16" s="8"/>
      <c r="L16" s="8"/>
      <c r="M16" s="8"/>
      <c r="N16" s="52"/>
    </row>
    <row r="17" spans="1:14" x14ac:dyDescent="0.2">
      <c r="A17" s="11"/>
      <c r="B17" s="11"/>
      <c r="D17" s="13"/>
      <c r="E17" s="13"/>
      <c r="G17" s="13"/>
      <c r="H17" s="13"/>
      <c r="I17" s="8"/>
      <c r="J17" s="8"/>
      <c r="K17" s="8"/>
      <c r="L17" s="8"/>
      <c r="M17" s="8"/>
      <c r="N17" s="13"/>
    </row>
    <row r="18" spans="1:14" x14ac:dyDescent="0.2">
      <c r="A18" s="11"/>
      <c r="B18" s="11"/>
      <c r="D18" s="13"/>
      <c r="E18" s="13"/>
      <c r="G18" s="13"/>
      <c r="H18" s="13"/>
      <c r="I18" s="8"/>
      <c r="J18" s="8"/>
      <c r="K18" s="8"/>
      <c r="L18" s="8"/>
      <c r="M18" s="8"/>
      <c r="N18" s="52"/>
    </row>
    <row r="19" spans="1:14" x14ac:dyDescent="0.2">
      <c r="A19" s="11"/>
      <c r="B19" s="11"/>
      <c r="D19" s="13"/>
      <c r="E19" s="13"/>
      <c r="G19" s="13"/>
      <c r="H19" s="13"/>
      <c r="I19" s="8"/>
      <c r="J19" s="8"/>
      <c r="K19" s="8"/>
      <c r="L19" s="8"/>
      <c r="M19" s="8"/>
      <c r="N19" s="13"/>
    </row>
    <row r="20" spans="1:14" x14ac:dyDescent="0.2">
      <c r="A20" s="11"/>
      <c r="B20" s="11"/>
      <c r="D20" s="13"/>
      <c r="E20" s="13"/>
      <c r="G20" s="13"/>
      <c r="H20" s="13"/>
      <c r="I20" s="8"/>
      <c r="J20" s="8"/>
      <c r="K20" s="8"/>
      <c r="L20" s="8"/>
      <c r="M20" s="8"/>
      <c r="N20" s="13"/>
    </row>
    <row r="21" spans="1:14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4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13"/>
    </row>
    <row r="23" spans="1:14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4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13"/>
    </row>
    <row r="25" spans="1:14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4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4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4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4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4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4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4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s="9" customFormat="1" x14ac:dyDescent="0.2">
      <c r="A43" s="7"/>
      <c r="B43" s="11"/>
      <c r="F43" s="49"/>
      <c r="I43" s="6"/>
      <c r="J43" s="6"/>
      <c r="K43" s="6"/>
      <c r="L43" s="6"/>
      <c r="M43" s="6"/>
    </row>
    <row r="44" spans="1:14" s="9" customFormat="1" x14ac:dyDescent="0.2">
      <c r="A44" s="7"/>
      <c r="B44" s="11"/>
      <c r="F44" s="49"/>
      <c r="I44" s="6"/>
      <c r="J44" s="6"/>
      <c r="K44" s="6"/>
      <c r="L44" s="6"/>
      <c r="M44" s="6"/>
    </row>
    <row r="45" spans="1:14" s="9" customFormat="1" x14ac:dyDescent="0.2">
      <c r="A45" s="7"/>
      <c r="B45" s="11"/>
      <c r="F45" s="49"/>
      <c r="I45" s="6"/>
      <c r="J45" s="6"/>
      <c r="K45" s="6"/>
      <c r="L45" s="6"/>
      <c r="M45" s="6"/>
    </row>
    <row r="46" spans="1:14" s="9" customFormat="1" x14ac:dyDescent="0.2">
      <c r="A46" s="7"/>
      <c r="B46" s="11"/>
      <c r="F46" s="49"/>
      <c r="I46" s="6"/>
      <c r="J46" s="6"/>
      <c r="K46" s="6"/>
      <c r="L46" s="6"/>
      <c r="M46" s="6"/>
    </row>
    <row r="47" spans="1:14" s="9" customFormat="1" x14ac:dyDescent="0.2">
      <c r="A47" s="7"/>
      <c r="B47" s="11"/>
      <c r="F47" s="49"/>
      <c r="I47" s="6"/>
      <c r="J47" s="6"/>
      <c r="K47" s="6"/>
      <c r="L47" s="6"/>
      <c r="M47" s="6"/>
    </row>
    <row r="48" spans="1:14" s="9" customFormat="1" x14ac:dyDescent="0.2">
      <c r="A48" s="7"/>
      <c r="B48" s="11"/>
      <c r="F48" s="49"/>
      <c r="I48" s="6"/>
      <c r="J48" s="6"/>
      <c r="K48" s="6"/>
      <c r="L48" s="6"/>
      <c r="M48" s="6"/>
    </row>
    <row r="49" spans="1:14" s="9" customFormat="1" x14ac:dyDescent="0.2">
      <c r="A49" s="7"/>
      <c r="B49" s="11"/>
      <c r="F49" s="49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49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49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49"/>
      <c r="I52" s="6"/>
      <c r="J52" s="6"/>
      <c r="K52" s="6"/>
      <c r="L52" s="6"/>
      <c r="M52" s="6"/>
    </row>
    <row r="53" spans="1:14" s="10" customFormat="1" x14ac:dyDescent="0.2">
      <c r="A53" s="7"/>
      <c r="B53" s="11"/>
      <c r="C53" s="9"/>
      <c r="D53" s="9"/>
      <c r="E53" s="9"/>
      <c r="F53" s="49"/>
      <c r="G53" s="9"/>
      <c r="H53" s="9"/>
      <c r="I53" s="6"/>
      <c r="J53" s="6"/>
      <c r="K53" s="6"/>
      <c r="L53" s="6"/>
      <c r="M53" s="6"/>
      <c r="N53" s="9"/>
    </row>
    <row r="54" spans="1:14" s="10" customFormat="1" x14ac:dyDescent="0.2">
      <c r="A54" s="7"/>
      <c r="B54" s="11"/>
      <c r="C54" s="9"/>
      <c r="D54" s="9"/>
      <c r="E54" s="9"/>
      <c r="F54" s="49"/>
      <c r="G54" s="9"/>
      <c r="H54" s="9"/>
      <c r="I54" s="6"/>
      <c r="J54" s="6"/>
      <c r="K54" s="6"/>
      <c r="L54" s="6"/>
      <c r="M54" s="6"/>
      <c r="N54" s="9"/>
    </row>
    <row r="55" spans="1:14" s="10" customFormat="1" x14ac:dyDescent="0.2">
      <c r="A55" s="7"/>
      <c r="B55" s="11"/>
      <c r="C55" s="9"/>
      <c r="D55" s="9"/>
      <c r="E55" s="9"/>
      <c r="F55" s="49"/>
      <c r="G55" s="9"/>
      <c r="H55" s="9"/>
      <c r="I55" s="6"/>
      <c r="J55" s="6"/>
      <c r="K55" s="6"/>
      <c r="L55" s="6"/>
      <c r="M55" s="6"/>
      <c r="N55" s="9"/>
    </row>
    <row r="56" spans="1:14" s="10" customFormat="1" x14ac:dyDescent="0.2">
      <c r="A56" s="7"/>
      <c r="B56" s="11"/>
      <c r="C56" s="9"/>
      <c r="D56" s="9"/>
      <c r="E56" s="9"/>
      <c r="F56" s="49"/>
      <c r="G56" s="9"/>
      <c r="H56" s="9"/>
      <c r="I56" s="6"/>
      <c r="J56" s="6"/>
      <c r="K56" s="6"/>
      <c r="L56" s="6"/>
      <c r="M56" s="6"/>
      <c r="N56" s="9"/>
    </row>
    <row r="57" spans="1:14" s="10" customFormat="1" x14ac:dyDescent="0.2">
      <c r="A57" s="7"/>
      <c r="B57" s="11"/>
      <c r="C57" s="9"/>
      <c r="D57" s="9"/>
      <c r="E57" s="9"/>
      <c r="F57" s="49"/>
      <c r="G57" s="9"/>
      <c r="H57" s="9"/>
      <c r="I57" s="6"/>
      <c r="J57" s="6"/>
      <c r="K57" s="6"/>
      <c r="L57" s="6"/>
      <c r="M57" s="6"/>
      <c r="N57" s="9"/>
    </row>
    <row r="58" spans="1:14" s="10" customFormat="1" x14ac:dyDescent="0.2">
      <c r="A58" s="7"/>
      <c r="B58" s="11"/>
      <c r="C58" s="9"/>
      <c r="D58" s="9"/>
      <c r="E58" s="9"/>
      <c r="F58" s="49"/>
      <c r="G58" s="9"/>
      <c r="H58" s="9"/>
      <c r="I58" s="6"/>
      <c r="J58" s="6"/>
      <c r="K58" s="6"/>
      <c r="L58" s="6"/>
      <c r="M58" s="6"/>
      <c r="N58" s="9"/>
    </row>
    <row r="59" spans="1:14" s="10" customFormat="1" x14ac:dyDescent="0.2">
      <c r="A59" s="7"/>
      <c r="B59" s="11"/>
      <c r="C59" s="9"/>
      <c r="D59" s="9"/>
      <c r="E59" s="9"/>
      <c r="F59" s="49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49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49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49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49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49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49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49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49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49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49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49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49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49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49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49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49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49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49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49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49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49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49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49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49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49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49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49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49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49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49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49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49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49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49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49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49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49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49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49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49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49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49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49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49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49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49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49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49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49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49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49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49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49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49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49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49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49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49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49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49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49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49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49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49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49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49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49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49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49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49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49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49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49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49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49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49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49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49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49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49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49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49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49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49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49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49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49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49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49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49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49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49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49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49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49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49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49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49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49"/>
      <c r="G158" s="9"/>
      <c r="H158" s="9"/>
      <c r="I158" s="6"/>
      <c r="J158" s="6"/>
      <c r="K158" s="6"/>
      <c r="L158" s="6"/>
      <c r="M158" s="6"/>
      <c r="N158" s="9"/>
    </row>
  </sheetData>
  <hyperlinks>
    <hyperlink ref="F7" location="BR_A0001" display="BR_A0001" xr:uid="{00000000-0004-0000-0100-000000000000}"/>
    <hyperlink ref="F8" location="BR_01001" display="BR_01001" xr:uid="{00000000-0004-0000-0100-000002000000}"/>
  </hyperlinks>
  <pageMargins left="0.41" right="0.22" top="0.72" bottom="0.57999999999999996" header="0.5" footer="0.26"/>
  <pageSetup scale="58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66CC"/>
    <pageSetUpPr fitToPage="1"/>
  </sheetPr>
  <dimension ref="A1:O38"/>
  <sheetViews>
    <sheetView zoomScale="75" zoomScaleNormal="75" zoomScaleSheetLayoutView="80" workbookViewId="0">
      <selection activeCell="C19" sqref="C19"/>
    </sheetView>
  </sheetViews>
  <sheetFormatPr baseColWidth="10" defaultColWidth="9.140625" defaultRowHeight="15" x14ac:dyDescent="0.25"/>
  <cols>
    <col min="1" max="1" width="11.42578125"/>
    <col min="2" max="2" width="28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8"/>
    </row>
    <row r="2" spans="1:15" x14ac:dyDescent="0.25">
      <c r="A2" s="108" t="s">
        <v>0</v>
      </c>
      <c r="B2" s="16" t="s">
        <v>43</v>
      </c>
      <c r="C2" s="63"/>
      <c r="D2" s="63"/>
      <c r="E2" s="99" t="s">
        <v>132</v>
      </c>
      <c r="F2" s="63"/>
      <c r="G2" s="63"/>
      <c r="H2" s="63"/>
      <c r="I2" s="63"/>
      <c r="J2" s="108" t="s">
        <v>1</v>
      </c>
      <c r="K2" s="91">
        <v>81</v>
      </c>
      <c r="L2" s="63"/>
      <c r="M2" s="108" t="s">
        <v>2</v>
      </c>
      <c r="N2" s="105">
        <f>FR_A0001_p+FR_A0001_m+FR_A0001_f+FR_A0001_t+FR_A0001_pa</f>
        <v>941.41705867990754</v>
      </c>
      <c r="O2" s="69"/>
    </row>
    <row r="3" spans="1:15" x14ac:dyDescent="0.25">
      <c r="A3" s="108" t="s">
        <v>3</v>
      </c>
      <c r="B3" s="16" t="s">
        <v>135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108" t="s">
        <v>4</v>
      </c>
      <c r="N3" s="89">
        <v>1</v>
      </c>
      <c r="O3" s="69"/>
    </row>
    <row r="4" spans="1:15" x14ac:dyDescent="0.25">
      <c r="A4" s="108" t="s">
        <v>5</v>
      </c>
      <c r="B4" s="99" t="s">
        <v>137</v>
      </c>
      <c r="C4" s="63"/>
      <c r="D4" s="63"/>
      <c r="E4" s="63"/>
      <c r="F4" s="63"/>
      <c r="G4" s="63"/>
      <c r="H4" s="63"/>
      <c r="I4" s="63"/>
      <c r="J4" s="111" t="s">
        <v>6</v>
      </c>
      <c r="K4" s="63"/>
      <c r="L4" s="63"/>
      <c r="M4" s="63"/>
      <c r="N4" s="63"/>
      <c r="O4" s="69"/>
    </row>
    <row r="5" spans="1:15" x14ac:dyDescent="0.25">
      <c r="A5" s="108" t="s">
        <v>7</v>
      </c>
      <c r="B5" s="19" t="s">
        <v>143</v>
      </c>
      <c r="C5" s="63"/>
      <c r="D5" s="63"/>
      <c r="E5" s="63"/>
      <c r="F5" s="63"/>
      <c r="G5" s="63"/>
      <c r="H5" s="63"/>
      <c r="I5" s="63"/>
      <c r="J5" s="111" t="s">
        <v>8</v>
      </c>
      <c r="K5" s="63"/>
      <c r="L5" s="63"/>
      <c r="M5" s="108" t="s">
        <v>9</v>
      </c>
      <c r="N5" s="81">
        <f>N2*N3</f>
        <v>941.41705867990754</v>
      </c>
      <c r="O5" s="69"/>
    </row>
    <row r="6" spans="1:15" x14ac:dyDescent="0.25">
      <c r="A6" s="108" t="s">
        <v>10</v>
      </c>
      <c r="B6" s="16" t="s">
        <v>11</v>
      </c>
      <c r="C6" s="63"/>
      <c r="D6" s="63"/>
      <c r="E6" s="63"/>
      <c r="F6" s="63"/>
      <c r="G6" s="63"/>
      <c r="H6" s="63"/>
      <c r="I6" s="63"/>
      <c r="J6" s="111" t="s">
        <v>12</v>
      </c>
      <c r="K6" s="63"/>
      <c r="L6" s="63"/>
      <c r="M6" s="63"/>
      <c r="N6" s="63"/>
      <c r="O6" s="69"/>
    </row>
    <row r="7" spans="1:15" x14ac:dyDescent="0.25">
      <c r="A7" s="108" t="s">
        <v>13</v>
      </c>
      <c r="B7" s="16" t="s">
        <v>138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9"/>
    </row>
    <row r="8" spans="1:15" x14ac:dyDescent="0.25">
      <c r="A8" s="70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9"/>
    </row>
    <row r="9" spans="1:15" x14ac:dyDescent="0.25">
      <c r="A9" s="108" t="s">
        <v>14</v>
      </c>
      <c r="B9" s="108" t="s">
        <v>15</v>
      </c>
      <c r="C9" s="108" t="s">
        <v>16</v>
      </c>
      <c r="D9" s="108" t="s">
        <v>17</v>
      </c>
      <c r="E9" s="108" t="s">
        <v>18</v>
      </c>
      <c r="F9" s="63"/>
      <c r="G9" s="63"/>
      <c r="H9" s="63"/>
      <c r="I9" s="63"/>
      <c r="J9" s="63"/>
      <c r="K9" s="63"/>
      <c r="L9" s="63"/>
      <c r="M9" s="63"/>
      <c r="N9" s="63"/>
      <c r="O9" s="69"/>
    </row>
    <row r="10" spans="1:15" x14ac:dyDescent="0.25">
      <c r="A10" s="80">
        <v>10</v>
      </c>
      <c r="B10" s="97" t="str">
        <f>'FR 01001'!B5</f>
        <v>Bend Round steel tubing</v>
      </c>
      <c r="C10" s="81">
        <f>'FR 01001'!N2</f>
        <v>23.75227908990254</v>
      </c>
      <c r="D10" s="96">
        <f>'FR 01001'!N3</f>
        <v>1</v>
      </c>
      <c r="E10" s="81">
        <f>C10*D10</f>
        <v>23.75227908990254</v>
      </c>
      <c r="F10" s="63"/>
      <c r="G10" s="63"/>
      <c r="H10" s="63"/>
      <c r="I10" s="63"/>
      <c r="J10" s="63"/>
      <c r="K10" s="63"/>
      <c r="L10" s="63"/>
      <c r="M10" s="63"/>
      <c r="N10" s="63"/>
      <c r="O10" s="69"/>
    </row>
    <row r="11" spans="1:15" x14ac:dyDescent="0.25">
      <c r="A11" s="80">
        <v>20</v>
      </c>
      <c r="B11" s="97" t="s">
        <v>141</v>
      </c>
      <c r="C11" s="81">
        <f>'FR 01002'!N2</f>
        <v>253.01039372242448</v>
      </c>
      <c r="D11" s="96">
        <f>'FR 01002'!N3</f>
        <v>1</v>
      </c>
      <c r="E11" s="81">
        <f t="shared" ref="E11:E12" si="0">C11*D11</f>
        <v>253.01039372242448</v>
      </c>
      <c r="F11" s="64"/>
      <c r="G11" s="64"/>
      <c r="H11" s="64"/>
      <c r="I11" s="64"/>
      <c r="J11" s="64"/>
      <c r="K11" s="64"/>
      <c r="L11" s="64"/>
      <c r="M11" s="64"/>
      <c r="N11" s="64"/>
      <c r="O11" s="69"/>
    </row>
    <row r="12" spans="1:15" x14ac:dyDescent="0.25">
      <c r="A12" s="80">
        <v>30</v>
      </c>
      <c r="B12" s="153" t="s">
        <v>146</v>
      </c>
      <c r="C12" s="81">
        <f>'FR 01003'!N2</f>
        <v>9.1270500000000006</v>
      </c>
      <c r="D12" s="96">
        <f>'FR 01003'!N3</f>
        <v>1</v>
      </c>
      <c r="E12" s="81">
        <f t="shared" si="0"/>
        <v>9.1270500000000006</v>
      </c>
      <c r="F12" s="64"/>
      <c r="G12" s="64"/>
      <c r="H12" s="64"/>
      <c r="I12" s="64"/>
      <c r="J12" s="64"/>
      <c r="K12" s="64"/>
      <c r="L12" s="64"/>
      <c r="M12" s="64"/>
      <c r="N12" s="64"/>
      <c r="O12" s="72"/>
    </row>
    <row r="13" spans="1:15" x14ac:dyDescent="0.25">
      <c r="A13" s="151">
        <v>40</v>
      </c>
      <c r="B13" s="154" t="s">
        <v>155</v>
      </c>
      <c r="C13" s="152">
        <f>'FR 01004'!N2</f>
        <v>3.9191256335617903</v>
      </c>
      <c r="D13" s="96">
        <f>'FR 01004'!N3</f>
        <v>4</v>
      </c>
      <c r="E13" s="81">
        <f t="shared" ref="E13" si="1">C13*D13</f>
        <v>15.676502534247161</v>
      </c>
      <c r="F13" s="64"/>
      <c r="G13" s="64"/>
      <c r="H13" s="64"/>
      <c r="I13" s="64"/>
      <c r="J13" s="64"/>
      <c r="K13" s="64"/>
      <c r="L13" s="64"/>
      <c r="M13" s="64"/>
      <c r="N13" s="64"/>
      <c r="O13" s="72"/>
    </row>
    <row r="14" spans="1:15" x14ac:dyDescent="0.25">
      <c r="A14" s="70"/>
      <c r="B14" s="63"/>
      <c r="C14" s="63"/>
      <c r="D14" s="109" t="s">
        <v>18</v>
      </c>
      <c r="E14" s="110">
        <f>SUM(E10:E13)</f>
        <v>301.56622534657419</v>
      </c>
      <c r="F14" s="64"/>
      <c r="G14" s="64"/>
      <c r="H14" s="64"/>
      <c r="I14" s="64"/>
      <c r="J14" s="64"/>
      <c r="K14" s="64"/>
      <c r="L14" s="64"/>
      <c r="M14" s="64"/>
      <c r="N14" s="64"/>
      <c r="O14" s="69"/>
    </row>
    <row r="15" spans="1:15" x14ac:dyDescent="0.25">
      <c r="A15" s="70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9"/>
    </row>
    <row r="16" spans="1:15" x14ac:dyDescent="0.25">
      <c r="A16" s="108" t="s">
        <v>14</v>
      </c>
      <c r="B16" s="108" t="s">
        <v>19</v>
      </c>
      <c r="C16" s="108" t="s">
        <v>20</v>
      </c>
      <c r="D16" s="108" t="s">
        <v>21</v>
      </c>
      <c r="E16" s="108" t="s">
        <v>22</v>
      </c>
      <c r="F16" s="108" t="s">
        <v>23</v>
      </c>
      <c r="G16" s="108" t="s">
        <v>24</v>
      </c>
      <c r="H16" s="108" t="s">
        <v>25</v>
      </c>
      <c r="I16" s="108" t="s">
        <v>26</v>
      </c>
      <c r="J16" s="108" t="s">
        <v>27</v>
      </c>
      <c r="K16" s="108" t="s">
        <v>28</v>
      </c>
      <c r="L16" s="108" t="s">
        <v>29</v>
      </c>
      <c r="M16" s="108" t="s">
        <v>17</v>
      </c>
      <c r="N16" s="108" t="s">
        <v>18</v>
      </c>
      <c r="O16" s="69"/>
    </row>
    <row r="17" spans="1:15" x14ac:dyDescent="0.25">
      <c r="A17" s="80">
        <v>10</v>
      </c>
      <c r="B17" s="80" t="s">
        <v>147</v>
      </c>
      <c r="C17" s="80" t="s">
        <v>148</v>
      </c>
      <c r="D17" s="81">
        <v>10</v>
      </c>
      <c r="E17" s="80">
        <v>3.07</v>
      </c>
      <c r="F17" s="80" t="s">
        <v>193</v>
      </c>
      <c r="G17" s="80"/>
      <c r="H17" s="82"/>
      <c r="I17" s="83"/>
      <c r="J17" s="84"/>
      <c r="K17" s="82"/>
      <c r="L17" s="82"/>
      <c r="M17" s="82">
        <f>3.07</f>
        <v>3.07</v>
      </c>
      <c r="N17" s="81">
        <f>M17*D17</f>
        <v>30.7</v>
      </c>
      <c r="O17" s="69"/>
    </row>
    <row r="18" spans="1:15" s="25" customFormat="1" x14ac:dyDescent="0.25">
      <c r="A18" s="75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108" t="s">
        <v>18</v>
      </c>
      <c r="N18" s="110">
        <f>SUM(N17:N17)</f>
        <v>30.7</v>
      </c>
      <c r="O18" s="69"/>
    </row>
    <row r="19" spans="1:15" x14ac:dyDescent="0.25">
      <c r="A19" s="70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9"/>
    </row>
    <row r="20" spans="1:15" x14ac:dyDescent="0.25">
      <c r="A20" s="108" t="s">
        <v>14</v>
      </c>
      <c r="B20" s="108" t="s">
        <v>30</v>
      </c>
      <c r="C20" s="108" t="s">
        <v>20</v>
      </c>
      <c r="D20" s="108" t="s">
        <v>21</v>
      </c>
      <c r="E20" s="108" t="s">
        <v>31</v>
      </c>
      <c r="F20" s="108" t="s">
        <v>17</v>
      </c>
      <c r="G20" s="108" t="s">
        <v>32</v>
      </c>
      <c r="H20" s="108" t="s">
        <v>33</v>
      </c>
      <c r="I20" s="108" t="s">
        <v>18</v>
      </c>
      <c r="J20" s="27"/>
      <c r="K20" s="27"/>
      <c r="L20" s="27"/>
      <c r="M20" s="27"/>
      <c r="N20" s="27"/>
      <c r="O20" s="69"/>
    </row>
    <row r="21" spans="1:15" x14ac:dyDescent="0.25">
      <c r="A21" s="80">
        <v>10</v>
      </c>
      <c r="B21" s="80" t="s">
        <v>149</v>
      </c>
      <c r="C21" s="80"/>
      <c r="D21" s="81">
        <v>0.5</v>
      </c>
      <c r="E21" s="80" t="s">
        <v>34</v>
      </c>
      <c r="F21" s="85">
        <v>993</v>
      </c>
      <c r="G21" s="85"/>
      <c r="H21" s="85"/>
      <c r="I21" s="81">
        <f>IF(H21="",D21*F21,D21*F21*H21)</f>
        <v>496.5</v>
      </c>
      <c r="J21" s="63"/>
      <c r="K21" s="63"/>
      <c r="L21" s="63"/>
      <c r="M21" s="63"/>
      <c r="N21" s="63"/>
      <c r="O21" s="69"/>
    </row>
    <row r="22" spans="1:15" x14ac:dyDescent="0.25">
      <c r="A22" s="80">
        <v>20</v>
      </c>
      <c r="B22" s="86" t="s">
        <v>149</v>
      </c>
      <c r="C22" s="80" t="s">
        <v>151</v>
      </c>
      <c r="D22" s="81">
        <v>0.5</v>
      </c>
      <c r="E22" s="86" t="s">
        <v>34</v>
      </c>
      <c r="F22" s="85">
        <v>20</v>
      </c>
      <c r="G22" s="80"/>
      <c r="H22" s="80"/>
      <c r="I22" s="81">
        <f>IF(H22="",D22*F22,D22*F22*H22)</f>
        <v>10</v>
      </c>
      <c r="J22" s="63"/>
      <c r="K22" s="63"/>
      <c r="L22" s="63"/>
      <c r="M22" s="63"/>
      <c r="N22" s="63"/>
      <c r="O22" s="76"/>
    </row>
    <row r="23" spans="1:15" x14ac:dyDescent="0.25">
      <c r="A23" s="155">
        <v>30</v>
      </c>
      <c r="B23" s="156" t="s">
        <v>150</v>
      </c>
      <c r="C23" s="155" t="s">
        <v>148</v>
      </c>
      <c r="D23" s="157">
        <v>5.25</v>
      </c>
      <c r="E23" s="155" t="s">
        <v>193</v>
      </c>
      <c r="F23" s="158">
        <v>3.07</v>
      </c>
      <c r="G23" s="155"/>
      <c r="H23" s="155"/>
      <c r="I23" s="157">
        <f>IF(H23="",D23*F23,D23*F23*H23)</f>
        <v>16.1175</v>
      </c>
      <c r="J23" s="63"/>
      <c r="K23" s="63"/>
      <c r="L23" s="63"/>
      <c r="M23" s="63"/>
      <c r="N23" s="63"/>
      <c r="O23" s="69"/>
    </row>
    <row r="24" spans="1:15" x14ac:dyDescent="0.25">
      <c r="A24" s="159">
        <v>40</v>
      </c>
      <c r="B24" s="160" t="s">
        <v>195</v>
      </c>
      <c r="C24" s="159"/>
      <c r="D24" s="161">
        <v>0.75</v>
      </c>
      <c r="E24" s="159" t="s">
        <v>34</v>
      </c>
      <c r="F24" s="162">
        <v>16</v>
      </c>
      <c r="G24" s="159"/>
      <c r="H24" s="159"/>
      <c r="I24" s="81">
        <f>IF(H24="",D24*F24,D24*F24*H24)</f>
        <v>12</v>
      </c>
      <c r="J24" s="63"/>
      <c r="K24" s="63"/>
      <c r="L24" s="63"/>
      <c r="M24" s="63"/>
      <c r="N24" s="63"/>
      <c r="O24" s="69"/>
    </row>
    <row r="25" spans="1:15" x14ac:dyDescent="0.25">
      <c r="A25" s="159">
        <v>50</v>
      </c>
      <c r="B25" s="160" t="s">
        <v>196</v>
      </c>
      <c r="C25" s="159"/>
      <c r="D25" s="161">
        <v>0.25</v>
      </c>
      <c r="E25" s="159" t="s">
        <v>34</v>
      </c>
      <c r="F25" s="162">
        <v>16</v>
      </c>
      <c r="G25" s="159"/>
      <c r="H25" s="159"/>
      <c r="I25" s="81">
        <f>IF(H25="",D25*F25,D25*F25*H25)</f>
        <v>4</v>
      </c>
      <c r="J25" s="63"/>
      <c r="K25" s="63"/>
      <c r="L25" s="63"/>
      <c r="M25" s="63"/>
      <c r="N25" s="63"/>
      <c r="O25" s="69"/>
    </row>
    <row r="26" spans="1:15" x14ac:dyDescent="0.25">
      <c r="A26" s="75"/>
      <c r="B26" s="27"/>
      <c r="C26" s="27"/>
      <c r="D26" s="27"/>
      <c r="E26" s="27"/>
      <c r="F26" s="27"/>
      <c r="G26" s="27"/>
      <c r="H26" s="112" t="s">
        <v>18</v>
      </c>
      <c r="I26" s="113">
        <f>SUM(I21:I25)</f>
        <v>538.61749999999995</v>
      </c>
      <c r="J26" s="63"/>
      <c r="K26" s="63"/>
      <c r="L26" s="63"/>
      <c r="M26" s="63"/>
      <c r="N26" s="63"/>
      <c r="O26" s="76"/>
    </row>
    <row r="27" spans="1:15" s="18" customFormat="1" x14ac:dyDescent="0.25">
      <c r="A27" s="70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73"/>
    </row>
    <row r="28" spans="1:15" s="28" customFormat="1" x14ac:dyDescent="0.25">
      <c r="A28" s="108" t="s">
        <v>14</v>
      </c>
      <c r="B28" s="108" t="s">
        <v>35</v>
      </c>
      <c r="C28" s="108" t="s">
        <v>20</v>
      </c>
      <c r="D28" s="108" t="s">
        <v>21</v>
      </c>
      <c r="E28" s="108" t="s">
        <v>22</v>
      </c>
      <c r="F28" s="108" t="s">
        <v>23</v>
      </c>
      <c r="G28" s="108" t="s">
        <v>24</v>
      </c>
      <c r="H28" s="108" t="s">
        <v>25</v>
      </c>
      <c r="I28" s="108" t="s">
        <v>17</v>
      </c>
      <c r="J28" s="108" t="s">
        <v>18</v>
      </c>
      <c r="K28" s="63"/>
      <c r="L28" s="63"/>
      <c r="M28" s="63"/>
      <c r="N28" s="63"/>
      <c r="O28" s="69"/>
    </row>
    <row r="29" spans="1:15" s="18" customFormat="1" x14ac:dyDescent="0.25">
      <c r="A29" s="80">
        <v>10</v>
      </c>
      <c r="B29" s="80" t="s">
        <v>36</v>
      </c>
      <c r="C29" s="80" t="s">
        <v>191</v>
      </c>
      <c r="D29" s="87">
        <v>0.16</v>
      </c>
      <c r="E29" s="88">
        <v>8</v>
      </c>
      <c r="F29" s="88" t="s">
        <v>194</v>
      </c>
      <c r="G29" s="88">
        <v>40</v>
      </c>
      <c r="H29" s="88" t="s">
        <v>194</v>
      </c>
      <c r="I29" s="89">
        <v>16</v>
      </c>
      <c r="J29" s="81">
        <f>I29*D29</f>
        <v>2.56</v>
      </c>
      <c r="K29" s="63"/>
      <c r="L29" s="63"/>
      <c r="M29" s="63"/>
      <c r="N29" s="63"/>
      <c r="O29" s="69"/>
    </row>
    <row r="30" spans="1:15" x14ac:dyDescent="0.25">
      <c r="A30" s="80">
        <v>20</v>
      </c>
      <c r="B30" s="80" t="s">
        <v>37</v>
      </c>
      <c r="C30" s="80" t="s">
        <v>192</v>
      </c>
      <c r="D30" s="87">
        <v>0.04</v>
      </c>
      <c r="E30" s="88">
        <v>8</v>
      </c>
      <c r="F30" s="90" t="s">
        <v>194</v>
      </c>
      <c r="G30" s="80"/>
      <c r="H30" s="80"/>
      <c r="I30" s="89">
        <v>16</v>
      </c>
      <c r="J30" s="81">
        <f>I30*D30</f>
        <v>0.64</v>
      </c>
      <c r="K30" s="63"/>
      <c r="L30" s="63"/>
      <c r="M30" s="63"/>
      <c r="N30" s="63"/>
      <c r="O30" s="69"/>
    </row>
    <row r="31" spans="1:15" x14ac:dyDescent="0.25">
      <c r="A31" s="75"/>
      <c r="B31" s="27"/>
      <c r="C31" s="27"/>
      <c r="D31" s="27"/>
      <c r="E31" s="27"/>
      <c r="F31" s="27"/>
      <c r="G31" s="27"/>
      <c r="H31" s="27"/>
      <c r="I31" s="109" t="s">
        <v>18</v>
      </c>
      <c r="J31" s="110">
        <f>SUM(J29:J30)</f>
        <v>3.2</v>
      </c>
      <c r="K31" s="63"/>
      <c r="L31" s="63"/>
      <c r="M31" s="63"/>
      <c r="N31" s="63"/>
      <c r="O31" s="73"/>
    </row>
    <row r="32" spans="1:15" x14ac:dyDescent="0.25">
      <c r="A32" s="70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9"/>
    </row>
    <row r="33" spans="1:15" s="18" customFormat="1" x14ac:dyDescent="0.25">
      <c r="A33" s="108" t="s">
        <v>14</v>
      </c>
      <c r="B33" s="108" t="s">
        <v>38</v>
      </c>
      <c r="C33" s="108" t="s">
        <v>20</v>
      </c>
      <c r="D33" s="108" t="s">
        <v>21</v>
      </c>
      <c r="E33" s="108" t="s">
        <v>31</v>
      </c>
      <c r="F33" s="108" t="s">
        <v>17</v>
      </c>
      <c r="G33" s="108" t="s">
        <v>39</v>
      </c>
      <c r="H33" s="108" t="s">
        <v>40</v>
      </c>
      <c r="I33" s="108" t="s">
        <v>18</v>
      </c>
      <c r="J33" s="27"/>
      <c r="K33" s="63"/>
      <c r="L33" s="63"/>
      <c r="M33" s="63"/>
      <c r="N33" s="63"/>
      <c r="O33" s="69"/>
    </row>
    <row r="34" spans="1:15" x14ac:dyDescent="0.25">
      <c r="A34" s="80">
        <v>10</v>
      </c>
      <c r="B34" s="80" t="s">
        <v>41</v>
      </c>
      <c r="C34" s="80" t="s">
        <v>152</v>
      </c>
      <c r="D34" s="81">
        <v>500</v>
      </c>
      <c r="E34" s="80" t="s">
        <v>42</v>
      </c>
      <c r="F34" s="80">
        <v>204</v>
      </c>
      <c r="G34" s="80">
        <v>3000</v>
      </c>
      <c r="H34" s="80">
        <v>1</v>
      </c>
      <c r="I34" s="81">
        <f>D34*F34/G34*H34</f>
        <v>34</v>
      </c>
      <c r="J34" s="27"/>
      <c r="K34" s="63"/>
      <c r="L34" s="63"/>
      <c r="M34" s="63"/>
      <c r="N34" s="63"/>
      <c r="O34" s="69"/>
    </row>
    <row r="35" spans="1:15" x14ac:dyDescent="0.25">
      <c r="A35" s="85">
        <v>20</v>
      </c>
      <c r="B35" s="80" t="s">
        <v>41</v>
      </c>
      <c r="C35" s="85" t="s">
        <v>153</v>
      </c>
      <c r="D35" s="81">
        <v>500</v>
      </c>
      <c r="E35" s="80" t="s">
        <v>42</v>
      </c>
      <c r="F35" s="85">
        <v>20</v>
      </c>
      <c r="G35" s="85">
        <v>300</v>
      </c>
      <c r="H35" s="85">
        <v>1</v>
      </c>
      <c r="I35" s="81">
        <f>D35*F35/G35*H35</f>
        <v>33.333333333333336</v>
      </c>
      <c r="J35" s="64"/>
      <c r="K35" s="63"/>
      <c r="L35" s="63"/>
      <c r="M35" s="63"/>
      <c r="N35" s="63"/>
      <c r="O35" s="69"/>
    </row>
    <row r="36" spans="1:15" x14ac:dyDescent="0.25">
      <c r="A36" s="75"/>
      <c r="B36" s="27"/>
      <c r="C36" s="27"/>
      <c r="D36" s="27"/>
      <c r="E36" s="27"/>
      <c r="F36" s="27"/>
      <c r="G36" s="27"/>
      <c r="H36" s="112" t="s">
        <v>18</v>
      </c>
      <c r="I36" s="113">
        <f>SUM(I34:I35)</f>
        <v>67.333333333333343</v>
      </c>
      <c r="J36" s="27"/>
      <c r="K36" s="63"/>
      <c r="L36" s="63"/>
      <c r="M36" s="63"/>
      <c r="N36" s="63"/>
      <c r="O36" s="69"/>
    </row>
    <row r="37" spans="1:15" ht="15.75" thickBot="1" x14ac:dyDescent="0.3">
      <c r="A37" s="77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9"/>
    </row>
    <row r="38" spans="1:15" x14ac:dyDescent="0.25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</row>
  </sheetData>
  <hyperlinks>
    <hyperlink ref="B10" location="BR_01001" display="BR_01001" xr:uid="{00000000-0004-0000-0200-000000000000}"/>
    <hyperlink ref="B4" location="FR_A0001" display="Frame" xr:uid="{2140F8A1-1792-4867-B8EE-367BBC148698}"/>
    <hyperlink ref="B11" location="FR_01002" display="Straight round steel tubing" xr:uid="{67BF6903-2881-4F14-8D93-935AB83DE452}"/>
    <hyperlink ref="B12" location="FR_01003" display="Anti-intusion plate" xr:uid="{5F52F1BE-0B8B-423C-8182-3D6A517A5A0B}"/>
    <hyperlink ref="B13" location="'FR 01004'!A1" display="Sleeved joint" xr:uid="{0D45B743-6FDE-4216-97C7-56AFD8F90F3D}"/>
    <hyperlink ref="E2" location="BOM!A1" display="Back to BOM" xr:uid="{3F3FAB0B-F1C9-4F0E-A958-C9F87CB337C2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99FF"/>
    <pageSetUpPr fitToPage="1"/>
  </sheetPr>
  <dimension ref="A1:O22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3"/>
    <col min="4" max="6" width="10.5703125"/>
    <col min="7" max="7" width="14.140625"/>
    <col min="8" max="8" width="10.5703125"/>
    <col min="9" max="9" width="15.42578125" customWidth="1"/>
    <col min="10" max="12" width="10.5703125"/>
    <col min="13" max="13" width="15.28515625"/>
    <col min="14" max="14" width="10.5703125"/>
    <col min="15" max="15" width="3.140625" customWidth="1"/>
    <col min="16" max="1025" width="10.5703125"/>
  </cols>
  <sheetData>
    <row r="1" spans="1:15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8"/>
    </row>
    <row r="2" spans="1:15" x14ac:dyDescent="0.25">
      <c r="A2" s="133" t="s">
        <v>0</v>
      </c>
      <c r="B2" s="16" t="s">
        <v>43</v>
      </c>
      <c r="C2" s="63"/>
      <c r="D2" s="63"/>
      <c r="E2" s="63"/>
      <c r="F2" s="63"/>
      <c r="G2" s="99" t="s">
        <v>132</v>
      </c>
      <c r="H2" s="63"/>
      <c r="I2" s="63"/>
      <c r="J2" s="134" t="s">
        <v>1</v>
      </c>
      <c r="K2" s="91">
        <v>81</v>
      </c>
      <c r="L2" s="63"/>
      <c r="M2" s="133" t="s">
        <v>16</v>
      </c>
      <c r="N2" s="81">
        <f>FR_01001_m+FR_01001_p</f>
        <v>23.75227908990254</v>
      </c>
      <c r="O2" s="69"/>
    </row>
    <row r="3" spans="1:15" x14ac:dyDescent="0.25">
      <c r="A3" s="133" t="s">
        <v>3</v>
      </c>
      <c r="B3" s="16" t="str">
        <f>'FR A0001'!B3</f>
        <v>Frame and Body</v>
      </c>
      <c r="C3" s="63"/>
      <c r="D3" s="133" t="s">
        <v>6</v>
      </c>
      <c r="E3" s="148"/>
      <c r="F3" s="63"/>
      <c r="G3" s="63"/>
      <c r="H3" s="63"/>
      <c r="I3" s="63"/>
      <c r="J3" s="63"/>
      <c r="K3" s="63"/>
      <c r="L3" s="63"/>
      <c r="M3" s="133" t="s">
        <v>4</v>
      </c>
      <c r="N3" s="89">
        <v>1</v>
      </c>
      <c r="O3" s="69"/>
    </row>
    <row r="4" spans="1:15" x14ac:dyDescent="0.25">
      <c r="A4" s="133" t="s">
        <v>5</v>
      </c>
      <c r="B4" s="99" t="str">
        <f>'FR A0001'!B4</f>
        <v>Frame</v>
      </c>
      <c r="C4" s="63"/>
      <c r="D4" s="133" t="s">
        <v>8</v>
      </c>
      <c r="E4" s="63"/>
      <c r="F4" s="63"/>
      <c r="G4" s="63"/>
      <c r="H4" s="63"/>
      <c r="I4" s="63"/>
      <c r="J4" s="135" t="s">
        <v>6</v>
      </c>
      <c r="K4" s="63"/>
      <c r="L4" s="63"/>
      <c r="M4" s="63"/>
      <c r="N4" s="63"/>
      <c r="O4" s="69"/>
    </row>
    <row r="5" spans="1:15" x14ac:dyDescent="0.25">
      <c r="A5" s="133" t="s">
        <v>15</v>
      </c>
      <c r="B5" s="19" t="s">
        <v>139</v>
      </c>
      <c r="C5" s="63"/>
      <c r="D5" s="133" t="s">
        <v>12</v>
      </c>
      <c r="E5" s="63"/>
      <c r="F5" s="63"/>
      <c r="G5" s="63"/>
      <c r="H5" s="63"/>
      <c r="I5" s="63"/>
      <c r="J5" s="135" t="s">
        <v>8</v>
      </c>
      <c r="K5" s="63"/>
      <c r="L5" s="63"/>
      <c r="M5" s="133" t="s">
        <v>9</v>
      </c>
      <c r="N5" s="81">
        <f>N3*N2</f>
        <v>23.75227908990254</v>
      </c>
      <c r="O5" s="69"/>
    </row>
    <row r="6" spans="1:15" x14ac:dyDescent="0.25">
      <c r="A6" s="133" t="s">
        <v>7</v>
      </c>
      <c r="B6" s="31" t="s">
        <v>136</v>
      </c>
      <c r="C6" s="63"/>
      <c r="D6" s="63"/>
      <c r="E6" s="63"/>
      <c r="F6" s="63"/>
      <c r="G6" s="63"/>
      <c r="H6" s="63"/>
      <c r="I6" s="63"/>
      <c r="J6" s="135" t="s">
        <v>12</v>
      </c>
      <c r="K6" s="63"/>
      <c r="L6" s="63"/>
      <c r="M6" s="63"/>
      <c r="N6" s="63"/>
      <c r="O6" s="69"/>
    </row>
    <row r="7" spans="1:15" x14ac:dyDescent="0.25">
      <c r="A7" s="133" t="s">
        <v>10</v>
      </c>
      <c r="B7" s="16" t="s">
        <v>11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9"/>
    </row>
    <row r="8" spans="1:15" x14ac:dyDescent="0.25">
      <c r="A8" s="133" t="s">
        <v>13</v>
      </c>
      <c r="B8" s="16" t="s">
        <v>140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9"/>
    </row>
    <row r="9" spans="1:15" x14ac:dyDescent="0.25">
      <c r="A9" s="92"/>
      <c r="B9" s="32"/>
      <c r="C9" s="32"/>
      <c r="D9" s="32"/>
      <c r="E9" s="32"/>
      <c r="F9" s="63"/>
      <c r="G9" s="63"/>
      <c r="H9" s="63"/>
      <c r="I9" s="63"/>
      <c r="J9" s="63"/>
      <c r="K9" s="63"/>
      <c r="L9" s="63"/>
      <c r="M9" s="63"/>
      <c r="N9" s="63"/>
      <c r="O9" s="69"/>
    </row>
    <row r="10" spans="1:15" x14ac:dyDescent="0.25">
      <c r="A10" s="136" t="s">
        <v>14</v>
      </c>
      <c r="B10" s="137" t="s">
        <v>19</v>
      </c>
      <c r="C10" s="137" t="s">
        <v>20</v>
      </c>
      <c r="D10" s="137" t="s">
        <v>21</v>
      </c>
      <c r="E10" s="137" t="s">
        <v>22</v>
      </c>
      <c r="F10" s="138" t="s">
        <v>23</v>
      </c>
      <c r="G10" s="138" t="s">
        <v>24</v>
      </c>
      <c r="H10" s="138" t="s">
        <v>25</v>
      </c>
      <c r="I10" s="138" t="s">
        <v>26</v>
      </c>
      <c r="J10" s="138" t="s">
        <v>27</v>
      </c>
      <c r="K10" s="138" t="s">
        <v>28</v>
      </c>
      <c r="L10" s="138" t="s">
        <v>29</v>
      </c>
      <c r="M10" s="138" t="s">
        <v>17</v>
      </c>
      <c r="N10" s="138" t="s">
        <v>18</v>
      </c>
      <c r="O10" s="69"/>
    </row>
    <row r="11" spans="1:15" s="25" customFormat="1" x14ac:dyDescent="0.25">
      <c r="A11" s="93">
        <v>10</v>
      </c>
      <c r="B11" s="33" t="s">
        <v>156</v>
      </c>
      <c r="C11" s="22" t="s">
        <v>157</v>
      </c>
      <c r="D11" s="35">
        <v>2.25</v>
      </c>
      <c r="E11" s="22">
        <v>3.5990000000000002</v>
      </c>
      <c r="F11" s="22" t="s">
        <v>167</v>
      </c>
      <c r="G11" s="22"/>
      <c r="H11" s="21"/>
      <c r="I11" s="23" t="s">
        <v>168</v>
      </c>
      <c r="J11" s="146">
        <f>((0.015)^2-(0.013)^2)*PI()</f>
        <v>1.7592918860102845E-4</v>
      </c>
      <c r="K11" s="24">
        <v>2.62</v>
      </c>
      <c r="L11" s="34">
        <v>7850</v>
      </c>
      <c r="M11" s="26">
        <v>1</v>
      </c>
      <c r="N11" s="35">
        <f>IF(J11="",D11*M11,D11*J11*K11*L11*M11)</f>
        <v>8.1412551494040439</v>
      </c>
      <c r="O11" s="74"/>
    </row>
    <row r="12" spans="1:15" s="25" customFormat="1" x14ac:dyDescent="0.25">
      <c r="A12" s="143">
        <v>20</v>
      </c>
      <c r="B12" s="33" t="s">
        <v>156</v>
      </c>
      <c r="C12" s="144" t="s">
        <v>158</v>
      </c>
      <c r="D12" s="35">
        <v>2.25</v>
      </c>
      <c r="E12" s="22">
        <v>2.0409999999999999</v>
      </c>
      <c r="F12" s="22" t="s">
        <v>167</v>
      </c>
      <c r="G12" s="22"/>
      <c r="H12" s="21"/>
      <c r="I12" s="23" t="s">
        <v>168</v>
      </c>
      <c r="J12" s="146">
        <f>((0.015)^2-(0.013)^2)*PI()</f>
        <v>1.7592918860102845E-4</v>
      </c>
      <c r="K12" s="24">
        <v>1.5</v>
      </c>
      <c r="L12" s="34">
        <v>7850</v>
      </c>
      <c r="M12" s="26">
        <v>1</v>
      </c>
      <c r="N12" s="35">
        <f>IF(J12="",D12*M12,D12*J12*K12*L12*M12)</f>
        <v>4.6610239404984979</v>
      </c>
      <c r="O12" s="74"/>
    </row>
    <row r="13" spans="1:15" x14ac:dyDescent="0.25">
      <c r="A13" s="75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139" t="s">
        <v>18</v>
      </c>
      <c r="N13" s="140">
        <f>SUM(N11:N12)</f>
        <v>12.802279089902541</v>
      </c>
      <c r="O13" s="69"/>
    </row>
    <row r="14" spans="1:15" x14ac:dyDescent="0.25">
      <c r="A14" s="70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9"/>
    </row>
    <row r="15" spans="1:15" x14ac:dyDescent="0.25">
      <c r="A15" s="141" t="s">
        <v>14</v>
      </c>
      <c r="B15" s="138" t="s">
        <v>30</v>
      </c>
      <c r="C15" s="138" t="s">
        <v>20</v>
      </c>
      <c r="D15" s="138" t="s">
        <v>21</v>
      </c>
      <c r="E15" s="138" t="s">
        <v>31</v>
      </c>
      <c r="F15" s="138" t="s">
        <v>17</v>
      </c>
      <c r="G15" s="138" t="s">
        <v>32</v>
      </c>
      <c r="H15" s="138" t="s">
        <v>33</v>
      </c>
      <c r="I15" s="138" t="s">
        <v>18</v>
      </c>
      <c r="J15" s="27"/>
      <c r="K15" s="27"/>
      <c r="L15" s="27"/>
      <c r="M15" s="27"/>
      <c r="N15" s="27"/>
      <c r="O15" s="69"/>
    </row>
    <row r="16" spans="1:15" s="28" customFormat="1" x14ac:dyDescent="0.25">
      <c r="A16" s="94">
        <v>10</v>
      </c>
      <c r="B16" s="30" t="s">
        <v>159</v>
      </c>
      <c r="C16" s="36" t="s">
        <v>162</v>
      </c>
      <c r="D16" s="37">
        <v>0.75</v>
      </c>
      <c r="E16" s="30" t="s">
        <v>165</v>
      </c>
      <c r="F16" s="30">
        <v>5</v>
      </c>
      <c r="G16" s="36"/>
      <c r="H16" s="29">
        <v>1</v>
      </c>
      <c r="I16" s="37">
        <f t="shared" ref="I16:I19" si="0">IF(H16="",D16*F16,D16*F16*H16)</f>
        <v>3.75</v>
      </c>
      <c r="J16" s="65"/>
      <c r="K16" s="65"/>
      <c r="L16" s="65"/>
      <c r="M16" s="65"/>
      <c r="N16" s="65"/>
      <c r="O16" s="76"/>
    </row>
    <row r="17" spans="1:15" x14ac:dyDescent="0.25">
      <c r="A17" s="71">
        <v>20</v>
      </c>
      <c r="B17" s="30" t="s">
        <v>159</v>
      </c>
      <c r="C17" s="36" t="s">
        <v>163</v>
      </c>
      <c r="D17" s="37">
        <v>0.75</v>
      </c>
      <c r="E17" s="30" t="s">
        <v>165</v>
      </c>
      <c r="F17" s="20">
        <v>4</v>
      </c>
      <c r="G17" s="30"/>
      <c r="H17" s="29">
        <v>1</v>
      </c>
      <c r="I17" s="35">
        <f t="shared" si="0"/>
        <v>3</v>
      </c>
      <c r="J17" s="63"/>
      <c r="K17" s="63"/>
      <c r="L17" s="63"/>
      <c r="M17" s="63"/>
      <c r="N17" s="63"/>
      <c r="O17" s="69"/>
    </row>
    <row r="18" spans="1:15" s="18" customFormat="1" x14ac:dyDescent="0.25">
      <c r="A18" s="94">
        <v>30</v>
      </c>
      <c r="B18" s="30" t="s">
        <v>160</v>
      </c>
      <c r="C18" s="29" t="s">
        <v>164</v>
      </c>
      <c r="D18" s="37">
        <v>0.15</v>
      </c>
      <c r="E18" s="30" t="s">
        <v>46</v>
      </c>
      <c r="F18" s="30">
        <v>8</v>
      </c>
      <c r="G18" s="29"/>
      <c r="H18" s="29">
        <v>1</v>
      </c>
      <c r="I18" s="35">
        <f t="shared" si="0"/>
        <v>1.2</v>
      </c>
      <c r="J18" s="64"/>
      <c r="K18" s="64"/>
      <c r="L18" s="64"/>
      <c r="M18" s="64"/>
      <c r="N18" s="64"/>
      <c r="O18" s="73"/>
    </row>
    <row r="19" spans="1:15" x14ac:dyDescent="0.25">
      <c r="A19" s="71">
        <v>40</v>
      </c>
      <c r="B19" s="30" t="s">
        <v>161</v>
      </c>
      <c r="C19" s="20"/>
      <c r="D19" s="37">
        <v>0.75</v>
      </c>
      <c r="E19" s="20" t="s">
        <v>166</v>
      </c>
      <c r="F19" s="20">
        <v>4</v>
      </c>
      <c r="G19" s="30"/>
      <c r="H19" s="29">
        <v>1</v>
      </c>
      <c r="I19" s="35">
        <f t="shared" si="0"/>
        <v>3</v>
      </c>
      <c r="J19" s="63"/>
      <c r="K19" s="63"/>
      <c r="L19" s="63"/>
      <c r="M19" s="63"/>
      <c r="N19" s="63"/>
      <c r="O19" s="69"/>
    </row>
    <row r="20" spans="1:15" x14ac:dyDescent="0.25">
      <c r="A20" s="75"/>
      <c r="B20" s="27"/>
      <c r="C20" s="27"/>
      <c r="D20" s="27"/>
      <c r="E20" s="27"/>
      <c r="F20" s="27"/>
      <c r="G20" s="27"/>
      <c r="H20" s="142" t="s">
        <v>18</v>
      </c>
      <c r="I20" s="140">
        <f>SUM(I16:I19)</f>
        <v>10.95</v>
      </c>
      <c r="J20" s="27"/>
      <c r="K20" s="27"/>
      <c r="L20" s="27"/>
      <c r="M20" s="27"/>
      <c r="N20" s="27"/>
      <c r="O20" s="69"/>
    </row>
    <row r="21" spans="1:15" x14ac:dyDescent="0.25">
      <c r="A21" s="70"/>
      <c r="B21" s="63"/>
      <c r="C21" s="63"/>
      <c r="D21" s="63"/>
      <c r="E21" s="63"/>
      <c r="F21" s="63"/>
      <c r="G21" s="63"/>
      <c r="H21" s="63"/>
      <c r="I21" s="64"/>
      <c r="J21" s="63"/>
      <c r="K21" s="63"/>
      <c r="L21" s="63"/>
      <c r="M21" s="63"/>
      <c r="N21" s="63"/>
      <c r="O21" s="69"/>
    </row>
    <row r="22" spans="1:15" ht="15.75" thickBot="1" x14ac:dyDescent="0.3">
      <c r="A22" s="77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9"/>
    </row>
  </sheetData>
  <hyperlinks>
    <hyperlink ref="B4" location="BR_A0001" display="BR_A0001" xr:uid="{00000000-0004-0000-0300-000000000000}"/>
    <hyperlink ref="G2" location="BOM!A1" display="Back to BOM" xr:uid="{D313C253-B34A-478B-B5A7-B4720C37065B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E944-3338-4A3B-A1AF-55BD3BA3F047}">
  <sheetPr>
    <tabColor rgb="FFFF99FF"/>
  </sheetPr>
  <dimension ref="A1:O26"/>
  <sheetViews>
    <sheetView topLeftCell="A3" workbookViewId="0">
      <selection activeCell="G2" sqref="G2"/>
    </sheetView>
  </sheetViews>
  <sheetFormatPr baseColWidth="10" defaultColWidth="9.140625" defaultRowHeight="15" x14ac:dyDescent="0.25"/>
  <cols>
    <col min="2" max="2" width="14.85546875" customWidth="1"/>
    <col min="3" max="3" width="26.28515625" customWidth="1"/>
    <col min="7" max="7" width="12.7109375" customWidth="1"/>
    <col min="9" max="9" width="17.5703125" customWidth="1"/>
    <col min="15" max="15" width="3.140625" customWidth="1"/>
  </cols>
  <sheetData>
    <row r="1" spans="1:15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8"/>
    </row>
    <row r="2" spans="1:15" x14ac:dyDescent="0.25">
      <c r="A2" s="133" t="s">
        <v>0</v>
      </c>
      <c r="B2" s="16" t="s">
        <v>43</v>
      </c>
      <c r="C2" s="63"/>
      <c r="D2" s="63"/>
      <c r="E2" s="63"/>
      <c r="F2" s="63"/>
      <c r="G2" s="99" t="s">
        <v>132</v>
      </c>
      <c r="H2" s="63"/>
      <c r="I2" s="63"/>
      <c r="J2" s="134" t="s">
        <v>1</v>
      </c>
      <c r="K2" s="91">
        <v>81</v>
      </c>
      <c r="L2" s="63"/>
      <c r="M2" s="133" t="s">
        <v>16</v>
      </c>
      <c r="N2" s="81">
        <f>FR_01002_m+FR_01002_p</f>
        <v>253.01039372242448</v>
      </c>
      <c r="O2" s="69"/>
    </row>
    <row r="3" spans="1:15" x14ac:dyDescent="0.25">
      <c r="A3" s="133" t="s">
        <v>3</v>
      </c>
      <c r="B3" s="16" t="str">
        <f>'FR A0001'!B3</f>
        <v>Frame and Body</v>
      </c>
      <c r="C3" s="63"/>
      <c r="D3" s="133" t="s">
        <v>6</v>
      </c>
      <c r="E3" s="100"/>
      <c r="F3" s="63"/>
      <c r="G3" s="63"/>
      <c r="H3" s="63"/>
      <c r="I3" s="63"/>
      <c r="J3" s="63"/>
      <c r="K3" s="63"/>
      <c r="L3" s="63"/>
      <c r="M3" s="133" t="s">
        <v>4</v>
      </c>
      <c r="N3" s="89">
        <v>1</v>
      </c>
      <c r="O3" s="69"/>
    </row>
    <row r="4" spans="1:15" x14ac:dyDescent="0.25">
      <c r="A4" s="133" t="s">
        <v>5</v>
      </c>
      <c r="B4" s="99" t="str">
        <f>'FR A0001'!B4</f>
        <v>Frame</v>
      </c>
      <c r="C4" s="63"/>
      <c r="D4" s="133" t="s">
        <v>8</v>
      </c>
      <c r="E4" s="63"/>
      <c r="F4" s="63"/>
      <c r="G4" s="63"/>
      <c r="H4" s="63"/>
      <c r="I4" s="63"/>
      <c r="J4" s="135" t="s">
        <v>6</v>
      </c>
      <c r="K4" s="63"/>
      <c r="L4" s="63"/>
      <c r="M4" s="63"/>
      <c r="N4" s="63"/>
      <c r="O4" s="69"/>
    </row>
    <row r="5" spans="1:15" x14ac:dyDescent="0.25">
      <c r="A5" s="133" t="s">
        <v>15</v>
      </c>
      <c r="B5" s="19" t="s">
        <v>141</v>
      </c>
      <c r="C5" s="63"/>
      <c r="D5" s="133" t="s">
        <v>12</v>
      </c>
      <c r="E5" s="63"/>
      <c r="F5" s="63"/>
      <c r="G5" s="63"/>
      <c r="H5" s="63"/>
      <c r="I5" s="63"/>
      <c r="J5" s="135" t="s">
        <v>8</v>
      </c>
      <c r="K5" s="63"/>
      <c r="L5" s="63"/>
      <c r="M5" s="133" t="s">
        <v>9</v>
      </c>
      <c r="N5" s="81">
        <f>N3*N2</f>
        <v>253.01039372242448</v>
      </c>
      <c r="O5" s="69"/>
    </row>
    <row r="6" spans="1:15" x14ac:dyDescent="0.25">
      <c r="A6" s="133" t="s">
        <v>7</v>
      </c>
      <c r="B6" s="31" t="s">
        <v>142</v>
      </c>
      <c r="C6" s="63"/>
      <c r="D6" s="63"/>
      <c r="E6" s="63"/>
      <c r="F6" s="63"/>
      <c r="G6" s="63"/>
      <c r="H6" s="63"/>
      <c r="I6" s="63"/>
      <c r="J6" s="135" t="s">
        <v>12</v>
      </c>
      <c r="K6" s="63"/>
      <c r="L6" s="63"/>
      <c r="M6" s="63"/>
      <c r="N6" s="63"/>
      <c r="O6" s="69"/>
    </row>
    <row r="7" spans="1:15" x14ac:dyDescent="0.25">
      <c r="A7" s="133" t="s">
        <v>10</v>
      </c>
      <c r="B7" s="16" t="s">
        <v>11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9"/>
    </row>
    <row r="8" spans="1:15" x14ac:dyDescent="0.25">
      <c r="A8" s="133" t="s">
        <v>13</v>
      </c>
      <c r="B8" s="16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9"/>
    </row>
    <row r="9" spans="1:15" x14ac:dyDescent="0.25">
      <c r="A9" s="92"/>
      <c r="B9" s="32"/>
      <c r="C9" s="32"/>
      <c r="D9" s="32"/>
      <c r="E9" s="32"/>
      <c r="F9" s="63"/>
      <c r="G9" s="63"/>
      <c r="H9" s="63"/>
      <c r="I9" s="63"/>
      <c r="J9" s="63"/>
      <c r="K9" s="63"/>
      <c r="L9" s="63"/>
      <c r="M9" s="63"/>
      <c r="N9" s="63"/>
      <c r="O9" s="69"/>
    </row>
    <row r="10" spans="1:15" x14ac:dyDescent="0.25">
      <c r="A10" s="136" t="s">
        <v>14</v>
      </c>
      <c r="B10" s="137" t="s">
        <v>19</v>
      </c>
      <c r="C10" s="137" t="s">
        <v>20</v>
      </c>
      <c r="D10" s="137" t="s">
        <v>21</v>
      </c>
      <c r="E10" s="137" t="s">
        <v>22</v>
      </c>
      <c r="F10" s="138" t="s">
        <v>23</v>
      </c>
      <c r="G10" s="138" t="s">
        <v>24</v>
      </c>
      <c r="H10" s="138" t="s">
        <v>25</v>
      </c>
      <c r="I10" s="138" t="s">
        <v>26</v>
      </c>
      <c r="J10" s="138" t="s">
        <v>27</v>
      </c>
      <c r="K10" s="138" t="s">
        <v>28</v>
      </c>
      <c r="L10" s="138" t="s">
        <v>29</v>
      </c>
      <c r="M10" s="138" t="s">
        <v>17</v>
      </c>
      <c r="N10" s="138" t="s">
        <v>18</v>
      </c>
      <c r="O10" s="69"/>
    </row>
    <row r="11" spans="1:15" s="25" customFormat="1" x14ac:dyDescent="0.25">
      <c r="A11" s="93">
        <v>10</v>
      </c>
      <c r="B11" s="33" t="s">
        <v>156</v>
      </c>
      <c r="C11" s="22" t="s">
        <v>169</v>
      </c>
      <c r="D11" s="35">
        <v>2.25</v>
      </c>
      <c r="E11" s="22">
        <v>0.76400000000000001</v>
      </c>
      <c r="F11" s="22" t="s">
        <v>167</v>
      </c>
      <c r="G11" s="22"/>
      <c r="H11" s="21"/>
      <c r="I11" s="23" t="s">
        <v>168</v>
      </c>
      <c r="J11" s="146">
        <f>((0.015)^2-(0.013)^2)*PI()</f>
        <v>1.7592918860102845E-4</v>
      </c>
      <c r="K11" s="24">
        <v>0.55300000000000005</v>
      </c>
      <c r="L11" s="34">
        <v>7850</v>
      </c>
      <c r="M11" s="26">
        <v>1</v>
      </c>
      <c r="N11" s="35">
        <f>IF(J11="",D11*M11,D11*J11*K11*L11*M11)</f>
        <v>1.7183641593971128</v>
      </c>
      <c r="O11" s="74"/>
    </row>
    <row r="12" spans="1:15" s="25" customFormat="1" ht="75" x14ac:dyDescent="0.25">
      <c r="A12" s="93">
        <v>20</v>
      </c>
      <c r="B12" s="33" t="s">
        <v>156</v>
      </c>
      <c r="C12" s="145" t="s">
        <v>170</v>
      </c>
      <c r="D12" s="35">
        <v>2.25</v>
      </c>
      <c r="E12" s="22">
        <v>12.946999999999999</v>
      </c>
      <c r="F12" s="22" t="s">
        <v>167</v>
      </c>
      <c r="G12" s="22"/>
      <c r="H12" s="21"/>
      <c r="I12" s="23" t="s">
        <v>173</v>
      </c>
      <c r="J12" s="146">
        <f t="shared" ref="J12" si="0">((0.015)^2-(0.0135)^2)*PI()</f>
        <v>1.3430308594096369E-4</v>
      </c>
      <c r="K12" s="24">
        <v>11.923</v>
      </c>
      <c r="L12" s="34">
        <v>7850</v>
      </c>
      <c r="M12" s="26">
        <v>1</v>
      </c>
      <c r="N12" s="35">
        <f t="shared" ref="N12:N14" si="1">IF(J12="",D12*M12,D12*J12*K12*L12*M12)</f>
        <v>28.282885189518968</v>
      </c>
      <c r="O12" s="74"/>
    </row>
    <row r="13" spans="1:15" s="25" customFormat="1" x14ac:dyDescent="0.25">
      <c r="A13" s="93">
        <v>30</v>
      </c>
      <c r="B13" s="33" t="s">
        <v>156</v>
      </c>
      <c r="C13" s="22" t="s">
        <v>171</v>
      </c>
      <c r="D13" s="35">
        <v>2.25</v>
      </c>
      <c r="E13" s="22">
        <f>0.444+13.064</f>
        <v>13.508000000000001</v>
      </c>
      <c r="F13" s="22" t="s">
        <v>167</v>
      </c>
      <c r="G13" s="22"/>
      <c r="H13" s="21"/>
      <c r="I13" s="23" t="s">
        <v>174</v>
      </c>
      <c r="J13" s="146">
        <f>((0.0125)^2-(0.011)^2)*PI()</f>
        <v>1.1074114103904034E-4</v>
      </c>
      <c r="K13" s="24">
        <f>14.714+0.32</f>
        <v>15.034000000000001</v>
      </c>
      <c r="L13" s="34">
        <v>7850</v>
      </c>
      <c r="M13" s="26">
        <v>1</v>
      </c>
      <c r="N13" s="35">
        <f t="shared" si="1"/>
        <v>29.405983877753222</v>
      </c>
      <c r="O13" s="74"/>
    </row>
    <row r="14" spans="1:15" s="25" customFormat="1" x14ac:dyDescent="0.25">
      <c r="A14" s="93">
        <v>40</v>
      </c>
      <c r="B14" s="33" t="s">
        <v>156</v>
      </c>
      <c r="C14" s="22" t="s">
        <v>172</v>
      </c>
      <c r="D14" s="35">
        <v>2.25</v>
      </c>
      <c r="E14" s="22">
        <v>3.0089999999999999</v>
      </c>
      <c r="F14" s="22" t="s">
        <v>167</v>
      </c>
      <c r="G14" s="22"/>
      <c r="H14" s="21"/>
      <c r="I14" s="23" t="s">
        <v>175</v>
      </c>
      <c r="J14" s="146">
        <f>((0.01)^2-(0.0085)^2)*PI()</f>
        <v>8.7179196137116748E-5</v>
      </c>
      <c r="K14" s="24">
        <f>4.471</f>
        <v>4.4710000000000001</v>
      </c>
      <c r="L14" s="34">
        <v>7850</v>
      </c>
      <c r="M14" s="26">
        <v>1</v>
      </c>
      <c r="N14" s="35">
        <f t="shared" si="1"/>
        <v>6.8844572089718277</v>
      </c>
      <c r="O14" s="74"/>
    </row>
    <row r="15" spans="1:15" s="25" customFormat="1" x14ac:dyDescent="0.25">
      <c r="A15" s="93">
        <v>50</v>
      </c>
      <c r="B15" s="33" t="s">
        <v>156</v>
      </c>
      <c r="C15" s="22" t="s">
        <v>172</v>
      </c>
      <c r="D15" s="35">
        <v>2.25</v>
      </c>
      <c r="E15" s="22">
        <v>1.877</v>
      </c>
      <c r="F15" s="22" t="s">
        <v>167</v>
      </c>
      <c r="G15" s="22"/>
      <c r="H15" s="21"/>
      <c r="I15" s="23" t="s">
        <v>176</v>
      </c>
      <c r="J15" s="146">
        <f>((0.0075)^2-(0.006)^2)*PI()</f>
        <v>6.3617251235193305E-5</v>
      </c>
      <c r="K15" s="24">
        <v>3.71</v>
      </c>
      <c r="L15" s="34">
        <v>7850</v>
      </c>
      <c r="M15" s="26">
        <v>1</v>
      </c>
      <c r="N15" s="35">
        <f>IF(J15="",D15*M15,D15*J15*K15*L15*M15)</f>
        <v>4.1687032867833427</v>
      </c>
      <c r="O15" s="74"/>
    </row>
    <row r="16" spans="1:15" s="25" customFormat="1" x14ac:dyDescent="0.25">
      <c r="A16" s="93">
        <v>60</v>
      </c>
      <c r="B16" s="33" t="s">
        <v>156</v>
      </c>
      <c r="C16" s="22" t="s">
        <v>172</v>
      </c>
      <c r="D16" s="35">
        <v>2.25</v>
      </c>
      <c r="E16" s="22">
        <v>1.877</v>
      </c>
      <c r="F16" s="22" t="s">
        <v>167</v>
      </c>
      <c r="G16" s="22"/>
      <c r="H16" s="21"/>
      <c r="I16" s="23" t="s">
        <v>188</v>
      </c>
      <c r="J16" s="146">
        <f>((0.01)^2-(0.006)^2)*PI()</f>
        <v>2.010619298297468E-4</v>
      </c>
      <c r="K16" s="24">
        <v>8.4000000000000005E-2</v>
      </c>
      <c r="L16" s="34">
        <v>7850</v>
      </c>
      <c r="M16" s="26">
        <v>1</v>
      </c>
      <c r="N16" s="35">
        <f>IF(J16="",D16*M16,D16*J16*K16*L16*M16)</f>
        <v>0.29830553219190387</v>
      </c>
      <c r="O16" s="74"/>
    </row>
    <row r="17" spans="1:15" x14ac:dyDescent="0.25">
      <c r="A17" s="75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139" t="s">
        <v>18</v>
      </c>
      <c r="N17" s="140">
        <f>SUM(N11:N15)</f>
        <v>70.46039372242447</v>
      </c>
      <c r="O17" s="69"/>
    </row>
    <row r="18" spans="1:15" x14ac:dyDescent="0.25">
      <c r="A18" s="70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9"/>
    </row>
    <row r="19" spans="1:15" x14ac:dyDescent="0.25">
      <c r="A19" s="141" t="s">
        <v>14</v>
      </c>
      <c r="B19" s="138" t="s">
        <v>30</v>
      </c>
      <c r="C19" s="138" t="s">
        <v>20</v>
      </c>
      <c r="D19" s="138" t="s">
        <v>21</v>
      </c>
      <c r="E19" s="138" t="s">
        <v>31</v>
      </c>
      <c r="F19" s="138" t="s">
        <v>17</v>
      </c>
      <c r="G19" s="138" t="s">
        <v>32</v>
      </c>
      <c r="H19" s="138" t="s">
        <v>33</v>
      </c>
      <c r="I19" s="138" t="s">
        <v>18</v>
      </c>
      <c r="J19" s="27"/>
      <c r="K19" s="27"/>
      <c r="L19" s="27"/>
      <c r="M19" s="27"/>
      <c r="N19" s="27"/>
      <c r="O19" s="69"/>
    </row>
    <row r="20" spans="1:15" s="28" customFormat="1" x14ac:dyDescent="0.25">
      <c r="A20" s="94">
        <v>10</v>
      </c>
      <c r="B20" s="30" t="s">
        <v>160</v>
      </c>
      <c r="C20" s="36" t="s">
        <v>164</v>
      </c>
      <c r="D20" s="37">
        <v>0.15</v>
      </c>
      <c r="E20" s="30" t="s">
        <v>34</v>
      </c>
      <c r="F20" s="36">
        <v>337</v>
      </c>
      <c r="G20" s="36"/>
      <c r="H20" s="36">
        <v>1</v>
      </c>
      <c r="I20" s="37">
        <f t="shared" ref="I20:I21" si="2">IF(H20="",D20*F20,D20*F20*H20)</f>
        <v>50.55</v>
      </c>
      <c r="J20" s="65"/>
      <c r="K20" s="65"/>
      <c r="L20" s="65"/>
      <c r="M20" s="65"/>
      <c r="N20" s="65"/>
      <c r="O20" s="76"/>
    </row>
    <row r="21" spans="1:15" ht="45" x14ac:dyDescent="0.25">
      <c r="A21" s="71">
        <v>20</v>
      </c>
      <c r="B21" s="30" t="s">
        <v>161</v>
      </c>
      <c r="C21" s="20"/>
      <c r="D21" s="35">
        <v>0.75</v>
      </c>
      <c r="E21" s="20" t="s">
        <v>166</v>
      </c>
      <c r="F21" s="38">
        <v>176</v>
      </c>
      <c r="G21" s="30"/>
      <c r="H21" s="29">
        <v>1</v>
      </c>
      <c r="I21" s="35">
        <f t="shared" si="2"/>
        <v>132</v>
      </c>
      <c r="J21" s="63"/>
      <c r="K21" s="63"/>
      <c r="L21" s="63"/>
      <c r="M21" s="63"/>
      <c r="N21" s="63"/>
      <c r="O21" s="69"/>
    </row>
    <row r="22" spans="1:15" ht="45" x14ac:dyDescent="0.25">
      <c r="A22" s="71">
        <v>30</v>
      </c>
      <c r="B22" s="30" t="s">
        <v>44</v>
      </c>
      <c r="C22" s="20"/>
      <c r="D22" s="35">
        <v>1.3</v>
      </c>
      <c r="E22" s="20" t="s">
        <v>34</v>
      </c>
      <c r="F22" s="38">
        <v>2</v>
      </c>
      <c r="G22" s="30"/>
      <c r="H22" s="29">
        <v>1</v>
      </c>
      <c r="I22" s="35">
        <f t="shared" ref="I22:I23" si="3">IF(H22="",D22*F22,D22*F22*H22)</f>
        <v>2.6</v>
      </c>
      <c r="J22" s="63"/>
      <c r="K22" s="63"/>
      <c r="L22" s="63"/>
      <c r="M22" s="63"/>
      <c r="N22" s="63"/>
      <c r="O22" s="69"/>
    </row>
    <row r="23" spans="1:15" x14ac:dyDescent="0.25">
      <c r="A23" s="71">
        <v>22</v>
      </c>
      <c r="B23" s="30" t="s">
        <v>185</v>
      </c>
      <c r="C23" s="20" t="s">
        <v>186</v>
      </c>
      <c r="D23" s="35">
        <v>0.04</v>
      </c>
      <c r="E23" s="20" t="s">
        <v>189</v>
      </c>
      <c r="F23" s="149">
        <v>0.82</v>
      </c>
      <c r="G23" s="30"/>
      <c r="H23" s="29">
        <v>1</v>
      </c>
      <c r="I23" s="35">
        <f t="shared" si="3"/>
        <v>3.2799999999999996E-2</v>
      </c>
      <c r="J23" s="63"/>
      <c r="K23" s="63"/>
      <c r="L23" s="63"/>
      <c r="M23" s="63"/>
      <c r="N23" s="63"/>
      <c r="O23" s="69"/>
    </row>
    <row r="24" spans="1:15" x14ac:dyDescent="0.25">
      <c r="A24" s="75"/>
      <c r="B24" s="27"/>
      <c r="C24" s="27"/>
      <c r="D24" s="27"/>
      <c r="E24" s="27"/>
      <c r="F24" s="27"/>
      <c r="G24" s="27"/>
      <c r="H24" s="142" t="s">
        <v>18</v>
      </c>
      <c r="I24" s="140">
        <f>SUM(I20:I21)</f>
        <v>182.55</v>
      </c>
      <c r="J24" s="27"/>
      <c r="K24" s="27"/>
      <c r="L24" s="27"/>
      <c r="M24" s="27"/>
      <c r="N24" s="27"/>
      <c r="O24" s="69"/>
    </row>
    <row r="25" spans="1:15" x14ac:dyDescent="0.25">
      <c r="A25" s="70"/>
      <c r="B25" s="63"/>
      <c r="C25" s="63"/>
      <c r="D25" s="63"/>
      <c r="E25" s="63"/>
      <c r="F25" s="63"/>
      <c r="G25" s="63"/>
      <c r="H25" s="63"/>
      <c r="I25" s="64"/>
      <c r="J25" s="63"/>
      <c r="K25" s="63"/>
      <c r="L25" s="63"/>
      <c r="M25" s="63"/>
      <c r="N25" s="63"/>
      <c r="O25" s="69"/>
    </row>
    <row r="26" spans="1:15" ht="15.75" thickBot="1" x14ac:dyDescent="0.3">
      <c r="A26" s="77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9"/>
    </row>
  </sheetData>
  <hyperlinks>
    <hyperlink ref="B4" location="BR_A0001" display="BR_A0001" xr:uid="{817F69F5-D9F5-4DAD-B128-B61D755CFBF0}"/>
    <hyperlink ref="G2" location="BOM!A1" display="Back to BOM" xr:uid="{CF9BDBA3-E573-4330-801F-A90429EEF56D}"/>
  </hyperlinks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8CFBA-DB78-42AF-AD42-C77473F5897E}">
  <sheetPr>
    <tabColor rgb="FFFF99FF"/>
  </sheetPr>
  <dimension ref="A1:O20"/>
  <sheetViews>
    <sheetView workbookViewId="0">
      <selection activeCell="G2" sqref="G2"/>
    </sheetView>
  </sheetViews>
  <sheetFormatPr baseColWidth="10" defaultColWidth="9.140625" defaultRowHeight="15" x14ac:dyDescent="0.25"/>
  <cols>
    <col min="2" max="2" width="23.5703125" customWidth="1"/>
    <col min="3" max="3" width="19.140625" customWidth="1"/>
    <col min="7" max="7" width="11.85546875" customWidth="1"/>
    <col min="9" max="9" width="16.5703125" customWidth="1"/>
    <col min="15" max="15" width="3.140625" customWidth="1"/>
  </cols>
  <sheetData>
    <row r="1" spans="1:15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8"/>
    </row>
    <row r="2" spans="1:15" x14ac:dyDescent="0.25">
      <c r="A2" s="133" t="s">
        <v>0</v>
      </c>
      <c r="B2" s="16" t="s">
        <v>43</v>
      </c>
      <c r="C2" s="63"/>
      <c r="D2" s="63"/>
      <c r="E2" s="63"/>
      <c r="F2" s="63"/>
      <c r="G2" s="99" t="s">
        <v>132</v>
      </c>
      <c r="H2" s="63"/>
      <c r="I2" s="63"/>
      <c r="J2" s="134" t="s">
        <v>1</v>
      </c>
      <c r="K2" s="91">
        <v>81</v>
      </c>
      <c r="L2" s="63"/>
      <c r="M2" s="133" t="s">
        <v>16</v>
      </c>
      <c r="N2" s="81">
        <f>FR_01003_m+FR_01003_P</f>
        <v>9.1270500000000006</v>
      </c>
      <c r="O2" s="69"/>
    </row>
    <row r="3" spans="1:15" x14ac:dyDescent="0.25">
      <c r="A3" s="133" t="s">
        <v>3</v>
      </c>
      <c r="B3" s="16" t="str">
        <f>'FR A0001'!B3</f>
        <v>Frame and Body</v>
      </c>
      <c r="C3" s="63"/>
      <c r="D3" s="133" t="s">
        <v>6</v>
      </c>
      <c r="E3" s="100"/>
      <c r="F3" s="63"/>
      <c r="G3" s="63"/>
      <c r="H3" s="63"/>
      <c r="I3" s="63"/>
      <c r="J3" s="63"/>
      <c r="K3" s="63"/>
      <c r="L3" s="63"/>
      <c r="M3" s="133" t="s">
        <v>4</v>
      </c>
      <c r="N3" s="89">
        <v>1</v>
      </c>
      <c r="O3" s="69"/>
    </row>
    <row r="4" spans="1:15" x14ac:dyDescent="0.25">
      <c r="A4" s="133" t="s">
        <v>5</v>
      </c>
      <c r="B4" s="99" t="str">
        <f>'FR A0001'!B4</f>
        <v>Frame</v>
      </c>
      <c r="C4" s="63"/>
      <c r="D4" s="133" t="s">
        <v>8</v>
      </c>
      <c r="E4" s="63"/>
      <c r="F4" s="63"/>
      <c r="G4" s="63"/>
      <c r="H4" s="63"/>
      <c r="I4" s="63"/>
      <c r="J4" s="135" t="s">
        <v>6</v>
      </c>
      <c r="K4" s="63"/>
      <c r="L4" s="63"/>
      <c r="M4" s="63"/>
      <c r="N4" s="63"/>
      <c r="O4" s="69"/>
    </row>
    <row r="5" spans="1:15" x14ac:dyDescent="0.25">
      <c r="A5" s="133" t="s">
        <v>15</v>
      </c>
      <c r="B5" s="19" t="s">
        <v>145</v>
      </c>
      <c r="C5" s="63"/>
      <c r="D5" s="133" t="s">
        <v>12</v>
      </c>
      <c r="E5" s="63"/>
      <c r="F5" s="63"/>
      <c r="G5" s="63"/>
      <c r="H5" s="63"/>
      <c r="I5" s="63"/>
      <c r="J5" s="135" t="s">
        <v>8</v>
      </c>
      <c r="K5" s="63"/>
      <c r="L5" s="63"/>
      <c r="M5" s="133" t="s">
        <v>9</v>
      </c>
      <c r="N5" s="81">
        <f>N3*N2</f>
        <v>9.1270500000000006</v>
      </c>
      <c r="O5" s="69"/>
    </row>
    <row r="6" spans="1:15" x14ac:dyDescent="0.25">
      <c r="A6" s="133" t="s">
        <v>7</v>
      </c>
      <c r="B6" s="31" t="s">
        <v>144</v>
      </c>
      <c r="C6" s="63"/>
      <c r="D6" s="63"/>
      <c r="E6" s="63"/>
      <c r="F6" s="63"/>
      <c r="G6" s="63"/>
      <c r="H6" s="63"/>
      <c r="I6" s="63"/>
      <c r="J6" s="135" t="s">
        <v>12</v>
      </c>
      <c r="K6" s="63"/>
      <c r="L6" s="63"/>
      <c r="M6" s="63"/>
      <c r="N6" s="63"/>
      <c r="O6" s="69"/>
    </row>
    <row r="7" spans="1:15" x14ac:dyDescent="0.25">
      <c r="A7" s="133" t="s">
        <v>10</v>
      </c>
      <c r="B7" s="16" t="s">
        <v>11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9"/>
    </row>
    <row r="8" spans="1:15" x14ac:dyDescent="0.25">
      <c r="A8" s="133" t="s">
        <v>13</v>
      </c>
      <c r="B8" s="16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9"/>
    </row>
    <row r="9" spans="1:15" x14ac:dyDescent="0.25">
      <c r="A9" s="92"/>
      <c r="B9" s="32"/>
      <c r="C9" s="32"/>
      <c r="D9" s="32"/>
      <c r="E9" s="32"/>
      <c r="F9" s="63"/>
      <c r="G9" s="63"/>
      <c r="H9" s="63"/>
      <c r="I9" s="63"/>
      <c r="J9" s="63"/>
      <c r="K9" s="63"/>
      <c r="L9" s="63"/>
      <c r="M9" s="63"/>
      <c r="N9" s="63"/>
      <c r="O9" s="69"/>
    </row>
    <row r="10" spans="1:15" x14ac:dyDescent="0.25">
      <c r="A10" s="136" t="s">
        <v>14</v>
      </c>
      <c r="B10" s="137" t="s">
        <v>19</v>
      </c>
      <c r="C10" s="137" t="s">
        <v>20</v>
      </c>
      <c r="D10" s="137" t="s">
        <v>21</v>
      </c>
      <c r="E10" s="137" t="s">
        <v>22</v>
      </c>
      <c r="F10" s="138" t="s">
        <v>23</v>
      </c>
      <c r="G10" s="138" t="s">
        <v>24</v>
      </c>
      <c r="H10" s="138" t="s">
        <v>25</v>
      </c>
      <c r="I10" s="138" t="s">
        <v>26</v>
      </c>
      <c r="J10" s="138" t="s">
        <v>27</v>
      </c>
      <c r="K10" s="138" t="s">
        <v>28</v>
      </c>
      <c r="L10" s="138" t="s">
        <v>29</v>
      </c>
      <c r="M10" s="138" t="s">
        <v>17</v>
      </c>
      <c r="N10" s="138" t="s">
        <v>18</v>
      </c>
      <c r="O10" s="69"/>
    </row>
    <row r="11" spans="1:15" s="25" customFormat="1" x14ac:dyDescent="0.25">
      <c r="A11" s="93">
        <v>10</v>
      </c>
      <c r="B11" s="33" t="s">
        <v>156</v>
      </c>
      <c r="C11" s="22" t="s">
        <v>151</v>
      </c>
      <c r="D11" s="35">
        <v>2.25</v>
      </c>
      <c r="E11" s="22">
        <v>1.79</v>
      </c>
      <c r="F11" s="22" t="s">
        <v>167</v>
      </c>
      <c r="G11" s="22"/>
      <c r="H11" s="21"/>
      <c r="I11" s="23" t="s">
        <v>177</v>
      </c>
      <c r="J11" s="107">
        <f>0.152</f>
        <v>0.152</v>
      </c>
      <c r="K11" s="24">
        <v>1.5E-3</v>
      </c>
      <c r="L11" s="34">
        <v>7850</v>
      </c>
      <c r="M11" s="26">
        <v>1</v>
      </c>
      <c r="N11" s="35">
        <f>IF(J11="",D11*M11,D11*J11*K11*L11*M11)</f>
        <v>4.02705</v>
      </c>
      <c r="O11" s="74"/>
    </row>
    <row r="12" spans="1:15" x14ac:dyDescent="0.25">
      <c r="A12" s="75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139" t="s">
        <v>18</v>
      </c>
      <c r="N12" s="140">
        <f>SUM(N11:N11)</f>
        <v>4.02705</v>
      </c>
      <c r="O12" s="69"/>
    </row>
    <row r="13" spans="1:15" x14ac:dyDescent="0.25">
      <c r="A13" s="70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9"/>
    </row>
    <row r="14" spans="1:15" x14ac:dyDescent="0.25">
      <c r="A14" s="141" t="s">
        <v>14</v>
      </c>
      <c r="B14" s="138" t="s">
        <v>30</v>
      </c>
      <c r="C14" s="138" t="s">
        <v>20</v>
      </c>
      <c r="D14" s="138" t="s">
        <v>21</v>
      </c>
      <c r="E14" s="138" t="s">
        <v>31</v>
      </c>
      <c r="F14" s="138" t="s">
        <v>17</v>
      </c>
      <c r="G14" s="138" t="s">
        <v>32</v>
      </c>
      <c r="H14" s="138" t="s">
        <v>33</v>
      </c>
      <c r="I14" s="138" t="s">
        <v>18</v>
      </c>
      <c r="J14" s="27"/>
      <c r="K14" s="27"/>
      <c r="L14" s="27"/>
      <c r="M14" s="27"/>
      <c r="N14" s="27"/>
      <c r="O14" s="69"/>
    </row>
    <row r="15" spans="1:15" s="28" customFormat="1" ht="30" x14ac:dyDescent="0.25">
      <c r="A15" s="94">
        <v>10</v>
      </c>
      <c r="B15" s="30" t="s">
        <v>44</v>
      </c>
      <c r="C15" s="36" t="s">
        <v>178</v>
      </c>
      <c r="D15" s="37">
        <v>1.3</v>
      </c>
      <c r="E15" s="30" t="s">
        <v>34</v>
      </c>
      <c r="F15" s="36">
        <v>1</v>
      </c>
      <c r="G15" s="36"/>
      <c r="H15" s="36">
        <v>1</v>
      </c>
      <c r="I15" s="37">
        <f t="shared" ref="I15:I17" si="0">IF(H15="",D15*F15,D15*F15*H15)</f>
        <v>1.3</v>
      </c>
      <c r="J15" s="65"/>
      <c r="K15" s="65"/>
      <c r="L15" s="65"/>
      <c r="M15" s="65"/>
      <c r="N15" s="65"/>
      <c r="O15" s="76"/>
    </row>
    <row r="16" spans="1:15" x14ac:dyDescent="0.25">
      <c r="A16" s="71">
        <v>20</v>
      </c>
      <c r="B16" s="30" t="s">
        <v>179</v>
      </c>
      <c r="C16" s="20" t="s">
        <v>45</v>
      </c>
      <c r="D16" s="35">
        <v>0.25</v>
      </c>
      <c r="E16" s="20" t="s">
        <v>181</v>
      </c>
      <c r="F16" s="38">
        <v>4</v>
      </c>
      <c r="G16" s="30"/>
      <c r="H16" s="29">
        <v>1</v>
      </c>
      <c r="I16" s="35">
        <f t="shared" si="0"/>
        <v>1</v>
      </c>
      <c r="J16" s="63"/>
      <c r="K16" s="63"/>
      <c r="L16" s="63"/>
      <c r="M16" s="63"/>
      <c r="N16" s="63"/>
      <c r="O16" s="69"/>
    </row>
    <row r="17" spans="1:15" s="18" customFormat="1" ht="30" x14ac:dyDescent="0.25">
      <c r="A17" s="94">
        <v>30</v>
      </c>
      <c r="B17" s="30" t="s">
        <v>180</v>
      </c>
      <c r="C17" s="29"/>
      <c r="D17" s="35">
        <v>0.35</v>
      </c>
      <c r="E17" s="30" t="s">
        <v>182</v>
      </c>
      <c r="F17" s="29">
        <v>8</v>
      </c>
      <c r="G17" s="29"/>
      <c r="H17" s="29">
        <v>1</v>
      </c>
      <c r="I17" s="35">
        <f t="shared" si="0"/>
        <v>2.8</v>
      </c>
      <c r="J17" s="64"/>
      <c r="K17" s="64"/>
      <c r="L17" s="64"/>
      <c r="M17" s="64"/>
      <c r="N17" s="64"/>
      <c r="O17" s="73"/>
    </row>
    <row r="18" spans="1:15" x14ac:dyDescent="0.25">
      <c r="A18" s="75"/>
      <c r="B18" s="27"/>
      <c r="C18" s="27"/>
      <c r="D18" s="27"/>
      <c r="E18" s="27"/>
      <c r="F18" s="27"/>
      <c r="G18" s="27"/>
      <c r="H18" s="142" t="s">
        <v>18</v>
      </c>
      <c r="I18" s="140">
        <f>SUM(I15:I17)</f>
        <v>5.0999999999999996</v>
      </c>
      <c r="J18" s="27"/>
      <c r="K18" s="27"/>
      <c r="L18" s="27"/>
      <c r="M18" s="27"/>
      <c r="N18" s="27"/>
      <c r="O18" s="69"/>
    </row>
    <row r="19" spans="1:15" x14ac:dyDescent="0.25">
      <c r="A19" s="70"/>
      <c r="B19" s="63"/>
      <c r="C19" s="63"/>
      <c r="D19" s="63"/>
      <c r="E19" s="63"/>
      <c r="F19" s="63"/>
      <c r="G19" s="63"/>
      <c r="H19" s="63"/>
      <c r="I19" s="64"/>
      <c r="J19" s="63"/>
      <c r="K19" s="63"/>
      <c r="L19" s="63"/>
      <c r="M19" s="63"/>
      <c r="N19" s="63"/>
      <c r="O19" s="69"/>
    </row>
    <row r="20" spans="1:15" ht="15.75" thickBot="1" x14ac:dyDescent="0.3">
      <c r="A20" s="77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9"/>
    </row>
  </sheetData>
  <hyperlinks>
    <hyperlink ref="B4" location="BR_A0001" display="BR_A0001" xr:uid="{CD27444F-223E-4B16-9C22-33ADBCCED2B4}"/>
    <hyperlink ref="G2" location="BOM!A1" display="Back to BOM" xr:uid="{0C413356-3020-48B0-864E-8558288A39D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7DD8-5F4D-4463-BB8D-7F4F79A3468E}">
  <sheetPr>
    <tabColor rgb="FFFF99FF"/>
  </sheetPr>
  <dimension ref="A1:O21"/>
  <sheetViews>
    <sheetView workbookViewId="0">
      <selection activeCell="G2" sqref="G2"/>
    </sheetView>
  </sheetViews>
  <sheetFormatPr baseColWidth="10" defaultColWidth="9.140625" defaultRowHeight="15" x14ac:dyDescent="0.25"/>
  <cols>
    <col min="2" max="2" width="22.5703125" customWidth="1"/>
    <col min="3" max="3" width="17.7109375" customWidth="1"/>
    <col min="7" max="7" width="12.5703125" customWidth="1"/>
    <col min="9" max="9" width="18" customWidth="1"/>
    <col min="15" max="15" width="3.140625" customWidth="1"/>
  </cols>
  <sheetData>
    <row r="1" spans="1:15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8"/>
    </row>
    <row r="2" spans="1:15" x14ac:dyDescent="0.25">
      <c r="A2" s="133" t="s">
        <v>0</v>
      </c>
      <c r="B2" s="16" t="s">
        <v>43</v>
      </c>
      <c r="C2" s="63"/>
      <c r="D2" s="63"/>
      <c r="E2" s="63"/>
      <c r="F2" s="63"/>
      <c r="G2" s="99" t="s">
        <v>132</v>
      </c>
      <c r="H2" s="63"/>
      <c r="I2" s="63"/>
      <c r="J2" s="134" t="s">
        <v>1</v>
      </c>
      <c r="K2" s="91">
        <v>81</v>
      </c>
      <c r="L2" s="63"/>
      <c r="M2" s="133" t="s">
        <v>16</v>
      </c>
      <c r="N2" s="81">
        <f>FR_01004_m+FR_01004_p</f>
        <v>3.9191256335617903</v>
      </c>
      <c r="O2" s="69"/>
    </row>
    <row r="3" spans="1:15" x14ac:dyDescent="0.25">
      <c r="A3" s="133" t="s">
        <v>3</v>
      </c>
      <c r="B3" s="16" t="str">
        <f>'FR A0001'!B3</f>
        <v>Frame and Body</v>
      </c>
      <c r="C3" s="63"/>
      <c r="D3" s="133" t="s">
        <v>6</v>
      </c>
      <c r="E3" s="100" t="s">
        <v>92</v>
      </c>
      <c r="F3" s="63"/>
      <c r="G3" s="63"/>
      <c r="H3" s="63"/>
      <c r="I3" s="63"/>
      <c r="J3" s="63"/>
      <c r="K3" s="63"/>
      <c r="L3" s="63"/>
      <c r="M3" s="133" t="s">
        <v>4</v>
      </c>
      <c r="N3" s="89">
        <v>4</v>
      </c>
      <c r="O3" s="69"/>
    </row>
    <row r="4" spans="1:15" x14ac:dyDescent="0.25">
      <c r="A4" s="133" t="s">
        <v>5</v>
      </c>
      <c r="B4" s="99" t="str">
        <f>'FR A0001'!B4</f>
        <v>Frame</v>
      </c>
      <c r="C4" s="63"/>
      <c r="D4" s="133" t="s">
        <v>8</v>
      </c>
      <c r="E4" s="63"/>
      <c r="F4" s="63"/>
      <c r="G4" s="63"/>
      <c r="H4" s="63"/>
      <c r="I4" s="63"/>
      <c r="J4" s="135" t="s">
        <v>6</v>
      </c>
      <c r="K4" s="63"/>
      <c r="L4" s="63"/>
      <c r="M4" s="63"/>
      <c r="N4" s="63"/>
      <c r="O4" s="69"/>
    </row>
    <row r="5" spans="1:15" x14ac:dyDescent="0.25">
      <c r="A5" s="133" t="s">
        <v>15</v>
      </c>
      <c r="B5" s="19" t="s">
        <v>155</v>
      </c>
      <c r="C5" s="63"/>
      <c r="D5" s="133" t="s">
        <v>12</v>
      </c>
      <c r="E5" s="63"/>
      <c r="F5" s="63"/>
      <c r="G5" s="63"/>
      <c r="H5" s="63"/>
      <c r="I5" s="63"/>
      <c r="J5" s="135" t="s">
        <v>8</v>
      </c>
      <c r="K5" s="63"/>
      <c r="L5" s="63"/>
      <c r="M5" s="133" t="s">
        <v>9</v>
      </c>
      <c r="N5" s="81">
        <f>N3*N2</f>
        <v>15.676502534247161</v>
      </c>
      <c r="O5" s="69"/>
    </row>
    <row r="6" spans="1:15" x14ac:dyDescent="0.25">
      <c r="A6" s="133" t="s">
        <v>7</v>
      </c>
      <c r="B6" s="31" t="s">
        <v>154</v>
      </c>
      <c r="C6" s="63"/>
      <c r="D6" s="63"/>
      <c r="E6" s="63"/>
      <c r="F6" s="63"/>
      <c r="G6" s="63"/>
      <c r="H6" s="63"/>
      <c r="I6" s="63"/>
      <c r="J6" s="135" t="s">
        <v>12</v>
      </c>
      <c r="K6" s="63"/>
      <c r="L6" s="63"/>
      <c r="M6" s="63"/>
      <c r="N6" s="63"/>
      <c r="O6" s="69"/>
    </row>
    <row r="7" spans="1:15" x14ac:dyDescent="0.25">
      <c r="A7" s="133" t="s">
        <v>10</v>
      </c>
      <c r="B7" s="16" t="s">
        <v>11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9"/>
    </row>
    <row r="8" spans="1:15" x14ac:dyDescent="0.25">
      <c r="A8" s="133" t="s">
        <v>13</v>
      </c>
      <c r="B8" s="16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9"/>
    </row>
    <row r="9" spans="1:15" x14ac:dyDescent="0.25">
      <c r="A9" s="92"/>
      <c r="B9" s="32"/>
      <c r="C9" s="32"/>
      <c r="D9" s="32"/>
      <c r="E9" s="32"/>
      <c r="F9" s="63"/>
      <c r="G9" s="63"/>
      <c r="H9" s="63"/>
      <c r="I9" s="63"/>
      <c r="J9" s="63"/>
      <c r="K9" s="63"/>
      <c r="L9" s="63"/>
      <c r="M9" s="63"/>
      <c r="N9" s="63"/>
      <c r="O9" s="69"/>
    </row>
    <row r="10" spans="1:15" x14ac:dyDescent="0.25">
      <c r="A10" s="136" t="s">
        <v>14</v>
      </c>
      <c r="B10" s="137" t="s">
        <v>19</v>
      </c>
      <c r="C10" s="137" t="s">
        <v>20</v>
      </c>
      <c r="D10" s="137" t="s">
        <v>21</v>
      </c>
      <c r="E10" s="137" t="s">
        <v>22</v>
      </c>
      <c r="F10" s="138" t="s">
        <v>23</v>
      </c>
      <c r="G10" s="138" t="s">
        <v>24</v>
      </c>
      <c r="H10" s="138" t="s">
        <v>25</v>
      </c>
      <c r="I10" s="138" t="s">
        <v>26</v>
      </c>
      <c r="J10" s="138" t="s">
        <v>27</v>
      </c>
      <c r="K10" s="138" t="s">
        <v>28</v>
      </c>
      <c r="L10" s="138" t="s">
        <v>29</v>
      </c>
      <c r="M10" s="138" t="s">
        <v>17</v>
      </c>
      <c r="N10" s="138" t="s">
        <v>18</v>
      </c>
      <c r="O10" s="69"/>
    </row>
    <row r="11" spans="1:15" s="25" customFormat="1" x14ac:dyDescent="0.25">
      <c r="A11" s="93">
        <v>10</v>
      </c>
      <c r="B11" s="33" t="s">
        <v>156</v>
      </c>
      <c r="C11" s="22" t="s">
        <v>183</v>
      </c>
      <c r="D11" s="35">
        <v>2.25</v>
      </c>
      <c r="E11" s="22">
        <v>0.154</v>
      </c>
      <c r="F11" s="22" t="s">
        <v>167</v>
      </c>
      <c r="G11" s="22"/>
      <c r="H11" s="21"/>
      <c r="I11" s="23" t="s">
        <v>184</v>
      </c>
      <c r="J11" s="146">
        <f>((17*10^-3)^2-(0.015)^2)*PI()</f>
        <v>2.0106192982974688E-4</v>
      </c>
      <c r="K11" s="24">
        <v>0.1</v>
      </c>
      <c r="L11" s="34">
        <v>7850</v>
      </c>
      <c r="M11" s="26">
        <v>1</v>
      </c>
      <c r="N11" s="35">
        <f>IF(J11="",D11*M11,D11*J11*K11*L11*M11)</f>
        <v>0.35512563356179044</v>
      </c>
      <c r="O11" s="74"/>
    </row>
    <row r="12" spans="1:15" x14ac:dyDescent="0.25">
      <c r="A12" s="75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139" t="s">
        <v>18</v>
      </c>
      <c r="N12" s="140">
        <f>SUM(N11:N11)</f>
        <v>0.35512563356179044</v>
      </c>
      <c r="O12" s="69"/>
    </row>
    <row r="13" spans="1:15" x14ac:dyDescent="0.25">
      <c r="A13" s="70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9"/>
    </row>
    <row r="14" spans="1:15" x14ac:dyDescent="0.25">
      <c r="A14" s="141" t="s">
        <v>14</v>
      </c>
      <c r="B14" s="138" t="s">
        <v>30</v>
      </c>
      <c r="C14" s="138" t="s">
        <v>20</v>
      </c>
      <c r="D14" s="138" t="s">
        <v>21</v>
      </c>
      <c r="E14" s="138" t="s">
        <v>31</v>
      </c>
      <c r="F14" s="138" t="s">
        <v>17</v>
      </c>
      <c r="G14" s="138" t="s">
        <v>32</v>
      </c>
      <c r="H14" s="138" t="s">
        <v>33</v>
      </c>
      <c r="I14" s="138" t="s">
        <v>18</v>
      </c>
      <c r="J14" s="27"/>
      <c r="K14" s="27"/>
      <c r="L14" s="27"/>
      <c r="M14" s="27"/>
      <c r="N14" s="27"/>
      <c r="O14" s="69"/>
    </row>
    <row r="15" spans="1:15" s="28" customFormat="1" ht="30" x14ac:dyDescent="0.25">
      <c r="A15" s="94">
        <v>10</v>
      </c>
      <c r="B15" s="30" t="s">
        <v>44</v>
      </c>
      <c r="C15" s="36"/>
      <c r="D15" s="37">
        <v>1.3</v>
      </c>
      <c r="E15" s="30" t="s">
        <v>34</v>
      </c>
      <c r="F15" s="36">
        <v>1</v>
      </c>
      <c r="G15" s="36"/>
      <c r="H15" s="36"/>
      <c r="I15" s="37">
        <f t="shared" ref="I15:I17" si="0">IF(H15="",D15*F15,D15*F15*H15)</f>
        <v>1.3</v>
      </c>
      <c r="J15" s="65"/>
      <c r="K15" s="65"/>
      <c r="L15" s="65"/>
      <c r="M15" s="65"/>
      <c r="N15" s="65"/>
      <c r="O15" s="76"/>
    </row>
    <row r="16" spans="1:15" x14ac:dyDescent="0.25">
      <c r="A16" s="71">
        <v>20</v>
      </c>
      <c r="B16" s="30" t="s">
        <v>185</v>
      </c>
      <c r="C16" s="20" t="s">
        <v>186</v>
      </c>
      <c r="D16" s="35">
        <v>0.04</v>
      </c>
      <c r="E16" s="20" t="s">
        <v>189</v>
      </c>
      <c r="F16" s="147">
        <v>21.6</v>
      </c>
      <c r="G16" s="30"/>
      <c r="H16" s="29"/>
      <c r="I16" s="35">
        <f t="shared" si="0"/>
        <v>0.8640000000000001</v>
      </c>
      <c r="J16" s="63"/>
      <c r="K16" s="63"/>
      <c r="L16" s="63"/>
      <c r="M16" s="63"/>
      <c r="N16" s="63"/>
      <c r="O16" s="69"/>
    </row>
    <row r="17" spans="1:15" s="18" customFormat="1" ht="30" x14ac:dyDescent="0.25">
      <c r="A17" s="94">
        <v>30</v>
      </c>
      <c r="B17" s="30" t="s">
        <v>187</v>
      </c>
      <c r="C17" s="29"/>
      <c r="D17" s="35">
        <v>0.35</v>
      </c>
      <c r="E17" s="30" t="s">
        <v>182</v>
      </c>
      <c r="F17" s="29">
        <v>4</v>
      </c>
      <c r="G17" s="29"/>
      <c r="H17" s="29"/>
      <c r="I17" s="35">
        <f t="shared" si="0"/>
        <v>1.4</v>
      </c>
      <c r="J17" s="64"/>
      <c r="K17" s="64"/>
      <c r="L17" s="64"/>
      <c r="M17" s="64"/>
      <c r="N17" s="64"/>
      <c r="O17" s="73"/>
    </row>
    <row r="18" spans="1:15" x14ac:dyDescent="0.25">
      <c r="A18" s="75"/>
      <c r="B18" s="27"/>
      <c r="C18" s="27"/>
      <c r="D18" s="27"/>
      <c r="E18" s="27"/>
      <c r="F18" s="27"/>
      <c r="G18" s="27"/>
      <c r="H18" s="142" t="s">
        <v>18</v>
      </c>
      <c r="I18" s="140">
        <f>SUM(I15:I17)</f>
        <v>3.5640000000000001</v>
      </c>
      <c r="J18" s="27"/>
      <c r="K18" s="27"/>
      <c r="L18" s="27"/>
      <c r="M18" s="27"/>
      <c r="N18" s="27"/>
      <c r="O18" s="69"/>
    </row>
    <row r="19" spans="1:15" x14ac:dyDescent="0.25">
      <c r="A19" s="70"/>
      <c r="B19" s="63"/>
      <c r="C19" s="63"/>
      <c r="D19" s="63"/>
      <c r="E19" s="63"/>
      <c r="F19" s="63"/>
      <c r="G19" s="63"/>
      <c r="H19" s="63"/>
      <c r="I19" s="64"/>
      <c r="J19" s="63"/>
      <c r="K19" s="63"/>
      <c r="L19" s="63"/>
      <c r="M19" s="63"/>
      <c r="N19" s="63"/>
      <c r="O19" s="69"/>
    </row>
    <row r="20" spans="1:15" x14ac:dyDescent="0.25">
      <c r="A20" s="95"/>
      <c r="B20" s="64"/>
      <c r="C20" s="64"/>
      <c r="D20" s="64"/>
      <c r="E20" s="64"/>
      <c r="F20" s="64"/>
      <c r="G20" s="64"/>
      <c r="H20" s="17"/>
      <c r="I20" s="39"/>
      <c r="J20" s="64"/>
      <c r="K20" s="63"/>
      <c r="L20" s="63"/>
      <c r="M20" s="63"/>
      <c r="N20" s="63"/>
      <c r="O20" s="69"/>
    </row>
    <row r="21" spans="1:15" ht="15.75" thickBot="1" x14ac:dyDescent="0.3">
      <c r="A21" s="77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9"/>
    </row>
  </sheetData>
  <hyperlinks>
    <hyperlink ref="B4" location="BR_A0001" display="BR_A0001" xr:uid="{3D8EE626-6780-4899-8924-E7CCF5E9EDAF}"/>
    <hyperlink ref="E3" location="'dFR 01004'!A1" display="Drawing" xr:uid="{F73D190D-835F-47A1-A266-7591A15311F8}"/>
    <hyperlink ref="G2" location="BOM!A1" display="Back to BOM" xr:uid="{2495BF71-7C2A-4F4F-91D6-C09C9451031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FF"/>
    <pageSetUpPr fitToPage="1"/>
  </sheetPr>
  <dimension ref="A1:B1"/>
  <sheetViews>
    <sheetView workbookViewId="0"/>
  </sheetViews>
  <sheetFormatPr baseColWidth="10" defaultRowHeight="15" x14ac:dyDescent="0.25"/>
  <cols>
    <col min="1" max="1" width="14" customWidth="1"/>
  </cols>
  <sheetData>
    <row r="1" spans="1:2" x14ac:dyDescent="0.25">
      <c r="A1" t="s">
        <v>190</v>
      </c>
      <c r="B1" s="100" t="s">
        <v>154</v>
      </c>
    </row>
  </sheetData>
  <hyperlinks>
    <hyperlink ref="B1" location="'FR 01004'!A1" display="FR 01004" xr:uid="{D19A6941-363F-4BE2-9CF8-964DED6446F8}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23</vt:i4>
      </vt:variant>
    </vt:vector>
  </HeadingPairs>
  <TitlesOfParts>
    <vt:vector size="31" baseType="lpstr">
      <vt:lpstr>Instructions</vt:lpstr>
      <vt:lpstr>BOM</vt:lpstr>
      <vt:lpstr>FR A0001</vt:lpstr>
      <vt:lpstr>FR 01001</vt:lpstr>
      <vt:lpstr>FR 01002</vt:lpstr>
      <vt:lpstr>FR 01003</vt:lpstr>
      <vt:lpstr>FR 01004</vt:lpstr>
      <vt:lpstr>dFR 01004</vt:lpstr>
      <vt:lpstr>FR_01001</vt:lpstr>
      <vt:lpstr>FR_01001_m</vt:lpstr>
      <vt:lpstr>FR_01001_p</vt:lpstr>
      <vt:lpstr>FR_01001_q</vt:lpstr>
      <vt:lpstr>FR_01002</vt:lpstr>
      <vt:lpstr>FR_01002_m</vt:lpstr>
      <vt:lpstr>FR_01002_p</vt:lpstr>
      <vt:lpstr>FR_01002_q</vt:lpstr>
      <vt:lpstr>FR_01003</vt:lpstr>
      <vt:lpstr>FR_01003_m</vt:lpstr>
      <vt:lpstr>FR_01003_P</vt:lpstr>
      <vt:lpstr>FR_01003_q</vt:lpstr>
      <vt:lpstr>FR_01004</vt:lpstr>
      <vt:lpstr>FR_01004_m</vt:lpstr>
      <vt:lpstr>FR_01004_p</vt:lpstr>
      <vt:lpstr>FR_01004_q</vt:lpstr>
      <vt:lpstr>FR_A0001</vt:lpstr>
      <vt:lpstr>FR_A0001_f</vt:lpstr>
      <vt:lpstr>FR_A0001_m</vt:lpstr>
      <vt:lpstr>FR_A0001_p</vt:lpstr>
      <vt:lpstr>FR_A0001_pa</vt:lpstr>
      <vt:lpstr>FR_A0001_q</vt:lpstr>
      <vt:lpstr>FR_A0001_t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2015-05-29T18:57:13Z</dcterms:created>
  <dcterms:modified xsi:type="dcterms:W3CDTF">2018-04-30T21:39:35Z</dcterms:modified>
  <dc:language>fr-FR</dc:language>
</cp:coreProperties>
</file>