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en\Documents\GitHub\Vulcanix-v1.0\EN - Engine &amp; Powertrain\Cost\"/>
    </mc:Choice>
  </mc:AlternateContent>
  <bookViews>
    <workbookView xWindow="4740" yWindow="60" windowWidth="16380" windowHeight="8190" tabRatio="736"/>
  </bookViews>
  <sheets>
    <sheet name="BOM" sheetId="8" r:id="rId1"/>
    <sheet name="EN A0200" sheetId="84" r:id="rId2"/>
    <sheet name="EN_02001" sheetId="85" r:id="rId3"/>
    <sheet name="dEN_02001" sheetId="86" r:id="rId4"/>
    <sheet name="EN_02002" sheetId="87" r:id="rId5"/>
    <sheet name="dEN_02002" sheetId="88" r:id="rId6"/>
    <sheet name="EN_02003" sheetId="89" r:id="rId7"/>
    <sheet name="EN_02004" sheetId="90" r:id="rId8"/>
    <sheet name="EN_02005" sheetId="91" r:id="rId9"/>
    <sheet name="EN_02006" sheetId="92" r:id="rId10"/>
    <sheet name="EN_02007" sheetId="93" r:id="rId11"/>
    <sheet name="EN_02008" sheetId="94" r:id="rId12"/>
    <sheet name="EN_02009" sheetId="95" r:id="rId13"/>
    <sheet name="EN_02010" sheetId="96" r:id="rId14"/>
    <sheet name="EN_A0300" sheetId="21" r:id="rId15"/>
    <sheet name="EN_03001" sheetId="22" r:id="rId16"/>
    <sheet name="EN_03002" sheetId="23" r:id="rId17"/>
    <sheet name="dEN_03002" sheetId="24" r:id="rId18"/>
    <sheet name="EN_03003" sheetId="25" r:id="rId19"/>
    <sheet name="EN_03004" sheetId="26" r:id="rId20"/>
    <sheet name="dEN_03004" sheetId="27" r:id="rId21"/>
    <sheet name="EN_03005" sheetId="28" r:id="rId22"/>
    <sheet name="dEN_03005" sheetId="29" r:id="rId23"/>
    <sheet name="EN_03006" sheetId="30" r:id="rId24"/>
    <sheet name="dEN_03006" sheetId="31" r:id="rId25"/>
    <sheet name="EN_03007" sheetId="32" r:id="rId26"/>
    <sheet name="dEN_03007" sheetId="33" r:id="rId27"/>
    <sheet name="EN_03008" sheetId="34" r:id="rId28"/>
    <sheet name="dEN_03008" sheetId="35" r:id="rId29"/>
    <sheet name="EN_A0400" sheetId="37" r:id="rId30"/>
    <sheet name="EN_04001" sheetId="38" r:id="rId31"/>
    <sheet name="EN_04002" sheetId="39" r:id="rId32"/>
    <sheet name="EN_04003" sheetId="40" r:id="rId33"/>
    <sheet name="EN_04004" sheetId="41" r:id="rId34"/>
    <sheet name="EN_04005" sheetId="42" r:id="rId35"/>
    <sheet name="EN_04006" sheetId="43" r:id="rId36"/>
    <sheet name="EN_04007" sheetId="44" r:id="rId37"/>
    <sheet name="EN_04008" sheetId="45" r:id="rId38"/>
    <sheet name="EN_04009" sheetId="46" r:id="rId39"/>
    <sheet name="EN_A0900" sheetId="48" r:id="rId40"/>
    <sheet name="EN_09001" sheetId="49" r:id="rId41"/>
    <sheet name="EN_09002" sheetId="50" r:id="rId42"/>
    <sheet name="dEN_09002" sheetId="51" r:id="rId43"/>
    <sheet name="EN_09003" sheetId="52" r:id="rId44"/>
    <sheet name="dEN_09003" sheetId="53" r:id="rId45"/>
    <sheet name="EN_09004" sheetId="54" r:id="rId46"/>
    <sheet name="dEN_09004" sheetId="55" r:id="rId47"/>
    <sheet name="EN_09005" sheetId="56" r:id="rId48"/>
    <sheet name="dEN_09005" sheetId="57" r:id="rId49"/>
    <sheet name="EN_09006" sheetId="58" r:id="rId50"/>
    <sheet name="dEN_09006" sheetId="59" r:id="rId51"/>
    <sheet name="EN_09007" sheetId="60" r:id="rId52"/>
    <sheet name="dEN_09007" sheetId="61" r:id="rId53"/>
    <sheet name="EN_09008" sheetId="62" r:id="rId54"/>
    <sheet name="dEN_09008" sheetId="63" r:id="rId55"/>
    <sheet name="EN_09009" sheetId="64" r:id="rId56"/>
    <sheet name="dEN_09009" sheetId="65" r:id="rId57"/>
    <sheet name="EN_A1000" sheetId="66" r:id="rId58"/>
    <sheet name="EN_10001" sheetId="67" r:id="rId59"/>
    <sheet name="EN_10002" sheetId="68" r:id="rId60"/>
    <sheet name="EN_10003" sheetId="69" r:id="rId61"/>
    <sheet name="dEN_10003" sheetId="70" r:id="rId62"/>
    <sheet name="EN_10004" sheetId="71" r:id="rId63"/>
    <sheet name="dEN_10004" sheetId="72" r:id="rId64"/>
    <sheet name="EN_A1100" sheetId="73" r:id="rId65"/>
    <sheet name="EN_11001" sheetId="83" r:id="rId66"/>
    <sheet name="EN_11002" sheetId="74" r:id="rId67"/>
    <sheet name="EN_11003" sheetId="75" r:id="rId68"/>
    <sheet name="dEN_11003" sheetId="76" r:id="rId69"/>
    <sheet name="EN_11004" sheetId="77" r:id="rId70"/>
    <sheet name="dEN_11004" sheetId="78" r:id="rId71"/>
    <sheet name="EN_11005" sheetId="79" r:id="rId72"/>
    <sheet name="dEN_11005" sheetId="80" r:id="rId73"/>
    <sheet name="EN_11006" sheetId="81" r:id="rId74"/>
    <sheet name="dEN_11006" sheetId="82" r:id="rId75"/>
  </sheets>
  <externalReferences>
    <externalReference r:id="rId76"/>
  </externalReferences>
  <definedNames>
    <definedName name="dEN_0300_002">dEN_03002!$A$1</definedName>
    <definedName name="dEN_0300_009">dEN_03004!$A$1</definedName>
    <definedName name="dEN_0300_010">dEN_03005!$A$1</definedName>
    <definedName name="dEN_0300_011">dEN_03006!$A$1</definedName>
    <definedName name="dEN_0300_012">dEN_03007!$A$1</definedName>
    <definedName name="dEN_0300_013">dEN_03008!$A$1</definedName>
    <definedName name="EN">EN_A0300!$B$5</definedName>
    <definedName name="EN_02001">EN_02001!$B$6</definedName>
    <definedName name="EN_02001_f" localSheetId="4">EN_02001!#REF!</definedName>
    <definedName name="EN_02001_f" localSheetId="6">EN_02001!#REF!</definedName>
    <definedName name="EN_02001_f" localSheetId="8">EN_02001!#REF!</definedName>
    <definedName name="EN_02001_f" localSheetId="9">EN_02001!#REF!</definedName>
    <definedName name="EN_02001_f" localSheetId="10">EN_02001!#REF!</definedName>
    <definedName name="EN_02001_f" localSheetId="11">EN_02001!#REF!</definedName>
    <definedName name="EN_02001_f" localSheetId="13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4">EN_02001!#REF!</definedName>
    <definedName name="EN_02001_t" localSheetId="6">EN_02001!#REF!</definedName>
    <definedName name="EN_02001_t" localSheetId="8">EN_02001!#REF!</definedName>
    <definedName name="EN_02001_t" localSheetId="9">EN_02001!#REF!</definedName>
    <definedName name="EN_02001_t" localSheetId="10">EN_02001!#REF!</definedName>
    <definedName name="EN_02001_t" localSheetId="11">EN_02001!#REF!</definedName>
    <definedName name="EN_02001_t" localSheetId="13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4">EN_03004!$B$5</definedName>
    <definedName name="EN_0300_004_f">EN_03004!$I$18</definedName>
    <definedName name="EN_0300_004_m">EN_03004!$N$12</definedName>
    <definedName name="EN_0300_004_p">EN_03004!$I$17</definedName>
    <definedName name="EN_0300_004_q">EN_03004!$N$3</definedName>
    <definedName name="EN_0300_004_t">EN_03004!$I$19</definedName>
    <definedName name="EN_0300_005">EN_03005!$B$5</definedName>
    <definedName name="EN_0300_005_f">EN_03005!$I$19</definedName>
    <definedName name="EN_0300_005_m">EN_03005!$N$12</definedName>
    <definedName name="EN_0300_005_p">EN_03005!$I$17</definedName>
    <definedName name="EN_0300_005_q">EN_03005!$N$3</definedName>
    <definedName name="EN_0300_005_t">EN_03005!$I$18</definedName>
    <definedName name="EN_0300_006">EN_03006!$B$5</definedName>
    <definedName name="EN_0300_006_f">EN_03006!$I$19</definedName>
    <definedName name="EN_0300_006_m">EN_03006!$N$12</definedName>
    <definedName name="EN_0300_006_p">EN_03006!$I$17</definedName>
    <definedName name="EN_0300_006_q">EN_03006!$N$3</definedName>
    <definedName name="EN_0300_006_t">EN_03006!$I$18</definedName>
    <definedName name="EN_0300_007">EN_03007!$B$5</definedName>
    <definedName name="EN_0300_007_f">EN_03007!$I$20</definedName>
    <definedName name="EN_0300_007_m">EN_03007!$N$12</definedName>
    <definedName name="EN_0300_007_p">EN_03007!$I$18</definedName>
    <definedName name="EN_0300_007_q">EN_03007!$N$3</definedName>
    <definedName name="EN_0300_007_t">EN_03007!$I$19</definedName>
    <definedName name="EN_0300_008">EN_03008!$B$5</definedName>
    <definedName name="EN_0300_008_f">EN_03008!$I$19</definedName>
    <definedName name="EN_0300_008_m">EN_03008!$N$12</definedName>
    <definedName name="EN_0300_008_p">EN_03008!$I$17</definedName>
    <definedName name="EN_0300_008_q">EN_03008!$N$3</definedName>
    <definedName name="EN_0300_008_t">EN_03008!$I$18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4">'[1]EN Assembly'!$J$43</definedName>
    <definedName name="EN_A0001_f" localSheetId="6">'[1]EN Assembly'!$J$43</definedName>
    <definedName name="EN_A0001_f" localSheetId="7">'[1]EN Assembly'!$J$43</definedName>
    <definedName name="EN_A0001_f" localSheetId="8">'[1]EN Assembly'!$J$43</definedName>
    <definedName name="EN_A0001_f" localSheetId="9">'[1]EN Assembly'!$J$43</definedName>
    <definedName name="EN_A0001_f" localSheetId="10">'[1]EN Assembly'!$J$43</definedName>
    <definedName name="EN_A0001_f" localSheetId="11">'[1]EN Assembly'!$J$43</definedName>
    <definedName name="EN_A0001_f" localSheetId="12">'[1]EN Assembly'!$J$43</definedName>
    <definedName name="EN_A0001_f" localSheetId="13">'[1]EN Assembly'!$J$43</definedName>
    <definedName name="EN_A0001_f">'EN A0200'!$J$53</definedName>
    <definedName name="EN_A0001_m" localSheetId="4">'[1]EN Assembly'!$N$24</definedName>
    <definedName name="EN_A0001_m" localSheetId="6">'[1]EN Assembly'!$N$24</definedName>
    <definedName name="EN_A0001_m" localSheetId="7">'[1]EN Assembly'!$N$24</definedName>
    <definedName name="EN_A0001_m" localSheetId="8">'[1]EN Assembly'!$N$24</definedName>
    <definedName name="EN_A0001_m" localSheetId="9">'[1]EN Assembly'!$N$24</definedName>
    <definedName name="EN_A0001_m" localSheetId="10">'[1]EN Assembly'!$N$24</definedName>
    <definedName name="EN_A0001_m" localSheetId="11">'[1]EN Assembly'!$N$24</definedName>
    <definedName name="EN_A0001_m" localSheetId="12">'[1]EN Assembly'!$N$24</definedName>
    <definedName name="EN_A0001_m" localSheetId="13">'[1]EN Assembly'!$N$24</definedName>
    <definedName name="EN_A0001_m">'EN A0200'!$N$24</definedName>
    <definedName name="EN_A0001_p" localSheetId="4">'[1]EN Assembly'!$I$33</definedName>
    <definedName name="EN_A0001_p" localSheetId="6">'[1]EN Assembly'!$I$33</definedName>
    <definedName name="EN_A0001_p" localSheetId="7">'[1]EN Assembly'!$I$33</definedName>
    <definedName name="EN_A0001_p" localSheetId="8">'[1]EN Assembly'!$I$33</definedName>
    <definedName name="EN_A0001_p" localSheetId="9">'[1]EN Assembly'!$I$33</definedName>
    <definedName name="EN_A0001_p" localSheetId="10">'[1]EN Assembly'!$I$33</definedName>
    <definedName name="EN_A0001_p" localSheetId="11">'[1]EN Assembly'!$I$33</definedName>
    <definedName name="EN_A0001_p" localSheetId="12">'[1]EN Assembly'!$I$33</definedName>
    <definedName name="EN_A0001_p" localSheetId="13">'[1]EN Assembly'!$I$33</definedName>
    <definedName name="EN_A0001_p">'EN A0200'!$I$43</definedName>
    <definedName name="EN_A0001_pa" localSheetId="4">'[1]EN Assembly'!$E$16</definedName>
    <definedName name="EN_A0001_pa" localSheetId="6">'[1]EN Assembly'!$E$16</definedName>
    <definedName name="EN_A0001_pa" localSheetId="7">'[1]EN Assembly'!$E$16</definedName>
    <definedName name="EN_A0001_pa" localSheetId="8">'[1]EN Assembly'!$E$16</definedName>
    <definedName name="EN_A0001_pa" localSheetId="9">'[1]EN Assembly'!$E$16</definedName>
    <definedName name="EN_A0001_pa" localSheetId="10">'[1]EN Assembly'!$E$16</definedName>
    <definedName name="EN_A0001_pa" localSheetId="11">'[1]EN Assembly'!$E$16</definedName>
    <definedName name="EN_A0001_pa" localSheetId="12">'[1]EN Assembly'!$E$16</definedName>
    <definedName name="EN_A0001_pa" localSheetId="13">'[1]EN Assembly'!$E$16</definedName>
    <definedName name="EN_A0001_pa">'EN A0200'!$E$20</definedName>
    <definedName name="EN_A0001_q" localSheetId="4">'[1]EN Assembly'!$N$3</definedName>
    <definedName name="EN_A0001_q" localSheetId="6">'[1]EN Assembly'!$N$3</definedName>
    <definedName name="EN_A0001_q" localSheetId="7">'[1]EN Assembly'!$N$3</definedName>
    <definedName name="EN_A0001_q" localSheetId="8">'[1]EN Assembly'!$N$3</definedName>
    <definedName name="EN_A0001_q" localSheetId="9">'[1]EN Assembly'!$N$3</definedName>
    <definedName name="EN_A0001_q" localSheetId="10">'[1]EN Assembly'!$N$3</definedName>
    <definedName name="EN_A0001_q" localSheetId="11">'[1]EN Assembly'!$N$3</definedName>
    <definedName name="EN_A0001_q" localSheetId="12">'[1]EN Assembly'!$N$3</definedName>
    <definedName name="EN_A0001_q" localSheetId="13">'[1]EN Assembly'!$N$3</definedName>
    <definedName name="EN_A0001_q">'EN A0200'!$N$3</definedName>
    <definedName name="EN_A0001_t" localSheetId="4">'[1]EN Assembly'!$I$48</definedName>
    <definedName name="EN_A0001_t" localSheetId="6">'[1]EN Assembly'!$I$48</definedName>
    <definedName name="EN_A0001_t" localSheetId="7">'[1]EN Assembly'!$I$48</definedName>
    <definedName name="EN_A0001_t" localSheetId="8">'[1]EN Assembly'!$I$48</definedName>
    <definedName name="EN_A0001_t" localSheetId="9">'[1]EN Assembly'!$I$48</definedName>
    <definedName name="EN_A0001_t" localSheetId="10">'[1]EN Assembly'!$I$48</definedName>
    <definedName name="EN_A0001_t" localSheetId="11">'[1]EN Assembly'!$I$48</definedName>
    <definedName name="EN_A0001_t" localSheetId="12">'[1]EN Assembly'!$I$48</definedName>
    <definedName name="EN_A0001_t" localSheetId="13">'[1]EN Assembly'!$I$48</definedName>
    <definedName name="EN_A0001_t">'EN A0200'!$I$57</definedName>
    <definedName name="EN_A0200">'EN A0200'!$B$5</definedName>
    <definedName name="EN_A0200_BOM">BOM!$C$7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BOM!$C$18</definedName>
    <definedName name="EN_A0300_f">EN_A0300!$J$71</definedName>
    <definedName name="EN_A0300_m">EN_A0300!$N$26</definedName>
    <definedName name="EN_A0300_p">EN_A0300!$I$61</definedName>
    <definedName name="EN_A0300_pa">EN_A0300!$E$18</definedName>
    <definedName name="EN_A0300_q">EN_A0300!$N$3</definedName>
    <definedName name="EN_A0300_t">EN_A0300!$I$75</definedName>
    <definedName name="EN_A0400">EN_A0400!$B$4</definedName>
    <definedName name="EN_A0400_BOM">BOM!$C$27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900">EN_A0900!$B$5</definedName>
    <definedName name="EN_A0900_BOM">BOM!$C$37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BOM!$C$47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BOM!$C$52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52511"/>
</workbook>
</file>

<file path=xl/calcChain.xml><?xml version="1.0" encoding="utf-8"?>
<calcChain xmlns="http://schemas.openxmlformats.org/spreadsheetml/2006/main">
  <c r="N23" i="21" l="1"/>
  <c r="I35" i="21"/>
  <c r="N22" i="21"/>
  <c r="I30" i="21"/>
  <c r="B1" i="35"/>
  <c r="B1" i="33"/>
  <c r="B1" i="31"/>
  <c r="B1" i="29"/>
  <c r="B1" i="27"/>
  <c r="M26" i="8" l="1"/>
  <c r="M25" i="8"/>
  <c r="M24" i="8"/>
  <c r="M23" i="8"/>
  <c r="M22" i="8"/>
  <c r="L27" i="8"/>
  <c r="L26" i="8"/>
  <c r="L25" i="8"/>
  <c r="L24" i="8"/>
  <c r="L23" i="8"/>
  <c r="L22" i="8"/>
  <c r="K27" i="8"/>
  <c r="K26" i="8"/>
  <c r="K25" i="8"/>
  <c r="K24" i="8"/>
  <c r="K23" i="8"/>
  <c r="I26" i="8"/>
  <c r="I25" i="8"/>
  <c r="J26" i="8"/>
  <c r="J25" i="8"/>
  <c r="J24" i="8"/>
  <c r="J23" i="8"/>
  <c r="I24" i="8"/>
  <c r="I23" i="8"/>
  <c r="I22" i="8"/>
  <c r="B17" i="21"/>
  <c r="B16" i="21"/>
  <c r="B15" i="21"/>
  <c r="B14" i="21"/>
  <c r="B13" i="21"/>
  <c r="N2" i="34"/>
  <c r="N2" i="32"/>
  <c r="N2" i="30"/>
  <c r="N2" i="28"/>
  <c r="H56" i="8" l="1"/>
  <c r="N56" i="8" s="1"/>
  <c r="N52" i="8"/>
  <c r="N53" i="8"/>
  <c r="N54" i="8"/>
  <c r="N55" i="8"/>
  <c r="N57" i="8"/>
  <c r="N58" i="8"/>
  <c r="M52" i="8"/>
  <c r="L52" i="8"/>
  <c r="K58" i="8"/>
  <c r="K57" i="8"/>
  <c r="K56" i="8"/>
  <c r="K55" i="8"/>
  <c r="K54" i="8"/>
  <c r="K53" i="8"/>
  <c r="K52" i="8"/>
  <c r="J58" i="8"/>
  <c r="J57" i="8"/>
  <c r="J56" i="8"/>
  <c r="J55" i="8"/>
  <c r="J54" i="8"/>
  <c r="J53" i="8"/>
  <c r="J52" i="8"/>
  <c r="I58" i="8"/>
  <c r="I57" i="8"/>
  <c r="I56" i="8"/>
  <c r="I55" i="8"/>
  <c r="I54" i="8"/>
  <c r="I53" i="8"/>
  <c r="I52" i="8"/>
  <c r="F58" i="8"/>
  <c r="F57" i="8"/>
  <c r="F56" i="8"/>
  <c r="F55" i="8"/>
  <c r="F54" i="8"/>
  <c r="F53" i="8"/>
  <c r="E54" i="8"/>
  <c r="E55" i="8"/>
  <c r="E56" i="8"/>
  <c r="E57" i="8"/>
  <c r="E58" i="8"/>
  <c r="E53" i="8"/>
  <c r="F52" i="8"/>
  <c r="C58" i="8"/>
  <c r="C57" i="8"/>
  <c r="C56" i="8"/>
  <c r="C55" i="8"/>
  <c r="C54" i="8"/>
  <c r="C53" i="8"/>
  <c r="C52" i="8"/>
  <c r="B54" i="8"/>
  <c r="B55" i="8"/>
  <c r="B56" i="8"/>
  <c r="B57" i="8"/>
  <c r="B58" i="8"/>
  <c r="B53" i="8"/>
  <c r="B52" i="8"/>
  <c r="L47" i="8"/>
  <c r="K51" i="8"/>
  <c r="K50" i="8"/>
  <c r="K48" i="8"/>
  <c r="K47" i="8"/>
  <c r="J51" i="8"/>
  <c r="J50" i="8"/>
  <c r="J48" i="8"/>
  <c r="J47" i="8"/>
  <c r="I51" i="8"/>
  <c r="I50" i="8"/>
  <c r="I49" i="8"/>
  <c r="I48" i="8"/>
  <c r="I47" i="8"/>
  <c r="F51" i="8"/>
  <c r="F50" i="8"/>
  <c r="F49" i="8"/>
  <c r="F48" i="8"/>
  <c r="F47" i="8"/>
  <c r="E50" i="8" s="1"/>
  <c r="C51" i="8"/>
  <c r="C50" i="8"/>
  <c r="C49" i="8"/>
  <c r="C48" i="8"/>
  <c r="C47" i="8"/>
  <c r="B49" i="8"/>
  <c r="B50" i="8"/>
  <c r="B51" i="8"/>
  <c r="B48" i="8"/>
  <c r="B47" i="8"/>
  <c r="A1" i="82"/>
  <c r="A1" i="80"/>
  <c r="A1" i="78"/>
  <c r="A1" i="76"/>
  <c r="A1" i="70"/>
  <c r="A1" i="63"/>
  <c r="A1" i="61"/>
  <c r="A1" i="59"/>
  <c r="A1" i="57"/>
  <c r="A1" i="55"/>
  <c r="A1" i="53"/>
  <c r="H58" i="8" l="1"/>
  <c r="H57" i="8"/>
  <c r="H54" i="8"/>
  <c r="H53" i="8"/>
  <c r="H52" i="8"/>
  <c r="H55" i="8"/>
  <c r="E48" i="8"/>
  <c r="E49" i="8"/>
  <c r="E51" i="8"/>
  <c r="H48" i="8"/>
  <c r="N48" i="8" s="1"/>
  <c r="H47" i="8"/>
  <c r="N47" i="8" s="1"/>
  <c r="H50" i="8"/>
  <c r="N50" i="8" s="1"/>
  <c r="H51" i="8"/>
  <c r="N51" i="8" s="1"/>
  <c r="M37" i="8"/>
  <c r="L38" i="8"/>
  <c r="L37" i="8"/>
  <c r="K46" i="8"/>
  <c r="K45" i="8"/>
  <c r="K44" i="8"/>
  <c r="K43" i="8"/>
  <c r="K42" i="8"/>
  <c r="K41" i="8"/>
  <c r="K40" i="8"/>
  <c r="K39" i="8"/>
  <c r="K38" i="8"/>
  <c r="K37" i="8"/>
  <c r="J46" i="8"/>
  <c r="J45" i="8"/>
  <c r="J44" i="8"/>
  <c r="J43" i="8"/>
  <c r="J42" i="8"/>
  <c r="J41" i="8"/>
  <c r="J40" i="8"/>
  <c r="J39" i="8"/>
  <c r="J38" i="8"/>
  <c r="J37" i="8"/>
  <c r="I40" i="8"/>
  <c r="I46" i="8"/>
  <c r="I45" i="8"/>
  <c r="I44" i="8"/>
  <c r="I43" i="8"/>
  <c r="I42" i="8"/>
  <c r="I41" i="8"/>
  <c r="I39" i="8"/>
  <c r="I38" i="8"/>
  <c r="I37" i="8"/>
  <c r="F46" i="8"/>
  <c r="F45" i="8"/>
  <c r="F44" i="8"/>
  <c r="F43" i="8"/>
  <c r="F42" i="8"/>
  <c r="F41" i="8"/>
  <c r="F40" i="8"/>
  <c r="F39" i="8"/>
  <c r="F38" i="8"/>
  <c r="F37" i="8"/>
  <c r="E41" i="8" s="1"/>
  <c r="C46" i="8"/>
  <c r="C45" i="8"/>
  <c r="C44" i="8"/>
  <c r="C43" i="8"/>
  <c r="C42" i="8"/>
  <c r="C41" i="8"/>
  <c r="C40" i="8"/>
  <c r="C39" i="8"/>
  <c r="C38" i="8"/>
  <c r="C37" i="8"/>
  <c r="B46" i="8"/>
  <c r="B39" i="8"/>
  <c r="B40" i="8"/>
  <c r="B41" i="8"/>
  <c r="B42" i="8"/>
  <c r="B43" i="8"/>
  <c r="B44" i="8"/>
  <c r="B45" i="8"/>
  <c r="B38" i="8"/>
  <c r="B37" i="8"/>
  <c r="B27" i="8"/>
  <c r="M36" i="8"/>
  <c r="L36" i="8"/>
  <c r="K36" i="8"/>
  <c r="J36" i="8"/>
  <c r="I36" i="8"/>
  <c r="F36" i="8"/>
  <c r="B36" i="8"/>
  <c r="M35" i="8"/>
  <c r="L35" i="8"/>
  <c r="K35" i="8"/>
  <c r="J35" i="8"/>
  <c r="I35" i="8"/>
  <c r="F35" i="8"/>
  <c r="B35" i="8"/>
  <c r="M34" i="8"/>
  <c r="L34" i="8"/>
  <c r="K34" i="8"/>
  <c r="J34" i="8"/>
  <c r="I34" i="8"/>
  <c r="F34" i="8"/>
  <c r="B34" i="8"/>
  <c r="M33" i="8"/>
  <c r="L33" i="8"/>
  <c r="K33" i="8"/>
  <c r="J33" i="8"/>
  <c r="I33" i="8"/>
  <c r="F33" i="8"/>
  <c r="B33" i="8"/>
  <c r="M32" i="8"/>
  <c r="L32" i="8"/>
  <c r="K32" i="8"/>
  <c r="J32" i="8"/>
  <c r="I32" i="8"/>
  <c r="F32" i="8"/>
  <c r="B32" i="8"/>
  <c r="M31" i="8"/>
  <c r="L31" i="8"/>
  <c r="K31" i="8"/>
  <c r="J31" i="8"/>
  <c r="I31" i="8"/>
  <c r="F31" i="8"/>
  <c r="B31" i="8"/>
  <c r="M30" i="8"/>
  <c r="L30" i="8"/>
  <c r="K30" i="8"/>
  <c r="J30" i="8"/>
  <c r="I30" i="8"/>
  <c r="F30" i="8"/>
  <c r="B30" i="8"/>
  <c r="M29" i="8"/>
  <c r="L29" i="8"/>
  <c r="K29" i="8"/>
  <c r="J29" i="8"/>
  <c r="I29" i="8"/>
  <c r="F29" i="8"/>
  <c r="B29" i="8"/>
  <c r="M28" i="8"/>
  <c r="L28" i="8"/>
  <c r="K28" i="8"/>
  <c r="J28" i="8"/>
  <c r="I28" i="8"/>
  <c r="F28" i="8"/>
  <c r="B28" i="8"/>
  <c r="M27" i="8"/>
  <c r="J27" i="8"/>
  <c r="I27" i="8"/>
  <c r="F27" i="8"/>
  <c r="E30" i="8" s="1"/>
  <c r="B59" i="8"/>
  <c r="B18" i="8"/>
  <c r="F25" i="8"/>
  <c r="F26" i="8"/>
  <c r="B26" i="8"/>
  <c r="B25" i="8"/>
  <c r="F24" i="8"/>
  <c r="B24" i="8"/>
  <c r="F23" i="8"/>
  <c r="B23" i="8"/>
  <c r="F22" i="8"/>
  <c r="B22" i="8"/>
  <c r="M21" i="8"/>
  <c r="L21" i="8"/>
  <c r="K21" i="8"/>
  <c r="J21" i="8"/>
  <c r="I21" i="8"/>
  <c r="F21" i="8"/>
  <c r="B21" i="8"/>
  <c r="M20" i="8"/>
  <c r="L20" i="8"/>
  <c r="J20" i="8"/>
  <c r="I20" i="8"/>
  <c r="F20" i="8"/>
  <c r="B20" i="8"/>
  <c r="M19" i="8"/>
  <c r="L19" i="8"/>
  <c r="K19" i="8"/>
  <c r="J19" i="8"/>
  <c r="I19" i="8"/>
  <c r="F19" i="8"/>
  <c r="B19" i="8"/>
  <c r="I18" i="8"/>
  <c r="F18" i="8"/>
  <c r="E23" i="8" s="1"/>
  <c r="M16" i="8"/>
  <c r="M14" i="8"/>
  <c r="M13" i="8"/>
  <c r="M11" i="8"/>
  <c r="M10" i="8"/>
  <c r="K17" i="8"/>
  <c r="K16" i="8"/>
  <c r="K15" i="8"/>
  <c r="K14" i="8"/>
  <c r="K13" i="8"/>
  <c r="K12" i="8"/>
  <c r="K11" i="8"/>
  <c r="K10" i="8"/>
  <c r="K9" i="8"/>
  <c r="K8" i="8"/>
  <c r="J17" i="8"/>
  <c r="J16" i="8"/>
  <c r="J15" i="8"/>
  <c r="J14" i="8"/>
  <c r="J13" i="8"/>
  <c r="J12" i="8"/>
  <c r="J11" i="8"/>
  <c r="J10" i="8"/>
  <c r="J9" i="8"/>
  <c r="J8" i="8"/>
  <c r="I17" i="8"/>
  <c r="I16" i="8"/>
  <c r="I15" i="8"/>
  <c r="I14" i="8"/>
  <c r="I13" i="8"/>
  <c r="I12" i="8"/>
  <c r="I11" i="8"/>
  <c r="I10" i="8"/>
  <c r="I9" i="8"/>
  <c r="I8" i="8"/>
  <c r="F17" i="8"/>
  <c r="F16" i="8"/>
  <c r="F15" i="8"/>
  <c r="F14" i="8"/>
  <c r="F13" i="8"/>
  <c r="F12" i="8"/>
  <c r="F11" i="8"/>
  <c r="F10" i="8"/>
  <c r="F9" i="8"/>
  <c r="F8" i="8"/>
  <c r="F7" i="8"/>
  <c r="E9" i="8" s="1"/>
  <c r="C17" i="8"/>
  <c r="C16" i="8"/>
  <c r="C15" i="8"/>
  <c r="C14" i="8"/>
  <c r="C13" i="8"/>
  <c r="C12" i="8"/>
  <c r="C11" i="8"/>
  <c r="C10" i="8"/>
  <c r="C9" i="8"/>
  <c r="C8" i="8"/>
  <c r="C7" i="8"/>
  <c r="B9" i="8"/>
  <c r="B10" i="8"/>
  <c r="B11" i="8"/>
  <c r="B12" i="8"/>
  <c r="B13" i="8"/>
  <c r="B14" i="8"/>
  <c r="B15" i="8"/>
  <c r="B16" i="8"/>
  <c r="B17" i="8"/>
  <c r="B8" i="8"/>
  <c r="B7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B3" i="95"/>
  <c r="B4" i="95"/>
  <c r="N11" i="95"/>
  <c r="N12" i="95"/>
  <c r="N2" i="95" s="1"/>
  <c r="I15" i="95"/>
  <c r="I17" i="95" s="1"/>
  <c r="I16" i="95"/>
  <c r="I20" i="95"/>
  <c r="I21" i="95" s="1"/>
  <c r="B3" i="94"/>
  <c r="B4" i="94"/>
  <c r="N11" i="94"/>
  <c r="J12" i="94"/>
  <c r="N12" i="94"/>
  <c r="N14" i="94" s="1"/>
  <c r="N2" i="94" s="1"/>
  <c r="N13" i="94"/>
  <c r="I17" i="94"/>
  <c r="I22" i="94" s="1"/>
  <c r="I18" i="94"/>
  <c r="I19" i="94"/>
  <c r="I20" i="94"/>
  <c r="I21" i="94"/>
  <c r="B3" i="93"/>
  <c r="B4" i="93"/>
  <c r="J11" i="93"/>
  <c r="N11" i="93"/>
  <c r="N12" i="93" s="1"/>
  <c r="F15" i="93"/>
  <c r="I15" i="93" s="1"/>
  <c r="I16" i="93"/>
  <c r="I17" i="93"/>
  <c r="F18" i="93"/>
  <c r="I18" i="93" s="1"/>
  <c r="I22" i="93"/>
  <c r="I23" i="93"/>
  <c r="B3" i="92"/>
  <c r="B4" i="92"/>
  <c r="J11" i="92"/>
  <c r="K11" i="92"/>
  <c r="N11" i="92" s="1"/>
  <c r="N13" i="92" s="1"/>
  <c r="J12" i="92"/>
  <c r="N12" i="92" s="1"/>
  <c r="F16" i="92"/>
  <c r="I16" i="92"/>
  <c r="I17" i="92"/>
  <c r="F18" i="92"/>
  <c r="I18" i="92" s="1"/>
  <c r="I22" i="92"/>
  <c r="I23" i="92"/>
  <c r="B3" i="91"/>
  <c r="B4" i="91"/>
  <c r="J11" i="91"/>
  <c r="K11" i="91"/>
  <c r="N11" i="91"/>
  <c r="N12" i="91"/>
  <c r="F15" i="91"/>
  <c r="I15" i="91"/>
  <c r="I16" i="91" s="1"/>
  <c r="B3" i="90"/>
  <c r="B4" i="90"/>
  <c r="J11" i="90"/>
  <c r="K11" i="90"/>
  <c r="N11" i="90"/>
  <c r="J12" i="90"/>
  <c r="N12" i="90" s="1"/>
  <c r="F16" i="90"/>
  <c r="I16" i="90"/>
  <c r="I17" i="90"/>
  <c r="F18" i="90"/>
  <c r="I18" i="90"/>
  <c r="I19" i="90"/>
  <c r="I22" i="90"/>
  <c r="I23" i="90"/>
  <c r="B3" i="89"/>
  <c r="B4" i="89"/>
  <c r="J11" i="89"/>
  <c r="N11" i="89"/>
  <c r="N12" i="89" s="1"/>
  <c r="F15" i="89"/>
  <c r="I15" i="89" s="1"/>
  <c r="I16" i="89"/>
  <c r="I17" i="89"/>
  <c r="F18" i="89"/>
  <c r="I18" i="89" s="1"/>
  <c r="I23" i="89"/>
  <c r="I24" i="89"/>
  <c r="B1" i="88"/>
  <c r="B3" i="87"/>
  <c r="B4" i="87"/>
  <c r="J11" i="87"/>
  <c r="E11" i="87" s="1"/>
  <c r="N11" i="87" s="1"/>
  <c r="N12" i="87" s="1"/>
  <c r="N2" i="87" s="1"/>
  <c r="I15" i="87"/>
  <c r="I16" i="87"/>
  <c r="I17" i="87"/>
  <c r="B1" i="86"/>
  <c r="B3" i="85"/>
  <c r="B4" i="85"/>
  <c r="E11" i="85"/>
  <c r="N11" i="85" s="1"/>
  <c r="N12" i="85" s="1"/>
  <c r="N2" i="85" s="1"/>
  <c r="J11" i="85"/>
  <c r="I15" i="85"/>
  <c r="I16" i="85"/>
  <c r="I17" i="85"/>
  <c r="I18" i="85"/>
  <c r="I19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J53" i="84" s="1"/>
  <c r="D48" i="84"/>
  <c r="J48" i="84" s="1"/>
  <c r="J49" i="84"/>
  <c r="J50" i="84"/>
  <c r="J51" i="84"/>
  <c r="J52" i="84"/>
  <c r="I56" i="84"/>
  <c r="I57" i="84"/>
  <c r="H39" i="8" l="1"/>
  <c r="H41" i="8"/>
  <c r="N41" i="8" s="1"/>
  <c r="H40" i="8"/>
  <c r="H44" i="8"/>
  <c r="N44" i="8" s="1"/>
  <c r="E40" i="8"/>
  <c r="E38" i="8"/>
  <c r="E39" i="8"/>
  <c r="E46" i="8"/>
  <c r="E42" i="8"/>
  <c r="E44" i="8"/>
  <c r="E43" i="8"/>
  <c r="E45" i="8"/>
  <c r="H38" i="8"/>
  <c r="N38" i="8" s="1"/>
  <c r="H45" i="8"/>
  <c r="N45" i="8" s="1"/>
  <c r="H37" i="8"/>
  <c r="N37" i="8" s="1"/>
  <c r="H43" i="8"/>
  <c r="N43" i="8" s="1"/>
  <c r="H46" i="8"/>
  <c r="N46" i="8" s="1"/>
  <c r="H42" i="8"/>
  <c r="N42" i="8" s="1"/>
  <c r="N40" i="8"/>
  <c r="N39" i="8"/>
  <c r="E36" i="8"/>
  <c r="E33" i="8"/>
  <c r="E32" i="8"/>
  <c r="H27" i="8"/>
  <c r="N27" i="8" s="1"/>
  <c r="H28" i="8"/>
  <c r="N28" i="8" s="1"/>
  <c r="H31" i="8"/>
  <c r="N31" i="8" s="1"/>
  <c r="H32" i="8"/>
  <c r="N32" i="8" s="1"/>
  <c r="H35" i="8"/>
  <c r="N35" i="8" s="1"/>
  <c r="H36" i="8"/>
  <c r="N36" i="8" s="1"/>
  <c r="E28" i="8"/>
  <c r="E29" i="8"/>
  <c r="E26" i="8"/>
  <c r="E22" i="8"/>
  <c r="H29" i="8"/>
  <c r="N29" i="8" s="1"/>
  <c r="H30" i="8"/>
  <c r="N30" i="8" s="1"/>
  <c r="H33" i="8"/>
  <c r="N33" i="8" s="1"/>
  <c r="H34" i="8"/>
  <c r="N34" i="8" s="1"/>
  <c r="E25" i="8"/>
  <c r="E21" i="8"/>
  <c r="E35" i="8"/>
  <c r="E31" i="8"/>
  <c r="E24" i="8"/>
  <c r="E20" i="8"/>
  <c r="E34" i="8"/>
  <c r="E19" i="8"/>
  <c r="H25" i="8"/>
  <c r="N25" i="8" s="1"/>
  <c r="H19" i="8"/>
  <c r="N19" i="8" s="1"/>
  <c r="H23" i="8"/>
  <c r="N23" i="8" s="1"/>
  <c r="H26" i="8"/>
  <c r="N26" i="8" s="1"/>
  <c r="H24" i="8"/>
  <c r="N24" i="8" s="1"/>
  <c r="H21" i="8"/>
  <c r="N21" i="8" s="1"/>
  <c r="E15" i="8"/>
  <c r="E10" i="8"/>
  <c r="E8" i="8"/>
  <c r="E12" i="8"/>
  <c r="E14" i="8"/>
  <c r="E16" i="8"/>
  <c r="E11" i="8"/>
  <c r="E17" i="8"/>
  <c r="E13" i="8"/>
  <c r="C19" i="84"/>
  <c r="N5" i="96"/>
  <c r="C18" i="84"/>
  <c r="N5" i="95"/>
  <c r="C17" i="84"/>
  <c r="N5" i="94"/>
  <c r="I19" i="93"/>
  <c r="N2" i="93" s="1"/>
  <c r="I19" i="92"/>
  <c r="N2" i="92" s="1"/>
  <c r="N2" i="91"/>
  <c r="N13" i="90"/>
  <c r="N2" i="90" s="1"/>
  <c r="I19" i="89"/>
  <c r="N2" i="89" s="1"/>
  <c r="C11" i="84"/>
  <c r="E11" i="84" s="1"/>
  <c r="N5" i="87"/>
  <c r="C10" i="84"/>
  <c r="E10" i="84" s="1"/>
  <c r="N5" i="85"/>
  <c r="E18" i="84"/>
  <c r="E17" i="84"/>
  <c r="E19" i="84"/>
  <c r="I43" i="84"/>
  <c r="J11" i="83"/>
  <c r="N11" i="83" s="1"/>
  <c r="N12" i="83" s="1"/>
  <c r="N2" i="83" s="1"/>
  <c r="I15" i="83"/>
  <c r="F16" i="83"/>
  <c r="I16" i="83" s="1"/>
  <c r="I21" i="83" s="1"/>
  <c r="I17" i="83"/>
  <c r="F18" i="83"/>
  <c r="I18" i="83"/>
  <c r="I19" i="83"/>
  <c r="I20" i="83"/>
  <c r="J11" i="81"/>
  <c r="N11" i="81" s="1"/>
  <c r="N12" i="81" s="1"/>
  <c r="N2" i="81" s="1"/>
  <c r="K11" i="81"/>
  <c r="I15" i="81"/>
  <c r="I17" i="81" s="1"/>
  <c r="F16" i="81"/>
  <c r="I16" i="81"/>
  <c r="J11" i="79"/>
  <c r="N11" i="79" s="1"/>
  <c r="N12" i="79" s="1"/>
  <c r="N2" i="79" s="1"/>
  <c r="K11" i="79"/>
  <c r="I15" i="79"/>
  <c r="I17" i="79" s="1"/>
  <c r="F16" i="79"/>
  <c r="I16" i="79"/>
  <c r="J11" i="77"/>
  <c r="N11" i="77" s="1"/>
  <c r="N12" i="77" s="1"/>
  <c r="N2" i="77" s="1"/>
  <c r="K11" i="77"/>
  <c r="I15" i="77"/>
  <c r="F16" i="77"/>
  <c r="I16" i="77"/>
  <c r="I17" i="77"/>
  <c r="I18" i="77"/>
  <c r="J11" i="75"/>
  <c r="N11" i="75" s="1"/>
  <c r="N12" i="75" s="1"/>
  <c r="I15" i="75"/>
  <c r="I18" i="75" s="1"/>
  <c r="I16" i="75"/>
  <c r="I17" i="75"/>
  <c r="J11" i="74"/>
  <c r="N11" i="74" s="1"/>
  <c r="N12" i="74" s="1"/>
  <c r="I15" i="74"/>
  <c r="F16" i="74"/>
  <c r="I16" i="74" s="1"/>
  <c r="I19" i="74" s="1"/>
  <c r="I17" i="74"/>
  <c r="I18" i="74"/>
  <c r="D10" i="73"/>
  <c r="D11" i="73"/>
  <c r="D12" i="73"/>
  <c r="D13" i="73"/>
  <c r="D14" i="73"/>
  <c r="D15" i="73"/>
  <c r="N19" i="73"/>
  <c r="E20" i="73"/>
  <c r="N20" i="73"/>
  <c r="N21" i="73" s="1"/>
  <c r="I24" i="73"/>
  <c r="F25" i="73"/>
  <c r="I25" i="73"/>
  <c r="I42" i="73" s="1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J11" i="71"/>
  <c r="N11" i="71" s="1"/>
  <c r="N12" i="71" s="1"/>
  <c r="I15" i="71"/>
  <c r="I17" i="71"/>
  <c r="F18" i="71"/>
  <c r="I18" i="71"/>
  <c r="I19" i="71"/>
  <c r="F20" i="71"/>
  <c r="I20" i="71"/>
  <c r="J11" i="69"/>
  <c r="N11" i="69" s="1"/>
  <c r="N12" i="69" s="1"/>
  <c r="I15" i="69"/>
  <c r="I17" i="69"/>
  <c r="F18" i="69"/>
  <c r="I18" i="69"/>
  <c r="I19" i="69"/>
  <c r="F20" i="69"/>
  <c r="I20" i="69"/>
  <c r="J11" i="68"/>
  <c r="N11" i="68" s="1"/>
  <c r="N12" i="68" s="1"/>
  <c r="I15" i="68"/>
  <c r="I16" i="68"/>
  <c r="I17" i="68"/>
  <c r="I18" i="68"/>
  <c r="I19" i="68"/>
  <c r="I20" i="68"/>
  <c r="I21" i="68"/>
  <c r="I22" i="68"/>
  <c r="J11" i="67"/>
  <c r="N11" i="67" s="1"/>
  <c r="N13" i="67" s="1"/>
  <c r="N2" i="67" s="1"/>
  <c r="I16" i="67"/>
  <c r="I17" i="67"/>
  <c r="I22" i="67" s="1"/>
  <c r="I18" i="67"/>
  <c r="I19" i="67"/>
  <c r="I20" i="67"/>
  <c r="I21" i="67"/>
  <c r="D10" i="66"/>
  <c r="D11" i="66"/>
  <c r="D12" i="66"/>
  <c r="D13" i="66"/>
  <c r="N17" i="66"/>
  <c r="N19" i="66" s="1"/>
  <c r="N18" i="66"/>
  <c r="I22" i="66"/>
  <c r="I23" i="66"/>
  <c r="I34" i="66" s="1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D38" i="66"/>
  <c r="E38" i="66"/>
  <c r="J38" i="66"/>
  <c r="E39" i="66"/>
  <c r="D39" i="66" s="1"/>
  <c r="J39" i="66" s="1"/>
  <c r="D40" i="66"/>
  <c r="J40" i="66" s="1"/>
  <c r="J41" i="66"/>
  <c r="J11" i="64"/>
  <c r="E11" i="64" s="1"/>
  <c r="K11" i="64"/>
  <c r="N11" i="64"/>
  <c r="N13" i="64"/>
  <c r="I16" i="64"/>
  <c r="I18" i="64" s="1"/>
  <c r="I17" i="64"/>
  <c r="J11" i="62"/>
  <c r="N11" i="62" s="1"/>
  <c r="N13" i="62" s="1"/>
  <c r="N2" i="62" s="1"/>
  <c r="K11" i="62"/>
  <c r="I16" i="62"/>
  <c r="I18" i="62" s="1"/>
  <c r="I17" i="62"/>
  <c r="J11" i="60"/>
  <c r="N11" i="60" s="1"/>
  <c r="N12" i="60" s="1"/>
  <c r="K11" i="60"/>
  <c r="H15" i="60"/>
  <c r="I15" i="60" s="1"/>
  <c r="I17" i="60" s="1"/>
  <c r="I16" i="60"/>
  <c r="J11" i="58"/>
  <c r="N11" i="58" s="1"/>
  <c r="N12" i="58" s="1"/>
  <c r="N2" i="58" s="1"/>
  <c r="K11" i="58"/>
  <c r="H15" i="58"/>
  <c r="I15" i="58" s="1"/>
  <c r="I17" i="58" s="1"/>
  <c r="I16" i="58"/>
  <c r="J11" i="56"/>
  <c r="N11" i="56" s="1"/>
  <c r="N13" i="56" s="1"/>
  <c r="N2" i="56" s="1"/>
  <c r="K11" i="56"/>
  <c r="I16" i="56"/>
  <c r="I18" i="56" s="1"/>
  <c r="I17" i="56"/>
  <c r="P7" i="54"/>
  <c r="E11" i="54"/>
  <c r="J11" i="54"/>
  <c r="N11" i="54" s="1"/>
  <c r="N13" i="54" s="1"/>
  <c r="N2" i="54" s="1"/>
  <c r="K11" i="54"/>
  <c r="I16" i="54"/>
  <c r="I18" i="54" s="1"/>
  <c r="I17" i="54"/>
  <c r="J11" i="52"/>
  <c r="E11" i="52" s="1"/>
  <c r="N11" i="52" s="1"/>
  <c r="N13" i="52" s="1"/>
  <c r="N2" i="52" s="1"/>
  <c r="I16" i="52"/>
  <c r="I18" i="52" s="1"/>
  <c r="I17" i="52"/>
  <c r="J11" i="50"/>
  <c r="E11" i="50" s="1"/>
  <c r="N11" i="50" s="1"/>
  <c r="N13" i="50" s="1"/>
  <c r="N2" i="50" s="1"/>
  <c r="I16" i="50"/>
  <c r="I18" i="50" s="1"/>
  <c r="I17" i="50"/>
  <c r="J11" i="49"/>
  <c r="N11" i="49" s="1"/>
  <c r="N15" i="49" s="1"/>
  <c r="J12" i="49"/>
  <c r="E12" i="49" s="1"/>
  <c r="N12" i="49"/>
  <c r="J13" i="49"/>
  <c r="E13" i="49" s="1"/>
  <c r="N13" i="49"/>
  <c r="N14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/>
  <c r="N27" i="48" s="1"/>
  <c r="D23" i="48"/>
  <c r="N23" i="48"/>
  <c r="E24" i="48"/>
  <c r="N24" i="48"/>
  <c r="N25" i="48"/>
  <c r="N26" i="48"/>
  <c r="I30" i="48"/>
  <c r="I44" i="48" s="1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J56" i="48" s="1"/>
  <c r="D48" i="48"/>
  <c r="J48" i="48" s="1"/>
  <c r="D49" i="48"/>
  <c r="J49" i="48" s="1"/>
  <c r="D50" i="48"/>
  <c r="J50" i="48" s="1"/>
  <c r="J51" i="48"/>
  <c r="D52" i="48"/>
  <c r="J52" i="48"/>
  <c r="D53" i="48"/>
  <c r="J53" i="48"/>
  <c r="D54" i="48"/>
  <c r="J54" i="48"/>
  <c r="D55" i="48"/>
  <c r="J55" i="48"/>
  <c r="I59" i="48"/>
  <c r="I60" i="48" s="1"/>
  <c r="J49" i="8" l="1"/>
  <c r="I23" i="68"/>
  <c r="K49" i="8" s="1"/>
  <c r="C16" i="84"/>
  <c r="E16" i="84" s="1"/>
  <c r="N5" i="93"/>
  <c r="C15" i="84"/>
  <c r="E15" i="84" s="1"/>
  <c r="N5" i="92"/>
  <c r="C14" i="84"/>
  <c r="E14" i="84" s="1"/>
  <c r="N5" i="91"/>
  <c r="C13" i="84"/>
  <c r="E13" i="84" s="1"/>
  <c r="N5" i="90"/>
  <c r="C12" i="84"/>
  <c r="E12" i="84" s="1"/>
  <c r="N5" i="89"/>
  <c r="N5" i="83"/>
  <c r="C10" i="73"/>
  <c r="E10" i="73" s="1"/>
  <c r="E11" i="83"/>
  <c r="N5" i="81"/>
  <c r="C15" i="73"/>
  <c r="E15" i="73" s="1"/>
  <c r="E11" i="81"/>
  <c r="C14" i="73"/>
  <c r="E14" i="73" s="1"/>
  <c r="N5" i="79"/>
  <c r="E11" i="79"/>
  <c r="N5" i="77"/>
  <c r="C13" i="73"/>
  <c r="E13" i="73" s="1"/>
  <c r="E11" i="77"/>
  <c r="N2" i="75"/>
  <c r="E11" i="75"/>
  <c r="N2" i="74"/>
  <c r="E11" i="74"/>
  <c r="J56" i="73"/>
  <c r="E11" i="71"/>
  <c r="F16" i="71"/>
  <c r="I16" i="71" s="1"/>
  <c r="I21" i="71" s="1"/>
  <c r="N2" i="71" s="1"/>
  <c r="E11" i="69"/>
  <c r="F16" i="69"/>
  <c r="I16" i="69" s="1"/>
  <c r="I21" i="69" s="1"/>
  <c r="N2" i="69" s="1"/>
  <c r="E11" i="68"/>
  <c r="N5" i="67"/>
  <c r="C10" i="66"/>
  <c r="E10" i="66" s="1"/>
  <c r="E11" i="67"/>
  <c r="J42" i="66"/>
  <c r="N2" i="64"/>
  <c r="N5" i="62"/>
  <c r="C17" i="48"/>
  <c r="E17" i="48" s="1"/>
  <c r="E11" i="62"/>
  <c r="N2" i="60"/>
  <c r="E11" i="60"/>
  <c r="C15" i="48"/>
  <c r="E15" i="48" s="1"/>
  <c r="N5" i="58"/>
  <c r="E11" i="58"/>
  <c r="N5" i="56"/>
  <c r="C14" i="48"/>
  <c r="E14" i="48" s="1"/>
  <c r="E11" i="56"/>
  <c r="N5" i="54"/>
  <c r="C13" i="48"/>
  <c r="E13" i="48" s="1"/>
  <c r="C12" i="48"/>
  <c r="E12" i="48" s="1"/>
  <c r="N5" i="52"/>
  <c r="N5" i="50"/>
  <c r="C11" i="48"/>
  <c r="E11" i="48" s="1"/>
  <c r="J39" i="49"/>
  <c r="N2" i="49"/>
  <c r="E11" i="49"/>
  <c r="H49" i="8" l="1"/>
  <c r="N49" i="8" s="1"/>
  <c r="N2" i="68"/>
  <c r="E20" i="84"/>
  <c r="N2" i="84" s="1"/>
  <c r="N5" i="84" s="1"/>
  <c r="N5" i="75"/>
  <c r="C12" i="73"/>
  <c r="E12" i="73" s="1"/>
  <c r="N5" i="74"/>
  <c r="C11" i="73"/>
  <c r="E11" i="73" s="1"/>
  <c r="N5" i="71"/>
  <c r="C13" i="66"/>
  <c r="E13" i="66" s="1"/>
  <c r="N5" i="69"/>
  <c r="C12" i="66"/>
  <c r="E12" i="66" s="1"/>
  <c r="N5" i="64"/>
  <c r="C18" i="48"/>
  <c r="E18" i="48" s="1"/>
  <c r="N5" i="60"/>
  <c r="C16" i="48"/>
  <c r="E16" i="48" s="1"/>
  <c r="N5" i="49"/>
  <c r="C10" i="48"/>
  <c r="E10" i="48" s="1"/>
  <c r="C11" i="66" l="1"/>
  <c r="E11" i="66" s="1"/>
  <c r="E14" i="66" s="1"/>
  <c r="N2" i="66" s="1"/>
  <c r="N5" i="66" s="1"/>
  <c r="N5" i="68"/>
  <c r="E16" i="73"/>
  <c r="N2" i="73" s="1"/>
  <c r="N5" i="73" s="1"/>
  <c r="E19" i="48"/>
  <c r="N2" i="48" s="1"/>
  <c r="N5" i="48" s="1"/>
  <c r="B3" i="46" l="1"/>
  <c r="B4" i="46"/>
  <c r="N11" i="46"/>
  <c r="N12" i="46"/>
  <c r="N2" i="46" s="1"/>
  <c r="I15" i="46"/>
  <c r="I17" i="46" s="1"/>
  <c r="I16" i="46"/>
  <c r="B3" i="45"/>
  <c r="B4" i="45"/>
  <c r="N11" i="45"/>
  <c r="N12" i="45"/>
  <c r="N2" i="45" s="1"/>
  <c r="I15" i="45"/>
  <c r="I17" i="45" s="1"/>
  <c r="I16" i="45"/>
  <c r="B3" i="44"/>
  <c r="B4" i="44"/>
  <c r="N11" i="44"/>
  <c r="N12" i="44"/>
  <c r="N2" i="44" s="1"/>
  <c r="I15" i="44"/>
  <c r="I17" i="44" s="1"/>
  <c r="I16" i="44"/>
  <c r="B3" i="43"/>
  <c r="B4" i="43"/>
  <c r="N11" i="43"/>
  <c r="N12" i="43"/>
  <c r="N2" i="43" s="1"/>
  <c r="I15" i="43"/>
  <c r="I16" i="43"/>
  <c r="I19" i="43" s="1"/>
  <c r="I17" i="43"/>
  <c r="I18" i="43"/>
  <c r="B3" i="42"/>
  <c r="B4" i="42"/>
  <c r="N11" i="42"/>
  <c r="N12" i="42"/>
  <c r="N2" i="42" s="1"/>
  <c r="I15" i="42"/>
  <c r="I16" i="42"/>
  <c r="I19" i="42" s="1"/>
  <c r="I17" i="42"/>
  <c r="I18" i="42"/>
  <c r="B3" i="41"/>
  <c r="B4" i="41"/>
  <c r="N11" i="41"/>
  <c r="N12" i="41"/>
  <c r="N2" i="41" s="1"/>
  <c r="I15" i="41"/>
  <c r="I16" i="41"/>
  <c r="I19" i="41" s="1"/>
  <c r="I17" i="41"/>
  <c r="I18" i="41"/>
  <c r="B3" i="40"/>
  <c r="B4" i="40"/>
  <c r="J11" i="40"/>
  <c r="N11" i="40"/>
  <c r="N12" i="40" s="1"/>
  <c r="I15" i="40"/>
  <c r="I19" i="40" s="1"/>
  <c r="I16" i="40"/>
  <c r="I17" i="40"/>
  <c r="I18" i="40"/>
  <c r="B3" i="39"/>
  <c r="B4" i="39"/>
  <c r="N11" i="39"/>
  <c r="N12" i="39"/>
  <c r="N2" i="39" s="1"/>
  <c r="I15" i="39"/>
  <c r="I19" i="39" s="1"/>
  <c r="I16" i="39"/>
  <c r="I17" i="39"/>
  <c r="I18" i="39"/>
  <c r="B3" i="38"/>
  <c r="B4" i="38"/>
  <c r="J11" i="38"/>
  <c r="N11" i="38"/>
  <c r="N12" i="38" s="1"/>
  <c r="I15" i="38"/>
  <c r="I18" i="38" s="1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30" i="37" s="1"/>
  <c r="N25" i="37"/>
  <c r="N26" i="37"/>
  <c r="N27" i="37"/>
  <c r="N28" i="37"/>
  <c r="N29" i="37"/>
  <c r="I33" i="37"/>
  <c r="I34" i="37"/>
  <c r="I35" i="37"/>
  <c r="I54" i="37" s="1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64" i="37" s="1"/>
  <c r="J58" i="37"/>
  <c r="J59" i="37"/>
  <c r="J60" i="37"/>
  <c r="J61" i="37"/>
  <c r="J62" i="37"/>
  <c r="J63" i="37"/>
  <c r="C18" i="37" l="1"/>
  <c r="E18" i="37" s="1"/>
  <c r="N5" i="46"/>
  <c r="N5" i="45"/>
  <c r="C17" i="37"/>
  <c r="E17" i="37" s="1"/>
  <c r="C16" i="37"/>
  <c r="E16" i="37" s="1"/>
  <c r="N5" i="44"/>
  <c r="C15" i="37"/>
  <c r="E15" i="37" s="1"/>
  <c r="N5" i="43"/>
  <c r="C14" i="37"/>
  <c r="E14" i="37" s="1"/>
  <c r="N5" i="42"/>
  <c r="N5" i="41"/>
  <c r="C13" i="37"/>
  <c r="E13" i="37" s="1"/>
  <c r="N2" i="40"/>
  <c r="C11" i="37"/>
  <c r="E11" i="37" s="1"/>
  <c r="N5" i="39"/>
  <c r="N2" i="38"/>
  <c r="N5" i="40" l="1"/>
  <c r="C12" i="37"/>
  <c r="E12" i="37" s="1"/>
  <c r="C10" i="37"/>
  <c r="E10" i="37" s="1"/>
  <c r="N5" i="38"/>
  <c r="E19" i="37" l="1"/>
  <c r="N2" i="37" s="1"/>
  <c r="N5" i="37" s="1"/>
  <c r="B3" i="34"/>
  <c r="B4" i="34"/>
  <c r="N11" i="34"/>
  <c r="N12" i="34"/>
  <c r="I15" i="34"/>
  <c r="I16" i="34"/>
  <c r="I17" i="34" s="1"/>
  <c r="B3" i="32"/>
  <c r="B4" i="32"/>
  <c r="J11" i="32"/>
  <c r="N11" i="32"/>
  <c r="N12" i="32" s="1"/>
  <c r="I15" i="32"/>
  <c r="I18" i="32" s="1"/>
  <c r="I16" i="32"/>
  <c r="I17" i="32"/>
  <c r="B3" i="30"/>
  <c r="B4" i="30"/>
  <c r="J11" i="30"/>
  <c r="N11" i="30"/>
  <c r="N12" i="30"/>
  <c r="I15" i="30"/>
  <c r="I17" i="30" s="1"/>
  <c r="I16" i="30"/>
  <c r="B3" i="28"/>
  <c r="B4" i="28"/>
  <c r="J11" i="28"/>
  <c r="N11" i="28"/>
  <c r="N12" i="28" s="1"/>
  <c r="I15" i="28"/>
  <c r="I17" i="28" s="1"/>
  <c r="I16" i="28"/>
  <c r="B3" i="26"/>
  <c r="B4" i="26"/>
  <c r="J11" i="26"/>
  <c r="N11" i="26"/>
  <c r="N12" i="26"/>
  <c r="I15" i="26"/>
  <c r="I17" i="26" s="1"/>
  <c r="K22" i="8" s="1"/>
  <c r="I16" i="26"/>
  <c r="B3" i="25"/>
  <c r="B4" i="25"/>
  <c r="N11" i="25"/>
  <c r="N12" i="25"/>
  <c r="N2" i="25" s="1"/>
  <c r="I15" i="25"/>
  <c r="I17" i="25" s="1"/>
  <c r="I16" i="25"/>
  <c r="B3" i="23"/>
  <c r="B4" i="23"/>
  <c r="J11" i="23"/>
  <c r="N11" i="23"/>
  <c r="N12" i="23"/>
  <c r="I15" i="23"/>
  <c r="I16" i="23"/>
  <c r="B3" i="22"/>
  <c r="B4" i="22"/>
  <c r="N11" i="22"/>
  <c r="N12" i="22"/>
  <c r="N2" i="22" s="1"/>
  <c r="I15" i="22"/>
  <c r="I17" i="22" s="1"/>
  <c r="I16" i="22"/>
  <c r="B10" i="21"/>
  <c r="D10" i="21"/>
  <c r="B11" i="21"/>
  <c r="D11" i="21"/>
  <c r="B12" i="21"/>
  <c r="D12" i="21"/>
  <c r="D13" i="21"/>
  <c r="D14" i="21"/>
  <c r="D15" i="21"/>
  <c r="D16" i="21"/>
  <c r="D17" i="21"/>
  <c r="N21" i="21"/>
  <c r="N24" i="21"/>
  <c r="N25" i="21"/>
  <c r="I29" i="21"/>
  <c r="I31" i="21"/>
  <c r="I32" i="21"/>
  <c r="I33" i="21"/>
  <c r="I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D64" i="21"/>
  <c r="J64" i="21" s="1"/>
  <c r="D65" i="21"/>
  <c r="J65" i="21" s="1"/>
  <c r="D66" i="21"/>
  <c r="J66" i="21" s="1"/>
  <c r="J67" i="21"/>
  <c r="J68" i="21"/>
  <c r="D69" i="21"/>
  <c r="J69" i="21" s="1"/>
  <c r="D70" i="21"/>
  <c r="J70" i="21" s="1"/>
  <c r="I74" i="21"/>
  <c r="I75" i="21" s="1"/>
  <c r="M18" i="8" s="1"/>
  <c r="M59" i="8" s="1"/>
  <c r="N2" i="26" l="1"/>
  <c r="J22" i="8"/>
  <c r="H22" i="8" s="1"/>
  <c r="N22" i="8" s="1"/>
  <c r="I17" i="23"/>
  <c r="K20" i="8" s="1"/>
  <c r="H20" i="8" s="1"/>
  <c r="N20" i="8" s="1"/>
  <c r="I61" i="21"/>
  <c r="K18" i="8" s="1"/>
  <c r="K59" i="8" s="1"/>
  <c r="N26" i="21"/>
  <c r="J18" i="8" s="1"/>
  <c r="N5" i="34"/>
  <c r="C17" i="21"/>
  <c r="E17" i="21" s="1"/>
  <c r="N5" i="26"/>
  <c r="C13" i="21"/>
  <c r="E13" i="21" s="1"/>
  <c r="C12" i="21"/>
  <c r="E12" i="21" s="1"/>
  <c r="N5" i="25"/>
  <c r="N2" i="23"/>
  <c r="C10" i="21"/>
  <c r="E10" i="21" s="1"/>
  <c r="N5" i="22"/>
  <c r="J71" i="21"/>
  <c r="L18" i="8" s="1"/>
  <c r="L59" i="8" s="1"/>
  <c r="J59" i="8" l="1"/>
  <c r="H18" i="8"/>
  <c r="N18" i="8" s="1"/>
  <c r="N59" i="8" s="1"/>
  <c r="N5" i="32"/>
  <c r="C16" i="21"/>
  <c r="E16" i="21" s="1"/>
  <c r="C15" i="21"/>
  <c r="E15" i="21" s="1"/>
  <c r="N5" i="30"/>
  <c r="N5" i="28"/>
  <c r="C14" i="21"/>
  <c r="E14" i="21" s="1"/>
  <c r="N5" i="23"/>
  <c r="C11" i="21"/>
  <c r="E11" i="21" s="1"/>
  <c r="E18" i="21" l="1"/>
  <c r="N2" i="21" s="1"/>
  <c r="N5" i="21" s="1"/>
  <c r="I7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7" i="8" l="1"/>
  <c r="K7" i="8"/>
  <c r="M7" i="8"/>
  <c r="J7" i="8"/>
  <c r="H7" i="8" l="1"/>
  <c r="N7" i="8" s="1"/>
  <c r="H8" i="8"/>
  <c r="N8" i="8" s="1"/>
  <c r="O1" i="8"/>
</calcChain>
</file>

<file path=xl/sharedStrings.xml><?xml version="1.0" encoding="utf-8"?>
<sst xmlns="http://schemas.openxmlformats.org/spreadsheetml/2006/main" count="4086" uniqueCount="584">
  <si>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</si>
  <si>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</si>
  <si>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</si>
  <si>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</si>
  <si>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</si>
  <si>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</si>
  <si>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</si>
  <si>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</si>
  <si>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</si>
  <si>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</si>
  <si>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</si>
  <si>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</si>
  <si>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</si>
  <si>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</si>
  <si>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</si>
  <si>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</si>
  <si>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</si>
  <si>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</si>
  <si>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</si>
  <si>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</si>
  <si>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</si>
  <si>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</si>
  <si>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</si>
  <si>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</si>
  <si>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</si>
  <si>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</si>
  <si>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</si>
  <si>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</si>
  <si>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</si>
  <si>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</si>
  <si>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</si>
  <si>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</si>
  <si>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</si>
  <si>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</si>
  <si>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</si>
  <si>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</si>
  <si>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</si>
  <si>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</si>
  <si>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</si>
  <si>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</si>
  <si>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</si>
  <si>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</si>
  <si>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</si>
  <si>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</si>
  <si>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</si>
  <si>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</si>
  <si>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</si>
  <si>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</si>
  <si>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</si>
  <si>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</si>
  <si>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</si>
  <si>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</si>
  <si>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</si>
  <si>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</si>
  <si>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</si>
  <si>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</si>
  <si>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</si>
  <si>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</si>
  <si>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</si>
  <si>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</si>
  <si>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</si>
  <si>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</si>
  <si>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</si>
  <si>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</si>
  <si>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</si>
  <si>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</si>
  <si>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</si>
  <si>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</si>
  <si>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</si>
  <si>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</si>
  <si>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</si>
  <si>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</si>
  <si>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</si>
  <si>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</si>
  <si>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</si>
  <si>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</si>
  <si>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</si>
  <si>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</si>
  <si>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</si>
  <si>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</si>
  <si>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</si>
  <si>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</si>
  <si>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</si>
  <si>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</si>
  <si>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</si>
  <si>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</si>
  <si>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</si>
  <si>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</si>
  <si>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</si>
  <si>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</si>
  <si>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</si>
  <si>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Intake brackets welding</t>
  </si>
  <si>
    <t>Fastening plenum, plenum plate and intake manifold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</si>
  <si>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</si>
  <si>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</si>
  <si>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</si>
  <si>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</si>
  <si>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</si>
  <si>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</si>
  <si>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</si>
  <si>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</si>
  <si>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</si>
  <si>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</si>
  <si>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</si>
  <si>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</si>
  <si>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</si>
  <si>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</si>
  <si>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</si>
  <si>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</si>
  <si>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</si>
  <si>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</si>
  <si>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</si>
  <si>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</si>
  <si>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</si>
  <si>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</si>
  <si>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</si>
  <si>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</si>
  <si>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</si>
  <si>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</si>
  <si>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</si>
  <si>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</si>
  <si>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</si>
  <si>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</si>
  <si>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</si>
  <si>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</si>
  <si>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</si>
  <si>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</si>
  <si>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</si>
  <si>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</si>
  <si>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</si>
  <si>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</si>
  <si>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</si>
  <si>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</si>
  <si>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</si>
  <si>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</si>
  <si>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</si>
  <si>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</si>
  <si>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</si>
  <si>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</si>
  <si>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</si>
  <si>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</si>
  <si>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</si>
  <si>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</si>
  <si>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</si>
  <si>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</si>
  <si>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</si>
  <si>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</si>
  <si>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</si>
  <si>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</si>
  <si>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</si>
  <si>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</si>
  <si>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</si>
  <si>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</si>
  <si>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</si>
  <si>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</si>
  <si>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</si>
  <si>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</si>
  <si>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</si>
  <si>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</si>
  <si>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</si>
  <si>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</si>
  <si>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</si>
  <si>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</si>
  <si>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</si>
  <si>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</si>
  <si>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</si>
  <si>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</si>
  <si>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</si>
  <si>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</si>
  <si>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</si>
  <si>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</si>
  <si>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</si>
  <si>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</si>
  <si>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</si>
  <si>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</si>
  <si>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</si>
  <si>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</si>
  <si>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</si>
  <si>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</si>
  <si>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</si>
  <si>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</si>
  <si>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</si>
  <si>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</si>
  <si>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</si>
  <si>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</si>
  <si>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</si>
  <si>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</si>
  <si>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</si>
  <si>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</si>
  <si>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</si>
  <si>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</si>
  <si>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</si>
  <si>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</si>
  <si>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</si>
  <si>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</si>
  <si>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</si>
  <si>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</si>
  <si>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</si>
  <si>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</si>
  <si>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</si>
  <si>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</si>
  <si>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</si>
  <si>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</si>
  <si>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</si>
  <si>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</si>
  <si>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</si>
  <si>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</si>
  <si>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</si>
  <si>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</si>
  <si>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</si>
  <si>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</si>
  <si>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</si>
  <si>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</si>
  <si>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</si>
  <si>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</si>
  <si>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</si>
  <si>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</si>
  <si>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</si>
  <si>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</si>
  <si>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</si>
  <si>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</si>
  <si>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</si>
  <si>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</si>
  <si>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</si>
  <si>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</si>
  <si>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</si>
  <si>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</si>
  <si>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</si>
  <si>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</si>
  <si>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</si>
  <si>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</si>
  <si>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</si>
  <si>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</si>
  <si>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</si>
  <si>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</si>
  <si>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</si>
  <si>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</si>
  <si>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</si>
  <si>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</si>
  <si>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</si>
  <si>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</si>
  <si>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</si>
  <si>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</si>
  <si>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</si>
  <si>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</si>
  <si>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</si>
  <si>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</si>
  <si>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</si>
  <si>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</si>
  <si>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</si>
  <si>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</si>
  <si>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</si>
  <si>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</si>
  <si>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</si>
  <si>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</si>
  <si>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</si>
  <si>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</si>
  <si>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</si>
  <si>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</si>
  <si>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</si>
  <si>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</si>
  <si>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</si>
  <si>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</si>
  <si>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</si>
  <si>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</si>
  <si>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</si>
  <si>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</si>
  <si>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</si>
  <si>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</si>
  <si>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</si>
  <si>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</si>
  <si>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</si>
  <si>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</si>
  <si>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</si>
  <si>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</si>
  <si>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</si>
  <si>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</si>
  <si>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</si>
  <si>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</si>
  <si>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</si>
  <si>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</si>
  <si>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</si>
  <si>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</si>
  <si>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</si>
  <si>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</si>
  <si>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</si>
  <si>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</si>
  <si>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</si>
  <si>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</si>
  <si>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</si>
  <si>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</si>
  <si>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</si>
  <si>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</si>
  <si>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</si>
  <si>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</si>
  <si>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</si>
  <si>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</si>
  <si>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</si>
  <si>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</si>
  <si>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</si>
  <si>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</si>
  <si>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</si>
  <si>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</si>
  <si>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</si>
  <si>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</si>
  <si>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</si>
  <si>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</si>
  <si>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</si>
  <si>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</si>
  <si>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</si>
  <si>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</si>
  <si>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</si>
  <si>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</si>
  <si>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</si>
  <si>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</si>
  <si>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</si>
  <si>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</si>
  <si>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</si>
  <si>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</si>
  <si>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</si>
  <si>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</si>
  <si>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</si>
  <si>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</si>
  <si>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</si>
  <si>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</si>
  <si>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</si>
  <si>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</si>
  <si>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</si>
  <si>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</si>
  <si>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</si>
  <si>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</si>
  <si>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</si>
  <si>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</si>
  <si>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</si>
  <si>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</si>
  <si>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</si>
  <si>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</si>
  <si>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</si>
  <si>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</si>
  <si>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</si>
  <si>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</si>
  <si>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</si>
  <si>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</si>
  <si>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</si>
  <si>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</si>
  <si>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</si>
  <si>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</si>
  <si>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</si>
  <si>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</si>
  <si>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</si>
  <si>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</si>
  <si>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</si>
  <si>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</si>
  <si>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</si>
  <si>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</si>
  <si>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</si>
  <si>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</si>
  <si>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</si>
  <si>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</si>
  <si>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</si>
  <si>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</si>
  <si>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</si>
  <si>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</si>
  <si>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</si>
  <si>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</si>
  <si>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</si>
  <si>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</si>
  <si>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</si>
  <si>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</si>
  <si>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</si>
  <si>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</si>
  <si>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</si>
  <si>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</si>
  <si>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</si>
  <si>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</si>
  <si>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</si>
  <si>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</si>
  <si>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</si>
  <si>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</si>
  <si>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</si>
  <si>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</si>
  <si>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</si>
  <si>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</si>
  <si>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</si>
  <si>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</si>
  <si>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</si>
  <si>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</si>
  <si>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</si>
  <si>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</si>
  <si>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</si>
  <si>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</si>
  <si>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</si>
  <si>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</si>
  <si>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</si>
  <si>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</si>
  <si>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</si>
  <si>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</si>
  <si>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</si>
  <si>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</si>
  <si>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</si>
  <si>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</si>
  <si>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</si>
  <si>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</si>
  <si>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</si>
  <si>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</si>
  <si>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</si>
  <si>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</si>
  <si>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</si>
  <si>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</si>
  <si>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</si>
  <si>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</si>
  <si>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</si>
  <si>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</si>
  <si>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</si>
  <si>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</si>
  <si>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</si>
  <si>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</si>
  <si>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</si>
  <si>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</si>
  <si>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</si>
  <si>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</si>
  <si>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</si>
  <si>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</si>
  <si>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</si>
  <si>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</si>
  <si>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</si>
  <si>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</si>
  <si>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</si>
  <si>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</si>
  <si>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</si>
  <si>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</si>
  <si>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</si>
  <si>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</si>
  <si>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</si>
  <si>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</si>
  <si>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</si>
  <si>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</si>
  <si>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</si>
  <si>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</si>
  <si>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</si>
  <si>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</si>
  <si>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</si>
  <si>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</si>
  <si>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</si>
  <si>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</si>
  <si>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</si>
  <si>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</si>
  <si>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</si>
  <si>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</si>
  <si>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</si>
  <si>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</si>
  <si>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</si>
  <si>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</si>
  <si>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</si>
  <si>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</si>
  <si>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</si>
  <si>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</si>
  <si>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</si>
  <si>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</si>
  <si>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</si>
  <si>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</si>
  <si>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</si>
  <si>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</si>
  <si>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</si>
  <si>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</si>
  <si>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</si>
  <si>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</si>
  <si>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</si>
  <si>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</si>
  <si>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</si>
  <si>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</si>
  <si>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</si>
  <si>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</si>
  <si>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</si>
  <si>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</si>
  <si>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</si>
  <si>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</si>
  <si>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</si>
  <si>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</si>
  <si>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</si>
  <si>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</si>
  <si>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</si>
  <si>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</si>
  <si>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</si>
  <si>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</si>
  <si>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</si>
  <si>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</si>
  <si>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</si>
  <si>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</si>
  <si>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</si>
  <si>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</si>
  <si>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</si>
  <si>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</si>
  <si>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</si>
  <si>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</si>
  <si>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</si>
  <si>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</si>
  <si>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</si>
  <si>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</si>
  <si>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</si>
  <si>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</si>
  <si>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</si>
  <si>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</si>
  <si>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</si>
  <si>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</si>
  <si>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</si>
  <si>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</si>
  <si>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</si>
  <si>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</si>
  <si>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</si>
  <si>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</si>
  <si>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</si>
  <si>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</si>
  <si>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</si>
  <si>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</si>
  <si>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</si>
  <si>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</si>
  <si>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</si>
  <si>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</si>
  <si>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</si>
  <si>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</si>
  <si>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</si>
  <si>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</si>
  <si>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</si>
  <si>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</si>
  <si>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</si>
  <si>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</si>
  <si>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</si>
  <si>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</si>
  <si>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</si>
  <si>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</si>
  <si>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</si>
  <si>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</si>
  <si>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</si>
  <si>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</si>
  <si>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</si>
  <si>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</si>
  <si>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</si>
  <si>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</si>
  <si>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</si>
  <si>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</si>
  <si>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</si>
  <si>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</si>
  <si>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</si>
  <si>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</si>
  <si>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</si>
  <si>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</si>
  <si>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</si>
  <si>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</si>
  <si>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</si>
  <si>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</si>
  <si>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</si>
  <si>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</si>
  <si>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</si>
  <si>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</si>
  <si>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</si>
  <si>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</si>
  <si>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</si>
  <si>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</si>
  <si>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</si>
  <si>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</si>
  <si>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</si>
  <si>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</si>
  <si>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</si>
  <si>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</si>
  <si>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</si>
  <si>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</si>
  <si>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EN_0300_004</t>
  </si>
  <si>
    <t>EN_0300_005</t>
  </si>
  <si>
    <t>EN_0300_006</t>
  </si>
  <si>
    <t>EN_0300_007</t>
  </si>
  <si>
    <t>EN_0300_008</t>
  </si>
  <si>
    <t>EN 03004</t>
  </si>
  <si>
    <t>EN 03005</t>
  </si>
  <si>
    <t>EN 03006</t>
  </si>
  <si>
    <t>EN 03007</t>
  </si>
  <si>
    <t>EN 03008</t>
  </si>
  <si>
    <t>Sensor, Fluid Pressure &amp; Temperature</t>
  </si>
  <si>
    <t>Measure pressure and temperature inside of the plenum</t>
  </si>
  <si>
    <t>Assemble, 1 kg, Line-onLine</t>
  </si>
  <si>
    <t>Inserting the pressure and temperature sensor</t>
  </si>
  <si>
    <t>Fastening brackets and sensor</t>
  </si>
  <si>
    <t>Material for painting</t>
  </si>
  <si>
    <t>Paint the intake and frame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</si>
</sst>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6" formatCode="_-* #,##0.000_-;\-* #,##0.000_-;_-* &quot;-&quot;??_-;_-@_-"/>
    <numFmt numFmtId="187" formatCode="_(&quot;$&quot;* #,##0_);_(&quot;$&quot;* \(#,##0\);_(&quot;$&quot;* &quot;-&quot;??_);_(@_)"/>
    <numFmt numFmtId="188" formatCode="_-* #,##0\ _€_-;\-* #,##0\ _€_-;_-* &quot;-&quot;??\ _€_-;_-@_-"/>
    <numFmt numFmtId="189" formatCode="_(&quot;$&quot;* #,##0.000_);_(&quot;$&quot;* \(#,##0.00\);_(&quot;$&quot;* &quot;-&quot;??_);_(@_)"/>
  </numFmts>
  <fonts count="3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</fills>
  <borders count="8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0" fontId="13" fillId="0" borderId="0"/>
    <xf numFmtId="169" fontId="1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2" fillId="2" borderId="6">
      <alignment vertical="center" wrapText="1"/>
    </xf>
    <xf numFmtId="170" fontId="13" fillId="0" borderId="0" applyFont="0" applyFill="0" applyBorder="0" applyAlignment="0" applyProtection="0"/>
    <xf numFmtId="0" fontId="8" fillId="0" borderId="0"/>
    <xf numFmtId="166" fontId="11" fillId="0" borderId="1">
      <alignment vertical="center" wrapText="1"/>
    </xf>
    <xf numFmtId="0" fontId="24" fillId="0" borderId="0" applyNumberFormat="0" applyFill="0" applyBorder="0" applyAlignment="0" applyProtection="0"/>
    <xf numFmtId="0" fontId="26" fillId="0" borderId="0"/>
    <xf numFmtId="0" fontId="11" fillId="0" borderId="0"/>
    <xf numFmtId="0" fontId="6" fillId="0" borderId="0"/>
    <xf numFmtId="43" fontId="1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3" fontId="11" fillId="0" borderId="1">
      <alignment vertical="center" wrapText="1"/>
    </xf>
    <xf numFmtId="44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9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30" fillId="0" borderId="0"/>
    <xf numFmtId="169" fontId="30" fillId="0" borderId="0" applyFont="0" applyFill="0" applyBorder="0" applyAlignment="0" applyProtection="0"/>
    <xf numFmtId="0" fontId="6" fillId="0" borderId="0"/>
    <xf numFmtId="165" fontId="21" fillId="0" borderId="0" applyFill="0" applyBorder="0" applyAlignment="0" applyProtection="0"/>
    <xf numFmtId="169" fontId="13" fillId="0" borderId="0" applyFont="0" applyFill="0" applyBorder="0" applyAlignment="0" applyProtection="0"/>
    <xf numFmtId="0" fontId="13" fillId="0" borderId="0"/>
    <xf numFmtId="0" fontId="21" fillId="0" borderId="0"/>
    <xf numFmtId="164" fontId="21" fillId="0" borderId="0" applyFill="0" applyBorder="0" applyAlignment="0" applyProtection="0"/>
    <xf numFmtId="0" fontId="31" fillId="2" borderId="0" applyNumberFormat="0" applyBorder="0" applyAlignment="0" applyProtection="0"/>
    <xf numFmtId="0" fontId="21" fillId="0" borderId="0"/>
    <xf numFmtId="176" fontId="21" fillId="0" borderId="30">
      <alignment vertical="center" wrapText="1"/>
    </xf>
    <xf numFmtId="174" fontId="11" fillId="0" borderId="1">
      <alignment vertical="center" wrapText="1"/>
    </xf>
    <xf numFmtId="43" fontId="21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44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1" fillId="0" borderId="31">
      <alignment vertical="center" wrapText="1"/>
    </xf>
    <xf numFmtId="43" fontId="2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6" fontId="21" fillId="0" borderId="32">
      <alignment vertical="center" wrapText="1"/>
    </xf>
    <xf numFmtId="0" fontId="4" fillId="0" borderId="0"/>
    <xf numFmtId="4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76" fontId="21" fillId="0" borderId="34">
      <alignment vertical="center" wrapText="1"/>
    </xf>
    <xf numFmtId="43" fontId="2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4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176" fontId="21" fillId="0" borderId="35">
      <alignment vertical="center" wrapText="1"/>
    </xf>
    <xf numFmtId="43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70" fontId="2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2" borderId="0" applyNumberFormat="0" applyBorder="0" applyAlignment="0" applyProtection="0"/>
    <xf numFmtId="0" fontId="33" fillId="11" borderId="0" applyNumberFormat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46">
    <xf numFmtId="0" fontId="0" fillId="0" borderId="0" xfId="0"/>
    <xf numFmtId="170" fontId="14" fillId="0" borderId="0" xfId="5" applyFont="1"/>
    <xf numFmtId="0" fontId="14" fillId="0" borderId="0" xfId="1" applyFont="1" applyProtection="1">
      <protection locked="0"/>
    </xf>
    <xf numFmtId="170" fontId="13" fillId="0" borderId="0" xfId="5" applyFont="1"/>
    <xf numFmtId="0" fontId="14" fillId="0" borderId="0" xfId="1" applyFont="1"/>
    <xf numFmtId="0" fontId="16" fillId="0" borderId="0" xfId="1" applyFont="1"/>
    <xf numFmtId="0" fontId="13" fillId="0" borderId="0" xfId="1" applyFont="1" applyProtection="1">
      <protection locked="0"/>
    </xf>
    <xf numFmtId="0" fontId="13" fillId="0" borderId="0" xfId="1" applyFont="1" applyFill="1"/>
    <xf numFmtId="0" fontId="13" fillId="0" borderId="0" xfId="1" applyFont="1"/>
    <xf numFmtId="0" fontId="8" fillId="0" borderId="0" xfId="6" applyBorder="1"/>
    <xf numFmtId="0" fontId="8" fillId="0" borderId="0" xfId="6"/>
    <xf numFmtId="0" fontId="10" fillId="0" borderId="0" xfId="0" applyFont="1" applyBorder="1"/>
    <xf numFmtId="0" fontId="0" fillId="0" borderId="0" xfId="0" applyFont="1"/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9" fillId="0" borderId="0" xfId="0" applyFont="1" applyBorder="1"/>
    <xf numFmtId="0" fontId="0" fillId="0" borderId="0" xfId="0" applyAlignment="1">
      <alignment wrapText="1"/>
    </xf>
    <xf numFmtId="49" fontId="10" fillId="0" borderId="0" xfId="0" applyNumberFormat="1" applyFont="1" applyBorder="1" applyAlignment="1">
      <alignment horizontal="left"/>
    </xf>
    <xf numFmtId="0" fontId="9" fillId="0" borderId="4" xfId="0" applyFont="1" applyBorder="1"/>
    <xf numFmtId="0" fontId="18" fillId="0" borderId="0" xfId="1" applyFont="1" applyAlignment="1">
      <alignment horizontal="center"/>
    </xf>
    <xf numFmtId="0" fontId="19" fillId="0" borderId="0" xfId="1" applyFont="1"/>
    <xf numFmtId="0" fontId="22" fillId="0" borderId="0" xfId="6" applyFont="1" applyFill="1" applyBorder="1"/>
    <xf numFmtId="0" fontId="8" fillId="0" borderId="0" xfId="6" applyFill="1"/>
    <xf numFmtId="0" fontId="8" fillId="0" borderId="0" xfId="6" applyFill="1" applyBorder="1"/>
    <xf numFmtId="0" fontId="8" fillId="0" borderId="0" xfId="6" applyFont="1"/>
    <xf numFmtId="0" fontId="8" fillId="0" borderId="0" xfId="6" applyFont="1" applyFill="1" applyBorder="1"/>
    <xf numFmtId="0" fontId="8" fillId="0" borderId="0" xfId="6" applyFont="1" applyFill="1"/>
    <xf numFmtId="0" fontId="15" fillId="0" borderId="0" xfId="1" applyFont="1"/>
    <xf numFmtId="0" fontId="20" fillId="0" borderId="0" xfId="1" applyFont="1"/>
    <xf numFmtId="0" fontId="22" fillId="3" borderId="0" xfId="6" applyFont="1" applyFill="1" applyBorder="1" applyAlignment="1"/>
    <xf numFmtId="170" fontId="13" fillId="0" borderId="0" xfId="1" applyNumberFormat="1" applyFont="1"/>
    <xf numFmtId="0" fontId="18" fillId="0" borderId="7" xfId="1" applyFont="1" applyBorder="1" applyAlignment="1">
      <alignment horizontal="center" wrapText="1"/>
    </xf>
    <xf numFmtId="2" fontId="18" fillId="0" borderId="7" xfId="1" applyNumberFormat="1" applyFont="1" applyBorder="1" applyAlignment="1">
      <alignment horizontal="center" wrapText="1"/>
    </xf>
    <xf numFmtId="170" fontId="18" fillId="0" borderId="7" xfId="5" applyFont="1" applyBorder="1" applyAlignment="1">
      <alignment horizontal="center" wrapText="1"/>
    </xf>
    <xf numFmtId="0" fontId="23" fillId="4" borderId="8" xfId="6" applyFont="1" applyFill="1" applyBorder="1"/>
    <xf numFmtId="0" fontId="23" fillId="4" borderId="10" xfId="6" applyFont="1" applyFill="1" applyBorder="1"/>
    <xf numFmtId="0" fontId="23" fillId="4" borderId="9" xfId="6" applyFont="1" applyFill="1" applyBorder="1"/>
    <xf numFmtId="0" fontId="23" fillId="4" borderId="11" xfId="6" applyFont="1" applyFill="1" applyBorder="1"/>
    <xf numFmtId="0" fontId="8" fillId="5" borderId="13" xfId="6" quotePrefix="1" applyFill="1" applyBorder="1" applyAlignment="1">
      <alignment horizontal="left"/>
    </xf>
    <xf numFmtId="2" fontId="8" fillId="6" borderId="14" xfId="6" quotePrefix="1" applyNumberFormat="1" applyFill="1" applyBorder="1" applyAlignment="1">
      <alignment horizontal="right"/>
    </xf>
    <xf numFmtId="0" fontId="23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9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0" borderId="15" xfId="0" applyFont="1" applyBorder="1"/>
    <xf numFmtId="165" fontId="10" fillId="0" borderId="15" xfId="7" applyNumberFormat="1" applyFont="1" applyBorder="1" applyAlignment="1" applyProtection="1"/>
    <xf numFmtId="164" fontId="10" fillId="0" borderId="15" xfId="7" applyNumberFormat="1" applyFont="1" applyBorder="1" applyAlignment="1" applyProtection="1"/>
    <xf numFmtId="11" fontId="10" fillId="0" borderId="15" xfId="0" applyNumberFormat="1" applyFont="1" applyBorder="1"/>
    <xf numFmtId="167" fontId="10" fillId="0" borderId="15" xfId="7" applyNumberFormat="1" applyFont="1" applyBorder="1" applyAlignment="1" applyProtection="1"/>
    <xf numFmtId="168" fontId="10" fillId="0" borderId="15" xfId="7" applyNumberFormat="1" applyFont="1" applyBorder="1" applyAlignment="1" applyProtection="1"/>
    <xf numFmtId="0" fontId="0" fillId="0" borderId="15" xfId="0" applyBorder="1"/>
    <xf numFmtId="37" fontId="10" fillId="0" borderId="15" xfId="7" applyNumberFormat="1" applyFont="1" applyBorder="1" applyAlignment="1" applyProtection="1"/>
    <xf numFmtId="0" fontId="10" fillId="0" borderId="15" xfId="0" applyFont="1" applyBorder="1" applyAlignment="1">
      <alignment horizontal="right"/>
    </xf>
    <xf numFmtId="0" fontId="9" fillId="0" borderId="25" xfId="0" applyFont="1" applyBorder="1"/>
    <xf numFmtId="0" fontId="24" fillId="0" borderId="15" xfId="8" applyNumberFormat="1" applyBorder="1" applyAlignment="1" applyProtection="1"/>
    <xf numFmtId="0" fontId="24" fillId="0" borderId="0" xfId="8" applyBorder="1"/>
    <xf numFmtId="0" fontId="24" fillId="0" borderId="0" xfId="8"/>
    <xf numFmtId="0" fontId="8" fillId="5" borderId="13" xfId="6" quotePrefix="1" applyFont="1" applyFill="1" applyBorder="1" applyAlignment="1">
      <alignment horizontal="left"/>
    </xf>
    <xf numFmtId="0" fontId="7" fillId="5" borderId="13" xfId="6" applyFont="1" applyFill="1" applyBorder="1"/>
    <xf numFmtId="0" fontId="7" fillId="5" borderId="12" xfId="6" applyFont="1" applyFill="1" applyBorder="1"/>
    <xf numFmtId="171" fontId="10" fillId="0" borderId="15" xfId="7" applyNumberFormat="1" applyFont="1" applyBorder="1" applyAlignment="1" applyProtection="1"/>
    <xf numFmtId="0" fontId="17" fillId="7" borderId="3" xfId="1" applyFont="1" applyFill="1" applyBorder="1" applyProtection="1">
      <protection locked="0"/>
    </xf>
    <xf numFmtId="0" fontId="17" fillId="7" borderId="3" xfId="1" applyFont="1" applyFill="1" applyBorder="1" applyAlignment="1">
      <alignment horizontal="left"/>
    </xf>
    <xf numFmtId="18" fontId="17" fillId="7" borderId="3" xfId="1" applyNumberFormat="1" applyFont="1" applyFill="1" applyBorder="1" applyAlignment="1" applyProtection="1">
      <protection locked="0"/>
    </xf>
    <xf numFmtId="0" fontId="24" fillId="7" borderId="3" xfId="8" applyFill="1" applyBorder="1" applyAlignment="1">
      <alignment horizontal="left"/>
    </xf>
    <xf numFmtId="171" fontId="17" fillId="7" borderId="3" xfId="5" applyNumberFormat="1" applyFont="1" applyFill="1" applyBorder="1" applyProtection="1">
      <protection locked="0"/>
    </xf>
    <xf numFmtId="37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 applyProtection="1">
      <alignment horizontal="center"/>
      <protection locked="0"/>
    </xf>
    <xf numFmtId="171" fontId="17" fillId="7" borderId="3" xfId="1" applyNumberFormat="1" applyFont="1" applyFill="1" applyBorder="1" applyAlignment="1">
      <alignment horizontal="right"/>
    </xf>
    <xf numFmtId="0" fontId="17" fillId="7" borderId="3" xfId="1" applyFont="1" applyFill="1" applyBorder="1" applyAlignment="1">
      <alignment horizontal="center"/>
    </xf>
    <xf numFmtId="0" fontId="17" fillId="8" borderId="3" xfId="1" applyFont="1" applyFill="1" applyBorder="1" applyProtection="1">
      <protection locked="0"/>
    </xf>
    <xf numFmtId="0" fontId="17" fillId="8" borderId="3" xfId="1" applyFont="1" applyFill="1" applyBorder="1" applyAlignment="1">
      <alignment horizontal="left"/>
    </xf>
    <xf numFmtId="18" fontId="17" fillId="8" borderId="3" xfId="1" applyNumberFormat="1" applyFont="1" applyFill="1" applyBorder="1" applyAlignment="1" applyProtection="1">
      <alignment horizontal="right"/>
      <protection locked="0"/>
    </xf>
    <xf numFmtId="18" fontId="17" fillId="8" borderId="3" xfId="1" applyNumberFormat="1" applyFont="1" applyFill="1" applyBorder="1" applyAlignment="1" applyProtection="1">
      <protection locked="0"/>
    </xf>
    <xf numFmtId="0" fontId="24" fillId="8" borderId="3" xfId="8" applyFill="1" applyBorder="1" applyAlignment="1">
      <alignment horizontal="left"/>
    </xf>
    <xf numFmtId="171" fontId="17" fillId="8" borderId="3" xfId="5" applyNumberFormat="1" applyFont="1" applyFill="1" applyBorder="1" applyProtection="1">
      <protection locked="0"/>
    </xf>
    <xf numFmtId="37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 applyProtection="1">
      <alignment horizontal="center"/>
      <protection locked="0"/>
    </xf>
    <xf numFmtId="171" fontId="17" fillId="8" borderId="3" xfId="1" applyNumberFormat="1" applyFont="1" applyFill="1" applyBorder="1" applyAlignment="1">
      <alignment horizontal="right"/>
    </xf>
    <xf numFmtId="0" fontId="17" fillId="8" borderId="3" xfId="1" applyFont="1" applyFill="1" applyBorder="1" applyAlignment="1">
      <alignment horizontal="center"/>
    </xf>
    <xf numFmtId="11" fontId="17" fillId="8" borderId="3" xfId="1" applyNumberFormat="1" applyFont="1" applyFill="1" applyBorder="1" applyAlignment="1" applyProtection="1">
      <protection locked="0"/>
    </xf>
    <xf numFmtId="0" fontId="9" fillId="9" borderId="15" xfId="0" applyFont="1" applyFill="1" applyBorder="1"/>
    <xf numFmtId="0" fontId="9" fillId="9" borderId="15" xfId="0" applyFont="1" applyFill="1" applyBorder="1" applyAlignment="1">
      <alignment horizontal="right"/>
    </xf>
    <xf numFmtId="165" fontId="9" fillId="9" borderId="15" xfId="0" applyNumberFormat="1" applyFont="1" applyFill="1" applyBorder="1"/>
    <xf numFmtId="0" fontId="9" fillId="9" borderId="0" xfId="0" applyFont="1" applyFill="1" applyBorder="1"/>
    <xf numFmtId="0" fontId="9" fillId="9" borderId="24" xfId="0" applyFont="1" applyFill="1" applyBorder="1" applyAlignment="1">
      <alignment horizontal="right"/>
    </xf>
    <xf numFmtId="165" fontId="9" fillId="9" borderId="24" xfId="0" applyNumberFormat="1" applyFont="1" applyFill="1" applyBorder="1"/>
    <xf numFmtId="0" fontId="9" fillId="10" borderId="15" xfId="0" applyFont="1" applyFill="1" applyBorder="1"/>
    <xf numFmtId="0" fontId="9" fillId="10" borderId="15" xfId="0" applyFont="1" applyFill="1" applyBorder="1" applyAlignment="1">
      <alignment horizontal="left"/>
    </xf>
    <xf numFmtId="0" fontId="9" fillId="10" borderId="2" xfId="0" applyFont="1" applyFill="1" applyBorder="1"/>
    <xf numFmtId="165" fontId="9" fillId="10" borderId="5" xfId="0" applyNumberFormat="1" applyFont="1" applyFill="1" applyBorder="1"/>
    <xf numFmtId="0" fontId="9" fillId="10" borderId="26" xfId="0" applyFont="1" applyFill="1" applyBorder="1"/>
    <xf numFmtId="0" fontId="9" fillId="10" borderId="5" xfId="0" applyFont="1" applyFill="1" applyBorder="1"/>
    <xf numFmtId="0" fontId="9" fillId="10" borderId="5" xfId="0" applyFont="1" applyFill="1" applyBorder="1" applyAlignment="1">
      <alignment horizontal="right"/>
    </xf>
    <xf numFmtId="0" fontId="24" fillId="0" borderId="15" xfId="8" applyBorder="1"/>
    <xf numFmtId="11" fontId="0" fillId="0" borderId="0" xfId="0" applyNumberFormat="1"/>
    <xf numFmtId="0" fontId="10" fillId="0" borderId="27" xfId="0" applyFont="1" applyBorder="1"/>
    <xf numFmtId="0" fontId="10" fillId="0" borderId="15" xfId="7" applyNumberFormat="1" applyFont="1" applyBorder="1" applyAlignment="1" applyProtection="1">
      <alignment vertical="center" wrapText="1"/>
    </xf>
    <xf numFmtId="179" fontId="10" fillId="0" borderId="15" xfId="0" applyNumberFormat="1" applyFont="1" applyBorder="1"/>
    <xf numFmtId="2" fontId="10" fillId="0" borderId="15" xfId="7" applyNumberFormat="1" applyFont="1" applyBorder="1" applyAlignment="1" applyProtection="1"/>
    <xf numFmtId="11" fontId="10" fillId="0" borderId="15" xfId="7" applyNumberFormat="1" applyFont="1" applyBorder="1" applyAlignment="1" applyProtection="1"/>
    <xf numFmtId="37" fontId="10" fillId="0" borderId="15" xfId="0" applyNumberFormat="1" applyFont="1" applyBorder="1"/>
    <xf numFmtId="165" fontId="9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9" fillId="10" borderId="36" xfId="0" applyFont="1" applyFill="1" applyBorder="1"/>
    <xf numFmtId="0" fontId="9" fillId="10" borderId="37" xfId="0" applyFont="1" applyFill="1" applyBorder="1"/>
    <xf numFmtId="0" fontId="9" fillId="10" borderId="36" xfId="0" applyFont="1" applyFill="1" applyBorder="1" applyAlignment="1">
      <alignment horizontal="right"/>
    </xf>
    <xf numFmtId="165" fontId="10" fillId="0" borderId="36" xfId="7" applyNumberFormat="1" applyFont="1" applyBorder="1" applyAlignment="1" applyProtection="1"/>
    <xf numFmtId="2" fontId="10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0" fillId="0" borderId="36" xfId="7" applyNumberFormat="1" applyFont="1" applyBorder="1" applyAlignment="1" applyProtection="1"/>
    <xf numFmtId="172" fontId="10" fillId="0" borderId="36" xfId="7" applyNumberFormat="1" applyFont="1" applyBorder="1" applyAlignment="1" applyProtection="1"/>
    <xf numFmtId="11" fontId="10" fillId="0" borderId="36" xfId="0" applyNumberFormat="1" applyFont="1" applyBorder="1" applyAlignment="1"/>
    <xf numFmtId="164" fontId="10" fillId="0" borderId="36" xfId="7" applyNumberFormat="1" applyFont="1" applyBorder="1" applyAlignment="1" applyProtection="1"/>
    <xf numFmtId="0" fontId="10" fillId="0" borderId="36" xfId="0" applyFont="1" applyBorder="1" applyAlignment="1"/>
    <xf numFmtId="0" fontId="10" fillId="0" borderId="36" xfId="0" applyFont="1" applyBorder="1" applyAlignment="1" applyProtection="1"/>
    <xf numFmtId="0" fontId="10" fillId="0" borderId="37" xfId="0" applyFont="1" applyBorder="1" applyAlignment="1"/>
    <xf numFmtId="0" fontId="24" fillId="0" borderId="16" xfId="8" applyBorder="1"/>
    <xf numFmtId="165" fontId="9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7" fillId="8" borderId="36" xfId="1" applyFont="1" applyFill="1" applyBorder="1" applyAlignment="1">
      <alignment horizontal="center"/>
    </xf>
    <xf numFmtId="171" fontId="17" fillId="8" borderId="36" xfId="1" applyNumberFormat="1" applyFont="1" applyFill="1" applyBorder="1" applyAlignment="1">
      <alignment horizontal="right"/>
    </xf>
    <xf numFmtId="171" fontId="17" fillId="8" borderId="36" xfId="1" applyNumberFormat="1" applyFont="1" applyFill="1" applyBorder="1" applyAlignment="1" applyProtection="1">
      <alignment horizontal="center"/>
      <protection locked="0"/>
    </xf>
    <xf numFmtId="37" fontId="17" fillId="8" borderId="36" xfId="1" applyNumberFormat="1" applyFont="1" applyFill="1" applyBorder="1" applyAlignment="1" applyProtection="1">
      <alignment horizontal="center"/>
      <protection locked="0"/>
    </xf>
    <xf numFmtId="171" fontId="17" fillId="8" borderId="36" xfId="5" applyNumberFormat="1" applyFont="1" applyFill="1" applyBorder="1" applyProtection="1">
      <protection locked="0"/>
    </xf>
    <xf numFmtId="18" fontId="17" fillId="8" borderId="36" xfId="1" applyNumberFormat="1" applyFont="1" applyFill="1" applyBorder="1" applyAlignment="1" applyProtection="1">
      <protection locked="0"/>
    </xf>
    <xf numFmtId="0" fontId="24" fillId="8" borderId="36" xfId="8" applyFill="1" applyBorder="1" applyAlignment="1">
      <alignment horizontal="left"/>
    </xf>
    <xf numFmtId="18" fontId="17" fillId="8" borderId="36" xfId="1" applyNumberFormat="1" applyFont="1" applyFill="1" applyBorder="1" applyAlignment="1" applyProtection="1">
      <alignment horizontal="right"/>
      <protection locked="0"/>
    </xf>
    <xf numFmtId="0" fontId="17" fillId="8" borderId="36" xfId="1" applyFont="1" applyFill="1" applyBorder="1" applyAlignment="1">
      <alignment horizontal="left"/>
    </xf>
    <xf numFmtId="0" fontId="17" fillId="8" borderId="36" xfId="1" applyFont="1" applyFill="1" applyBorder="1" applyProtection="1">
      <protection locked="0"/>
    </xf>
    <xf numFmtId="11" fontId="17" fillId="8" borderId="36" xfId="1" applyNumberFormat="1" applyFont="1" applyFill="1" applyBorder="1" applyAlignment="1" applyProtection="1">
      <protection locked="0"/>
    </xf>
    <xf numFmtId="0" fontId="17" fillId="7" borderId="36" xfId="1" applyFont="1" applyFill="1" applyBorder="1" applyAlignment="1">
      <alignment horizontal="center"/>
    </xf>
    <xf numFmtId="171" fontId="17" fillId="7" borderId="36" xfId="1" applyNumberFormat="1" applyFont="1" applyFill="1" applyBorder="1" applyAlignment="1">
      <alignment horizontal="right"/>
    </xf>
    <xf numFmtId="171" fontId="17" fillId="7" borderId="36" xfId="1" applyNumberFormat="1" applyFont="1" applyFill="1" applyBorder="1" applyAlignment="1" applyProtection="1">
      <alignment horizontal="center"/>
      <protection locked="0"/>
    </xf>
    <xf numFmtId="37" fontId="17" fillId="7" borderId="36" xfId="1" applyNumberFormat="1" applyFont="1" applyFill="1" applyBorder="1" applyAlignment="1" applyProtection="1">
      <alignment horizontal="center"/>
      <protection locked="0"/>
    </xf>
    <xf numFmtId="171" fontId="17" fillId="7" borderId="36" xfId="5" applyNumberFormat="1" applyFont="1" applyFill="1" applyBorder="1" applyProtection="1">
      <protection locked="0"/>
    </xf>
    <xf numFmtId="18" fontId="17" fillId="7" borderId="36" xfId="1" applyNumberFormat="1" applyFont="1" applyFill="1" applyBorder="1" applyAlignment="1" applyProtection="1">
      <protection locked="0"/>
    </xf>
    <xf numFmtId="0" fontId="24" fillId="7" borderId="36" xfId="8" applyFill="1" applyBorder="1" applyAlignment="1">
      <alignment horizontal="left"/>
    </xf>
    <xf numFmtId="0" fontId="17" fillId="7" borderId="36" xfId="1" applyFont="1" applyFill="1" applyBorder="1" applyAlignment="1">
      <alignment horizontal="left"/>
    </xf>
    <xf numFmtId="0" fontId="17" fillId="7" borderId="36" xfId="1" applyFont="1" applyFill="1" applyBorder="1" applyProtection="1">
      <protection locked="0"/>
    </xf>
    <xf numFmtId="0" fontId="0" fillId="0" borderId="15" xfId="0" applyBorder="1" applyAlignment="1"/>
    <xf numFmtId="180" fontId="10" fillId="0" borderId="15" xfId="7" applyNumberFormat="1" applyFont="1" applyBorder="1" applyAlignment="1" applyProtection="1"/>
    <xf numFmtId="182" fontId="10" fillId="0" borderId="15" xfId="7" applyNumberFormat="1" applyFont="1" applyBorder="1" applyAlignment="1" applyProtection="1"/>
    <xf numFmtId="11" fontId="10" fillId="0" borderId="15" xfId="0" applyNumberFormat="1" applyFont="1" applyBorder="1" applyAlignment="1"/>
    <xf numFmtId="0" fontId="10" fillId="0" borderId="15" xfId="0" applyFont="1" applyBorder="1" applyAlignment="1"/>
    <xf numFmtId="0" fontId="10" fillId="0" borderId="15" xfId="0" applyFont="1" applyBorder="1" applyAlignment="1">
      <alignment horizontal="left" wrapText="1"/>
    </xf>
    <xf numFmtId="182" fontId="10" fillId="0" borderId="36" xfId="7" applyNumberFormat="1" applyFont="1" applyBorder="1" applyAlignment="1" applyProtection="1"/>
    <xf numFmtId="183" fontId="10" fillId="0" borderId="36" xfId="7" applyNumberFormat="1" applyFont="1" applyBorder="1" applyAlignment="1" applyProtection="1"/>
    <xf numFmtId="11" fontId="10" fillId="0" borderId="36" xfId="7" applyNumberFormat="1" applyFont="1" applyBorder="1" applyAlignment="1" applyProtection="1"/>
    <xf numFmtId="0" fontId="10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9" fillId="12" borderId="24" xfId="0" applyNumberFormat="1" applyFont="1" applyFill="1" applyBorder="1"/>
    <xf numFmtId="0" fontId="9" fillId="12" borderId="24" xfId="0" applyFont="1" applyFill="1" applyBorder="1" applyAlignment="1">
      <alignment horizontal="right"/>
    </xf>
    <xf numFmtId="0" fontId="9" fillId="0" borderId="42" xfId="0" applyFont="1" applyBorder="1"/>
    <xf numFmtId="0" fontId="10" fillId="0" borderId="43" xfId="0" applyFont="1" applyBorder="1"/>
    <xf numFmtId="0" fontId="9" fillId="12" borderId="15" xfId="0" applyFont="1" applyFill="1" applyBorder="1"/>
    <xf numFmtId="0" fontId="9" fillId="12" borderId="43" xfId="0" applyFont="1" applyFill="1" applyBorder="1"/>
    <xf numFmtId="0" fontId="0" fillId="0" borderId="42" xfId="0" applyBorder="1"/>
    <xf numFmtId="165" fontId="9" fillId="12" borderId="15" xfId="0" applyNumberFormat="1" applyFont="1" applyFill="1" applyBorder="1"/>
    <xf numFmtId="0" fontId="9" fillId="12" borderId="15" xfId="0" applyFont="1" applyFill="1" applyBorder="1" applyAlignment="1">
      <alignment horizontal="right"/>
    </xf>
    <xf numFmtId="0" fontId="25" fillId="0" borderId="0" xfId="0" applyFont="1" applyFill="1" applyBorder="1"/>
    <xf numFmtId="0" fontId="32" fillId="0" borderId="0" xfId="0" applyFont="1" applyFill="1" applyBorder="1"/>
    <xf numFmtId="169" fontId="25" fillId="0" borderId="44" xfId="3" applyFont="1" applyFill="1" applyBorder="1"/>
    <xf numFmtId="37" fontId="25" fillId="0" borderId="44" xfId="3" applyNumberFormat="1" applyFont="1" applyFill="1" applyBorder="1"/>
    <xf numFmtId="0" fontId="25" fillId="0" borderId="44" xfId="0" applyNumberFormat="1" applyFont="1" applyFill="1" applyBorder="1"/>
    <xf numFmtId="0" fontId="25" fillId="0" borderId="44" xfId="0" applyFont="1" applyFill="1" applyBorder="1"/>
    <xf numFmtId="39" fontId="25" fillId="0" borderId="44" xfId="3" applyNumberFormat="1" applyFont="1" applyFill="1" applyBorder="1"/>
    <xf numFmtId="171" fontId="25" fillId="0" borderId="44" xfId="0" applyNumberFormat="1" applyFont="1" applyFill="1" applyBorder="1"/>
    <xf numFmtId="0" fontId="25" fillId="0" borderId="45" xfId="0" applyFont="1" applyFill="1" applyBorder="1"/>
    <xf numFmtId="0" fontId="0" fillId="0" borderId="41" xfId="0" applyFont="1" applyBorder="1"/>
    <xf numFmtId="0" fontId="21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5" fillId="0" borderId="44" xfId="3" applyNumberFormat="1" applyFont="1" applyFill="1" applyBorder="1"/>
    <xf numFmtId="0" fontId="25" fillId="0" borderId="44" xfId="90" applyNumberFormat="1" applyFont="1" applyFill="1" applyBorder="1"/>
    <xf numFmtId="11" fontId="25" fillId="0" borderId="44" xfId="90" applyNumberFormat="1" applyFont="1" applyFill="1" applyBorder="1"/>
    <xf numFmtId="170" fontId="25" fillId="0" borderId="44" xfId="90" applyFont="1" applyFill="1" applyBorder="1"/>
    <xf numFmtId="178" fontId="25" fillId="0" borderId="44" xfId="90" applyNumberFormat="1" applyFont="1" applyFill="1" applyBorder="1"/>
    <xf numFmtId="2" fontId="25" fillId="0" borderId="44" xfId="3" applyNumberFormat="1" applyFont="1" applyFill="1" applyBorder="1"/>
    <xf numFmtId="0" fontId="25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5" fillId="0" borderId="44" xfId="0" applyNumberFormat="1" applyFont="1" applyFill="1" applyBorder="1"/>
    <xf numFmtId="0" fontId="10" fillId="0" borderId="41" xfId="7" applyNumberFormat="1" applyFont="1" applyBorder="1" applyAlignment="1"/>
    <xf numFmtId="171" fontId="25" fillId="0" borderId="44" xfId="3" applyNumberFormat="1" applyFont="1" applyFill="1" applyBorder="1"/>
    <xf numFmtId="37" fontId="25" fillId="0" borderId="44" xfId="0" applyNumberFormat="1" applyFont="1" applyFill="1" applyBorder="1"/>
    <xf numFmtId="0" fontId="24" fillId="0" borderId="44" xfId="8" applyBorder="1"/>
    <xf numFmtId="0" fontId="9" fillId="12" borderId="33" xfId="0" applyFont="1" applyFill="1" applyBorder="1"/>
    <xf numFmtId="0" fontId="9" fillId="12" borderId="0" xfId="0" applyFont="1" applyFill="1" applyBorder="1"/>
    <xf numFmtId="0" fontId="25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28" fillId="0" borderId="44" xfId="0" applyNumberFormat="1" applyFont="1" applyBorder="1"/>
    <xf numFmtId="37" fontId="28" fillId="0" borderId="44" xfId="0" applyNumberFormat="1" applyFont="1" applyBorder="1"/>
    <xf numFmtId="0" fontId="28" fillId="0" borderId="44" xfId="0" applyFont="1" applyBorder="1"/>
    <xf numFmtId="39" fontId="28" fillId="0" borderId="44" xfId="0" applyNumberFormat="1" applyFont="1" applyBorder="1"/>
    <xf numFmtId="171" fontId="28" fillId="0" borderId="44" xfId="3" applyNumberFormat="1" applyFont="1" applyBorder="1"/>
    <xf numFmtId="0" fontId="9" fillId="10" borderId="44" xfId="0" applyFont="1" applyFill="1" applyBorder="1"/>
    <xf numFmtId="0" fontId="9" fillId="10" borderId="49" xfId="0" applyFont="1" applyFill="1" applyBorder="1"/>
    <xf numFmtId="171" fontId="28" fillId="0" borderId="29" xfId="0" applyNumberFormat="1" applyFont="1" applyBorder="1"/>
    <xf numFmtId="0" fontId="28" fillId="0" borderId="29" xfId="0" applyFont="1" applyBorder="1"/>
    <xf numFmtId="169" fontId="28" fillId="0" borderId="29" xfId="0" applyNumberFormat="1" applyFont="1" applyBorder="1"/>
    <xf numFmtId="0" fontId="28" fillId="0" borderId="5" xfId="0" applyFont="1" applyBorder="1"/>
    <xf numFmtId="0" fontId="9" fillId="10" borderId="44" xfId="0" applyFont="1" applyFill="1" applyBorder="1" applyAlignment="1">
      <alignment horizontal="right"/>
    </xf>
    <xf numFmtId="0" fontId="28" fillId="0" borderId="29" xfId="0" applyNumberFormat="1" applyFont="1" applyBorder="1"/>
    <xf numFmtId="175" fontId="28" fillId="0" borderId="29" xfId="0" applyNumberFormat="1" applyFont="1" applyBorder="1"/>
    <xf numFmtId="178" fontId="28" fillId="0" borderId="29" xfId="0" applyNumberFormat="1" applyFont="1" applyBorder="1"/>
    <xf numFmtId="2" fontId="28" fillId="0" borderId="29" xfId="0" applyNumberFormat="1" applyFont="1" applyBorder="1"/>
    <xf numFmtId="170" fontId="28" fillId="0" borderId="29" xfId="0" applyNumberFormat="1" applyFont="1" applyBorder="1"/>
    <xf numFmtId="11" fontId="28" fillId="0" borderId="29" xfId="0" applyNumberFormat="1" applyFont="1" applyBorder="1"/>
    <xf numFmtId="172" fontId="28" fillId="0" borderId="29" xfId="0" applyNumberFormat="1" applyFont="1" applyBorder="1"/>
    <xf numFmtId="0" fontId="28" fillId="0" borderId="0" xfId="0" applyFont="1"/>
    <xf numFmtId="0" fontId="28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25" fillId="0" borderId="44" xfId="7" applyNumberFormat="1" applyFont="1" applyBorder="1" applyAlignment="1" applyProtection="1"/>
    <xf numFmtId="0" fontId="11" fillId="0" borderId="44" xfId="10" applyBorder="1"/>
    <xf numFmtId="2" fontId="25" fillId="0" borderId="44" xfId="10" applyNumberFormat="1" applyFont="1" applyFill="1" applyBorder="1"/>
    <xf numFmtId="0" fontId="25" fillId="0" borderId="44" xfId="10" applyFont="1" applyFill="1" applyBorder="1" applyAlignment="1">
      <alignment horizontal="left" wrapText="1" indent="1"/>
    </xf>
    <xf numFmtId="171" fontId="25" fillId="0" borderId="44" xfId="15" applyNumberFormat="1" applyFont="1" applyFill="1" applyBorder="1" applyAlignment="1">
      <alignment horizontal="left" wrapText="1"/>
    </xf>
    <xf numFmtId="0" fontId="28" fillId="0" borderId="45" xfId="0" applyFont="1" applyBorder="1"/>
    <xf numFmtId="0" fontId="25" fillId="0" borderId="44" xfId="10" applyFont="1" applyFill="1" applyBorder="1"/>
    <xf numFmtId="0" fontId="25" fillId="0" borderId="44" xfId="10" applyFont="1" applyFill="1" applyBorder="1" applyAlignment="1">
      <alignment horizontal="center" wrapText="1"/>
    </xf>
    <xf numFmtId="171" fontId="25" fillId="0" borderId="44" xfId="18" applyNumberFormat="1" applyFont="1" applyFill="1" applyBorder="1" applyAlignment="1">
      <alignment horizontal="left"/>
    </xf>
    <xf numFmtId="0" fontId="25" fillId="0" borderId="44" xfId="10" applyNumberFormat="1" applyFont="1" applyFill="1" applyBorder="1"/>
    <xf numFmtId="0" fontId="25" fillId="0" borderId="44" xfId="9" applyFont="1" applyFill="1" applyBorder="1" applyAlignment="1">
      <alignment wrapText="1"/>
    </xf>
    <xf numFmtId="0" fontId="9" fillId="10" borderId="45" xfId="0" applyFont="1" applyFill="1" applyBorder="1"/>
    <xf numFmtId="165" fontId="10" fillId="0" borderId="5" xfId="7" applyNumberFormat="1" applyFont="1" applyBorder="1" applyAlignment="1" applyProtection="1"/>
    <xf numFmtId="2" fontId="10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0" fillId="0" borderId="0" xfId="7" applyNumberFormat="1" applyFont="1" applyBorder="1" applyAlignment="1" applyProtection="1"/>
    <xf numFmtId="172" fontId="10" fillId="0" borderId="0" xfId="7" applyNumberFormat="1" applyFont="1" applyBorder="1" applyAlignment="1" applyProtection="1"/>
    <xf numFmtId="11" fontId="10" fillId="0" borderId="0" xfId="0" applyNumberFormat="1" applyFont="1" applyBorder="1" applyAlignment="1"/>
    <xf numFmtId="164" fontId="10" fillId="0" borderId="0" xfId="7" applyNumberFormat="1" applyFont="1" applyBorder="1" applyAlignment="1" applyProtection="1"/>
    <xf numFmtId="0" fontId="10" fillId="0" borderId="0" xfId="0" applyFont="1" applyBorder="1" applyAlignment="1"/>
    <xf numFmtId="165" fontId="10" fillId="0" borderId="0" xfId="7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42" xfId="0" applyFont="1" applyBorder="1" applyAlignment="1"/>
    <xf numFmtId="0" fontId="25" fillId="0" borderId="44" xfId="0" applyFont="1" applyFill="1" applyBorder="1" applyAlignment="1" applyProtection="1">
      <alignment wrapText="1"/>
    </xf>
    <xf numFmtId="0" fontId="28" fillId="0" borderId="50" xfId="0" applyFont="1" applyBorder="1"/>
    <xf numFmtId="0" fontId="9" fillId="10" borderId="50" xfId="0" applyFont="1" applyFill="1" applyBorder="1"/>
    <xf numFmtId="0" fontId="9" fillId="0" borderId="51" xfId="0" applyFont="1" applyBorder="1"/>
    <xf numFmtId="0" fontId="9" fillId="10" borderId="43" xfId="0" applyFont="1" applyFill="1" applyBorder="1"/>
    <xf numFmtId="0" fontId="28" fillId="0" borderId="0" xfId="0" applyFont="1" applyBorder="1"/>
    <xf numFmtId="0" fontId="9" fillId="10" borderId="52" xfId="0" applyFont="1" applyFill="1" applyBorder="1"/>
    <xf numFmtId="0" fontId="28" fillId="0" borderId="0" xfId="0" applyFont="1" applyBorder="1" applyAlignment="1">
      <alignment horizontal="left"/>
    </xf>
    <xf numFmtId="0" fontId="24" fillId="10" borderId="15" xfId="8" applyFill="1" applyBorder="1"/>
    <xf numFmtId="0" fontId="9" fillId="10" borderId="53" xfId="0" applyFont="1" applyFill="1" applyBorder="1"/>
    <xf numFmtId="165" fontId="25" fillId="0" borderId="44" xfId="7" applyNumberFormat="1" applyFont="1" applyBorder="1" applyAlignment="1" applyProtection="1"/>
    <xf numFmtId="0" fontId="25" fillId="0" borderId="44" xfId="10" applyNumberFormat="1" applyFont="1" applyFill="1" applyBorder="1" applyAlignment="1">
      <alignment horizontal="left" wrapText="1"/>
    </xf>
    <xf numFmtId="0" fontId="25" fillId="0" borderId="44" xfId="10" applyFont="1" applyBorder="1"/>
    <xf numFmtId="175" fontId="25" fillId="0" borderId="44" xfId="90" applyNumberFormat="1" applyFont="1" applyFill="1" applyBorder="1"/>
    <xf numFmtId="11" fontId="25" fillId="0" borderId="44" xfId="22" applyNumberFormat="1" applyFont="1" applyFill="1" applyBorder="1"/>
    <xf numFmtId="11" fontId="25" fillId="0" borderId="44" xfId="10" applyNumberFormat="1" applyFont="1" applyFill="1" applyBorder="1" applyAlignment="1">
      <alignment horizontal="left" wrapText="1"/>
    </xf>
    <xf numFmtId="172" fontId="25" fillId="0" borderId="44" xfId="10" applyNumberFormat="1" applyFont="1" applyFill="1" applyBorder="1"/>
    <xf numFmtId="0" fontId="25" fillId="0" borderId="44" xfId="10" applyFont="1" applyFill="1" applyBorder="1" applyAlignment="1">
      <alignment horizontal="left" wrapText="1"/>
    </xf>
    <xf numFmtId="0" fontId="25" fillId="0" borderId="44" xfId="10" applyFont="1" applyFill="1" applyBorder="1" applyAlignment="1" applyProtection="1">
      <alignment wrapText="1"/>
    </xf>
    <xf numFmtId="0" fontId="25" fillId="0" borderId="45" xfId="10" applyFont="1" applyFill="1" applyBorder="1"/>
    <xf numFmtId="0" fontId="24" fillId="0" borderId="0" xfId="8" quotePrefix="1" applyFill="1"/>
    <xf numFmtId="185" fontId="0" fillId="0" borderId="0" xfId="0" applyNumberFormat="1" applyBorder="1"/>
    <xf numFmtId="169" fontId="25" fillId="0" borderId="44" xfId="18" applyFont="1" applyFill="1" applyBorder="1"/>
    <xf numFmtId="0" fontId="25" fillId="0" borderId="54" xfId="9" applyFont="1" applyFill="1" applyBorder="1" applyAlignment="1">
      <alignment wrapText="1"/>
    </xf>
    <xf numFmtId="37" fontId="25" fillId="0" borderId="44" xfId="18" applyNumberFormat="1" applyFont="1" applyFill="1" applyBorder="1"/>
    <xf numFmtId="39" fontId="25" fillId="0" borderId="44" xfId="18" applyNumberFormat="1" applyFont="1" applyFill="1" applyBorder="1"/>
    <xf numFmtId="173" fontId="11" fillId="0" borderId="44" xfId="14" applyBorder="1">
      <alignment vertical="center" wrapText="1"/>
    </xf>
    <xf numFmtId="169" fontId="25" fillId="0" borderId="44" xfId="18" applyNumberFormat="1" applyFont="1" applyFill="1" applyBorder="1"/>
    <xf numFmtId="171" fontId="25" fillId="0" borderId="44" xfId="18" applyNumberFormat="1" applyFont="1" applyFill="1" applyBorder="1"/>
    <xf numFmtId="169" fontId="25" fillId="0" borderId="55" xfId="18" applyFont="1" applyFill="1" applyBorder="1"/>
    <xf numFmtId="0" fontId="24" fillId="0" borderId="44" xfId="8" applyFill="1" applyBorder="1"/>
    <xf numFmtId="0" fontId="25" fillId="0" borderId="56" xfId="0" applyFont="1" applyFill="1" applyBorder="1"/>
    <xf numFmtId="0" fontId="24" fillId="0" borderId="0" xfId="8" applyFill="1"/>
    <xf numFmtId="0" fontId="9" fillId="12" borderId="28" xfId="0" applyFont="1" applyFill="1" applyBorder="1"/>
    <xf numFmtId="0" fontId="9" fillId="12" borderId="44" xfId="0" applyFont="1" applyFill="1" applyBorder="1"/>
    <xf numFmtId="0" fontId="9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9" fillId="10" borderId="44" xfId="0" applyNumberFormat="1" applyFont="1" applyFill="1" applyBorder="1"/>
    <xf numFmtId="165" fontId="25" fillId="0" borderId="58" xfId="7" applyNumberFormat="1" applyFont="1" applyBorder="1" applyAlignment="1" applyProtection="1"/>
    <xf numFmtId="0" fontId="0" fillId="0" borderId="44" xfId="0" applyBorder="1"/>
    <xf numFmtId="169" fontId="25" fillId="0" borderId="44" xfId="3" applyFont="1" applyFill="1" applyBorder="1" applyAlignment="1">
      <alignment wrapText="1"/>
    </xf>
    <xf numFmtId="0" fontId="25" fillId="0" borderId="44" xfId="10" applyFont="1" applyBorder="1" applyAlignment="1">
      <alignment wrapText="1"/>
    </xf>
    <xf numFmtId="0" fontId="0" fillId="0" borderId="59" xfId="0" applyBorder="1"/>
    <xf numFmtId="0" fontId="21" fillId="0" borderId="0" xfId="9" applyFont="1" applyFill="1" applyBorder="1" applyAlignment="1">
      <alignment wrapText="1"/>
    </xf>
    <xf numFmtId="2" fontId="25" fillId="0" borderId="58" xfId="10" applyNumberFormat="1" applyFont="1" applyFill="1" applyBorder="1"/>
    <xf numFmtId="0" fontId="21" fillId="0" borderId="59" xfId="9" applyFont="1" applyFill="1" applyBorder="1" applyAlignment="1">
      <alignment wrapText="1"/>
    </xf>
    <xf numFmtId="0" fontId="25" fillId="0" borderId="58" xfId="10" applyNumberFormat="1" applyFont="1" applyFill="1" applyBorder="1" applyAlignment="1">
      <alignment horizontal="left" wrapText="1"/>
    </xf>
    <xf numFmtId="0" fontId="25" fillId="0" borderId="60" xfId="10" applyFont="1" applyFill="1" applyBorder="1"/>
    <xf numFmtId="0" fontId="25" fillId="0" borderId="45" xfId="10" applyFont="1" applyBorder="1" applyAlignment="1">
      <alignment wrapText="1"/>
    </xf>
    <xf numFmtId="0" fontId="0" fillId="0" borderId="54" xfId="0" applyBorder="1"/>
    <xf numFmtId="0" fontId="21" fillId="0" borderId="54" xfId="9" applyFont="1" applyFill="1" applyBorder="1" applyAlignment="1">
      <alignment wrapText="1"/>
    </xf>
    <xf numFmtId="0" fontId="0" fillId="0" borderId="0" xfId="0" applyFill="1"/>
    <xf numFmtId="0" fontId="24" fillId="0" borderId="0" xfId="8" applyFill="1" applyBorder="1"/>
    <xf numFmtId="0" fontId="0" fillId="0" borderId="0" xfId="0" applyFill="1" applyBorder="1"/>
    <xf numFmtId="0" fontId="25" fillId="0" borderId="44" xfId="10" applyFont="1" applyFill="1" applyBorder="1" applyAlignment="1">
      <alignment wrapText="1"/>
    </xf>
    <xf numFmtId="0" fontId="25" fillId="0" borderId="44" xfId="10" applyFont="1" applyFill="1" applyBorder="1" applyAlignment="1">
      <alignment horizontal="right" wrapText="1" indent="1"/>
    </xf>
    <xf numFmtId="171" fontId="25" fillId="0" borderId="44" xfId="15" applyNumberFormat="1" applyFont="1" applyFill="1" applyBorder="1" applyAlignment="1">
      <alignment horizontal="center" wrapText="1"/>
    </xf>
    <xf numFmtId="0" fontId="25" fillId="0" borderId="45" xfId="10" applyFont="1" applyFill="1" applyBorder="1" applyAlignment="1">
      <alignment wrapText="1"/>
    </xf>
    <xf numFmtId="174" fontId="25" fillId="0" borderId="44" xfId="10" applyNumberFormat="1" applyFont="1" applyFill="1" applyBorder="1" applyAlignment="1">
      <alignment wrapText="1"/>
    </xf>
    <xf numFmtId="174" fontId="25" fillId="0" borderId="44" xfId="10" applyNumberFormat="1" applyFont="1" applyFill="1" applyBorder="1" applyAlignment="1">
      <alignment horizontal="right" wrapText="1" indent="1"/>
    </xf>
    <xf numFmtId="165" fontId="10" fillId="0" borderId="44" xfId="7" applyNumberFormat="1" applyFont="1" applyBorder="1" applyAlignment="1" applyProtection="1"/>
    <xf numFmtId="0" fontId="9" fillId="12" borderId="27" xfId="0" applyFont="1" applyFill="1" applyBorder="1"/>
    <xf numFmtId="165" fontId="25" fillId="0" borderId="15" xfId="7" applyNumberFormat="1" applyFont="1" applyBorder="1" applyAlignment="1" applyProtection="1"/>
    <xf numFmtId="37" fontId="25" fillId="0" borderId="44" xfId="15" applyNumberFormat="1" applyFont="1" applyFill="1" applyBorder="1" applyAlignment="1">
      <alignment horizontal="right" wrapText="1" indent="1"/>
    </xf>
    <xf numFmtId="0" fontId="25" fillId="0" borderId="44" xfId="10" applyNumberFormat="1" applyFont="1" applyFill="1" applyBorder="1" applyAlignment="1">
      <alignment horizontal="left" wrapText="1" indent="1"/>
    </xf>
    <xf numFmtId="39" fontId="25" fillId="0" borderId="44" xfId="15" applyNumberFormat="1" applyFont="1" applyFill="1" applyBorder="1" applyAlignment="1">
      <alignment horizontal="left" wrapText="1" indent="1"/>
    </xf>
    <xf numFmtId="171" fontId="25" fillId="0" borderId="44" xfId="10" applyNumberFormat="1" applyFont="1" applyFill="1" applyBorder="1" applyAlignment="1">
      <alignment horizontal="center" wrapText="1"/>
    </xf>
    <xf numFmtId="165" fontId="25" fillId="0" borderId="24" xfId="7" applyNumberFormat="1" applyFont="1" applyBorder="1" applyAlignment="1" applyProtection="1"/>
    <xf numFmtId="165" fontId="25" fillId="0" borderId="33" xfId="7" applyNumberFormat="1" applyFont="1" applyBorder="1" applyAlignment="1" applyProtection="1"/>
    <xf numFmtId="0" fontId="25" fillId="0" borderId="44" xfId="10" applyNumberFormat="1" applyFont="1" applyFill="1" applyBorder="1" applyAlignment="1">
      <alignment horizontal="right" wrapText="1" indent="1"/>
    </xf>
    <xf numFmtId="0" fontId="25" fillId="0" borderId="44" xfId="10" applyFont="1" applyFill="1" applyBorder="1" applyAlignment="1">
      <alignment horizontal="right" wrapText="1"/>
    </xf>
    <xf numFmtId="171" fontId="25" fillId="0" borderId="55" xfId="15" applyNumberFormat="1" applyFont="1" applyFill="1" applyBorder="1" applyAlignment="1">
      <alignment horizontal="center" wrapText="1"/>
    </xf>
    <xf numFmtId="0" fontId="25" fillId="0" borderId="45" xfId="10" applyFont="1" applyBorder="1"/>
    <xf numFmtId="0" fontId="11" fillId="0" borderId="44" xfId="10" applyBorder="1" applyAlignment="1">
      <alignment horizontal="right"/>
    </xf>
    <xf numFmtId="0" fontId="25" fillId="0" borderId="44" xfId="22" applyNumberFormat="1" applyFont="1" applyFill="1" applyBorder="1" applyAlignment="1">
      <alignment horizontal="right" wrapText="1"/>
    </xf>
    <xf numFmtId="177" fontId="25" fillId="0" borderId="44" xfId="22" applyNumberFormat="1" applyFont="1" applyFill="1" applyBorder="1" applyAlignment="1">
      <alignment horizontal="right" wrapText="1"/>
    </xf>
    <xf numFmtId="11" fontId="25" fillId="0" borderId="44" xfId="22" applyNumberFormat="1" applyFont="1" applyFill="1" applyBorder="1" applyAlignment="1">
      <alignment horizontal="right" wrapText="1"/>
    </xf>
    <xf numFmtId="170" fontId="25" fillId="0" borderId="44" xfId="90" applyFont="1" applyFill="1" applyBorder="1" applyAlignment="1"/>
    <xf numFmtId="0" fontId="25" fillId="0" borderId="44" xfId="10" applyFont="1" applyFill="1" applyBorder="1" applyAlignment="1"/>
    <xf numFmtId="186" fontId="25" fillId="0" borderId="44" xfId="10" applyNumberFormat="1" applyFont="1" applyFill="1" applyBorder="1" applyAlignment="1"/>
    <xf numFmtId="0" fontId="25" fillId="0" borderId="44" xfId="10" applyFont="1" applyFill="1" applyBorder="1" applyAlignment="1" applyProtection="1">
      <alignment horizontal="left" wrapText="1"/>
    </xf>
    <xf numFmtId="0" fontId="25" fillId="0" borderId="44" xfId="10" applyNumberFormat="1" applyFont="1" applyFill="1" applyBorder="1" applyAlignment="1">
      <alignment wrapText="1"/>
    </xf>
    <xf numFmtId="0" fontId="25" fillId="0" borderId="44" xfId="90" applyNumberFormat="1" applyFont="1" applyFill="1" applyBorder="1" applyAlignment="1">
      <alignment horizontal="right"/>
    </xf>
    <xf numFmtId="175" fontId="25" fillId="0" borderId="44" xfId="90" applyNumberFormat="1" applyFont="1" applyFill="1" applyBorder="1" applyAlignment="1">
      <alignment horizontal="right"/>
    </xf>
    <xf numFmtId="11" fontId="25" fillId="0" borderId="44" xfId="22" applyNumberFormat="1" applyFont="1" applyFill="1" applyBorder="1" applyAlignment="1">
      <alignment horizontal="right"/>
    </xf>
    <xf numFmtId="11" fontId="25" fillId="0" borderId="44" xfId="10" applyNumberFormat="1" applyFont="1" applyFill="1" applyBorder="1"/>
    <xf numFmtId="1" fontId="25" fillId="0" borderId="44" xfId="90" applyNumberFormat="1" applyFont="1" applyFill="1" applyBorder="1"/>
    <xf numFmtId="11" fontId="25" fillId="0" borderId="44" xfId="10" applyNumberFormat="1" applyFont="1" applyFill="1" applyBorder="1" applyAlignment="1">
      <alignment wrapText="1"/>
    </xf>
    <xf numFmtId="186" fontId="25" fillId="0" borderId="44" xfId="10" applyNumberFormat="1" applyFont="1" applyFill="1" applyBorder="1"/>
    <xf numFmtId="0" fontId="9" fillId="10" borderId="61" xfId="0" applyFont="1" applyFill="1" applyBorder="1"/>
    <xf numFmtId="0" fontId="25" fillId="0" borderId="61" xfId="10" applyFont="1" applyFill="1" applyBorder="1"/>
    <xf numFmtId="0" fontId="25" fillId="0" borderId="62" xfId="9" applyFont="1" applyFill="1" applyBorder="1" applyAlignment="1">
      <alignment wrapText="1"/>
    </xf>
    <xf numFmtId="0" fontId="9" fillId="10" borderId="63" xfId="0" applyFont="1" applyFill="1" applyBorder="1"/>
    <xf numFmtId="0" fontId="28" fillId="0" borderId="36" xfId="0" applyFont="1" applyBorder="1"/>
    <xf numFmtId="0" fontId="25" fillId="0" borderId="36" xfId="0" applyFont="1" applyFill="1" applyBorder="1" applyAlignment="1" applyProtection="1">
      <alignment vertical="center" wrapText="1"/>
    </xf>
    <xf numFmtId="0" fontId="28" fillId="0" borderId="63" xfId="0" applyFont="1" applyBorder="1"/>
    <xf numFmtId="165" fontId="9" fillId="10" borderId="36" xfId="0" applyNumberFormat="1" applyFont="1" applyFill="1" applyBorder="1"/>
    <xf numFmtId="165" fontId="25" fillId="0" borderId="36" xfId="7" applyNumberFormat="1" applyFont="1" applyBorder="1" applyAlignment="1" applyProtection="1"/>
    <xf numFmtId="0" fontId="25" fillId="0" borderId="36" xfId="10" applyFont="1" applyBorder="1"/>
    <xf numFmtId="0" fontId="25" fillId="0" borderId="36" xfId="9" applyFont="1" applyFill="1" applyBorder="1" applyAlignment="1">
      <alignment wrapText="1"/>
    </xf>
    <xf numFmtId="2" fontId="25" fillId="0" borderId="36" xfId="10" applyNumberFormat="1" applyFont="1" applyFill="1" applyBorder="1"/>
    <xf numFmtId="0" fontId="25" fillId="0" borderId="36" xfId="10" applyFont="1" applyFill="1" applyBorder="1" applyAlignment="1">
      <alignment horizontal="left" wrapText="1" indent="1"/>
    </xf>
    <xf numFmtId="171" fontId="25" fillId="0" borderId="36" xfId="15" applyNumberFormat="1" applyFont="1" applyFill="1" applyBorder="1" applyAlignment="1">
      <alignment horizontal="center" wrapText="1"/>
    </xf>
    <xf numFmtId="0" fontId="25" fillId="0" borderId="36" xfId="10" applyNumberFormat="1" applyFont="1" applyFill="1" applyBorder="1" applyAlignment="1">
      <alignment horizontal="left" wrapText="1"/>
    </xf>
    <xf numFmtId="0" fontId="25" fillId="0" borderId="36" xfId="10" applyFont="1" applyFill="1" applyBorder="1" applyAlignment="1">
      <alignment wrapText="1"/>
    </xf>
    <xf numFmtId="0" fontId="25" fillId="0" borderId="64" xfId="10" applyFont="1" applyFill="1" applyBorder="1" applyAlignment="1">
      <alignment wrapText="1"/>
    </xf>
    <xf numFmtId="165" fontId="25" fillId="0" borderId="64" xfId="7" applyNumberFormat="1" applyFont="1" applyBorder="1" applyAlignment="1" applyProtection="1"/>
    <xf numFmtId="0" fontId="25" fillId="0" borderId="64" xfId="10" applyFont="1" applyBorder="1" applyAlignment="1">
      <alignment wrapText="1"/>
    </xf>
    <xf numFmtId="0" fontId="25" fillId="0" borderId="64" xfId="10" applyFont="1" applyFill="1" applyBorder="1" applyAlignment="1">
      <alignment horizontal="left" wrapText="1" indent="1"/>
    </xf>
    <xf numFmtId="171" fontId="25" fillId="0" borderId="64" xfId="15" applyNumberFormat="1" applyFont="1" applyFill="1" applyBorder="1" applyAlignment="1">
      <alignment horizontal="center" wrapText="1"/>
    </xf>
    <xf numFmtId="0" fontId="25" fillId="0" borderId="64" xfId="10" applyNumberFormat="1" applyFont="1" applyFill="1" applyBorder="1" applyAlignment="1">
      <alignment horizontal="left" wrapText="1"/>
    </xf>
    <xf numFmtId="0" fontId="25" fillId="0" borderId="64" xfId="10" applyFont="1" applyBorder="1"/>
    <xf numFmtId="0" fontId="25" fillId="0" borderId="64" xfId="9" applyFont="1" applyFill="1" applyBorder="1" applyAlignment="1">
      <alignment wrapText="1"/>
    </xf>
    <xf numFmtId="2" fontId="25" fillId="0" borderId="64" xfId="10" applyNumberFormat="1" applyFont="1" applyFill="1" applyBorder="1"/>
    <xf numFmtId="0" fontId="9" fillId="10" borderId="64" xfId="0" applyFont="1" applyFill="1" applyBorder="1"/>
    <xf numFmtId="0" fontId="25" fillId="0" borderId="36" xfId="90" applyNumberFormat="1" applyFont="1" applyFill="1" applyBorder="1" applyAlignment="1">
      <alignment horizontal="right"/>
    </xf>
    <xf numFmtId="0" fontId="11" fillId="0" borderId="36" xfId="10" applyNumberFormat="1" applyBorder="1" applyAlignment="1">
      <alignment horizontal="right"/>
    </xf>
    <xf numFmtId="175" fontId="25" fillId="0" borderId="36" xfId="90" applyNumberFormat="1" applyFont="1" applyFill="1" applyBorder="1" applyAlignment="1">
      <alignment horizontal="right"/>
    </xf>
    <xf numFmtId="11" fontId="25" fillId="0" borderId="36" xfId="22" applyNumberFormat="1" applyFont="1" applyFill="1" applyBorder="1" applyAlignment="1">
      <alignment horizontal="right"/>
    </xf>
    <xf numFmtId="11" fontId="25" fillId="0" borderId="36" xfId="10" applyNumberFormat="1" applyFont="1" applyFill="1" applyBorder="1" applyAlignment="1">
      <alignment horizontal="left" wrapText="1"/>
    </xf>
    <xf numFmtId="170" fontId="25" fillId="0" borderId="36" xfId="90" applyFont="1" applyFill="1" applyBorder="1" applyAlignment="1"/>
    <xf numFmtId="0" fontId="25" fillId="0" borderId="36" xfId="10" applyFont="1" applyFill="1" applyBorder="1" applyAlignment="1"/>
    <xf numFmtId="186" fontId="25" fillId="0" borderId="36" xfId="10" applyNumberFormat="1" applyFont="1" applyFill="1" applyBorder="1" applyAlignment="1"/>
    <xf numFmtId="0" fontId="25" fillId="0" borderId="36" xfId="10" applyFont="1" applyFill="1" applyBorder="1" applyAlignment="1">
      <alignment horizontal="left" wrapText="1"/>
    </xf>
    <xf numFmtId="0" fontId="25" fillId="0" borderId="36" xfId="10" applyFont="1" applyFill="1" applyBorder="1" applyAlignment="1" applyProtection="1">
      <alignment horizontal="left" wrapText="1"/>
    </xf>
    <xf numFmtId="165" fontId="10" fillId="0" borderId="64" xfId="7" applyNumberFormat="1" applyFont="1" applyBorder="1" applyAlignment="1" applyProtection="1"/>
    <xf numFmtId="37" fontId="25" fillId="0" borderId="64" xfId="3" applyNumberFormat="1" applyFont="1" applyFill="1" applyBorder="1"/>
    <xf numFmtId="0" fontId="25" fillId="0" borderId="64" xfId="94" applyNumberFormat="1" applyFont="1" applyFill="1" applyBorder="1"/>
    <xf numFmtId="0" fontId="25" fillId="0" borderId="64" xfId="94" applyFont="1" applyFill="1" applyBorder="1"/>
    <xf numFmtId="39" fontId="25" fillId="0" borderId="64" xfId="3" applyNumberFormat="1" applyFont="1" applyFill="1" applyBorder="1"/>
    <xf numFmtId="169" fontId="25" fillId="0" borderId="64" xfId="18" applyFont="1" applyFill="1" applyBorder="1"/>
    <xf numFmtId="0" fontId="25" fillId="0" borderId="64" xfId="94" applyFont="1" applyFill="1" applyBorder="1" applyAlignment="1" applyProtection="1">
      <alignment vertical="center" wrapText="1"/>
    </xf>
    <xf numFmtId="165" fontId="10" fillId="0" borderId="33" xfId="7" applyNumberFormat="1" applyFont="1" applyBorder="1" applyAlignment="1" applyProtection="1"/>
    <xf numFmtId="37" fontId="25" fillId="0" borderId="58" xfId="3" applyNumberFormat="1" applyFont="1" applyFill="1" applyBorder="1"/>
    <xf numFmtId="0" fontId="25" fillId="0" borderId="58" xfId="94" applyNumberFormat="1" applyFont="1" applyFill="1" applyBorder="1"/>
    <xf numFmtId="0" fontId="25" fillId="0" borderId="58" xfId="94" applyFont="1" applyFill="1" applyBorder="1"/>
    <xf numFmtId="39" fontId="25" fillId="0" borderId="58" xfId="3" applyNumberFormat="1" applyFont="1" applyFill="1" applyBorder="1"/>
    <xf numFmtId="169" fontId="25" fillId="0" borderId="58" xfId="18" applyFont="1" applyFill="1" applyBorder="1"/>
    <xf numFmtId="173" fontId="11" fillId="0" borderId="58" xfId="14" applyBorder="1">
      <alignment vertical="center" wrapText="1"/>
    </xf>
    <xf numFmtId="0" fontId="25" fillId="0" borderId="64" xfId="18" applyNumberFormat="1" applyFont="1" applyFill="1" applyBorder="1"/>
    <xf numFmtId="169" fontId="28" fillId="0" borderId="65" xfId="92" applyNumberFormat="1" applyFont="1" applyFill="1" applyBorder="1"/>
    <xf numFmtId="0" fontId="25" fillId="0" borderId="66" xfId="94" applyFont="1" applyFill="1" applyBorder="1"/>
    <xf numFmtId="0" fontId="25" fillId="0" borderId="66" xfId="94" applyFont="1" applyFill="1" applyBorder="1" applyAlignment="1" applyProtection="1">
      <alignment vertical="center" wrapText="1"/>
    </xf>
    <xf numFmtId="43" fontId="25" fillId="0" borderId="66" xfId="85" applyFont="1" applyFill="1" applyBorder="1"/>
    <xf numFmtId="169" fontId="25" fillId="0" borderId="66" xfId="18" applyFont="1" applyFill="1" applyBorder="1"/>
    <xf numFmtId="165" fontId="10" fillId="0" borderId="66" xfId="7" applyNumberFormat="1" applyFont="1" applyBorder="1" applyAlignment="1" applyProtection="1">
      <alignment wrapText="1"/>
    </xf>
    <xf numFmtId="37" fontId="25" fillId="0" borderId="66" xfId="3" applyNumberFormat="1" applyFont="1" applyFill="1" applyBorder="1" applyAlignment="1">
      <alignment wrapText="1"/>
    </xf>
    <xf numFmtId="0" fontId="25" fillId="0" borderId="66" xfId="94" applyNumberFormat="1" applyFont="1" applyFill="1" applyBorder="1" applyAlignment="1">
      <alignment wrapText="1"/>
    </xf>
    <xf numFmtId="0" fontId="25" fillId="0" borderId="66" xfId="94" applyFont="1" applyFill="1" applyBorder="1" applyAlignment="1">
      <alignment wrapText="1"/>
    </xf>
    <xf numFmtId="39" fontId="25" fillId="0" borderId="66" xfId="3" applyNumberFormat="1" applyFont="1" applyFill="1" applyBorder="1" applyAlignment="1">
      <alignment wrapText="1"/>
    </xf>
    <xf numFmtId="169" fontId="25" fillId="0" borderId="66" xfId="18" applyFont="1" applyFill="1" applyBorder="1" applyAlignment="1">
      <alignment wrapText="1"/>
    </xf>
    <xf numFmtId="0" fontId="25" fillId="0" borderId="66" xfId="95" applyFont="1" applyFill="1" applyBorder="1" applyAlignment="1" applyProtection="1">
      <alignment vertical="center" wrapText="1"/>
    </xf>
    <xf numFmtId="173" fontId="11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5" fillId="0" borderId="66" xfId="9" applyFont="1" applyFill="1" applyBorder="1" applyAlignment="1">
      <alignment wrapText="1"/>
    </xf>
    <xf numFmtId="171" fontId="1" fillId="0" borderId="68" xfId="91" applyNumberFormat="1" applyFont="1" applyBorder="1"/>
    <xf numFmtId="0" fontId="10" fillId="0" borderId="66" xfId="0" applyFont="1" applyBorder="1"/>
    <xf numFmtId="165" fontId="10" fillId="0" borderId="69" xfId="7" applyNumberFormat="1" applyFont="1" applyBorder="1" applyAlignment="1" applyProtection="1"/>
    <xf numFmtId="0" fontId="32" fillId="0" borderId="66" xfId="96" applyFont="1" applyFill="1" applyBorder="1"/>
    <xf numFmtId="0" fontId="25" fillId="0" borderId="66" xfId="96" applyFont="1" applyFill="1" applyBorder="1"/>
    <xf numFmtId="0" fontId="25" fillId="0" borderId="66" xfId="96" applyNumberFormat="1" applyFont="1" applyFill="1" applyBorder="1"/>
    <xf numFmtId="0" fontId="35" fillId="0" borderId="66" xfId="9" applyFont="1" applyFill="1" applyBorder="1" applyAlignment="1">
      <alignment wrapText="1"/>
    </xf>
    <xf numFmtId="0" fontId="25" fillId="0" borderId="66" xfId="96" applyFont="1" applyFill="1" applyBorder="1" applyAlignment="1">
      <alignment wrapText="1"/>
    </xf>
    <xf numFmtId="0" fontId="35" fillId="0" borderId="66" xfId="96" applyNumberFormat="1" applyFont="1" applyFill="1" applyBorder="1"/>
    <xf numFmtId="0" fontId="25" fillId="0" borderId="66" xfId="10" applyFont="1" applyFill="1" applyBorder="1"/>
    <xf numFmtId="0" fontId="25" fillId="0" borderId="66" xfId="10" applyFont="1" applyBorder="1"/>
    <xf numFmtId="169" fontId="25" fillId="0" borderId="55" xfId="3" applyFont="1" applyFill="1" applyBorder="1"/>
    <xf numFmtId="165" fontId="10" fillId="0" borderId="28" xfId="7" applyNumberFormat="1" applyFont="1" applyBorder="1" applyAlignment="1" applyProtection="1"/>
    <xf numFmtId="169" fontId="25" fillId="0" borderId="66" xfId="3" applyFont="1" applyFill="1" applyBorder="1"/>
    <xf numFmtId="0" fontId="25" fillId="0" borderId="58" xfId="10" applyFont="1" applyFill="1" applyBorder="1" applyAlignment="1">
      <alignment wrapText="1" shrinkToFit="1"/>
    </xf>
    <xf numFmtId="0" fontId="25" fillId="0" borderId="58" xfId="9" applyFont="1" applyFill="1" applyBorder="1" applyAlignment="1">
      <alignment wrapText="1"/>
    </xf>
    <xf numFmtId="174" fontId="25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0" fillId="0" borderId="28" xfId="0" applyFont="1" applyBorder="1"/>
    <xf numFmtId="0" fontId="25" fillId="0" borderId="66" xfId="0" applyFont="1" applyFill="1" applyBorder="1" applyAlignment="1" applyProtection="1">
      <alignment vertical="center" wrapText="1"/>
    </xf>
    <xf numFmtId="0" fontId="9" fillId="9" borderId="33" xfId="0" applyFont="1" applyFill="1" applyBorder="1"/>
    <xf numFmtId="165" fontId="10" fillId="0" borderId="66" xfId="7" applyNumberFormat="1" applyFont="1" applyBorder="1" applyAlignment="1" applyProtection="1"/>
    <xf numFmtId="171" fontId="10" fillId="0" borderId="66" xfId="0" applyNumberFormat="1" applyFont="1" applyBorder="1"/>
    <xf numFmtId="0" fontId="24" fillId="0" borderId="66" xfId="8" applyBorder="1"/>
    <xf numFmtId="0" fontId="10" fillId="0" borderId="33" xfId="0" applyFont="1" applyBorder="1"/>
    <xf numFmtId="171" fontId="10" fillId="0" borderId="33" xfId="0" applyNumberFormat="1" applyFont="1" applyBorder="1"/>
    <xf numFmtId="0" fontId="24" fillId="0" borderId="33" xfId="8" applyBorder="1"/>
    <xf numFmtId="171" fontId="10" fillId="0" borderId="15" xfId="0" applyNumberFormat="1" applyFont="1" applyBorder="1"/>
    <xf numFmtId="171" fontId="10" fillId="0" borderId="15" xfId="91" applyNumberFormat="1" applyFont="1" applyBorder="1"/>
    <xf numFmtId="165" fontId="10" fillId="0" borderId="24" xfId="7" applyNumberFormat="1" applyFont="1" applyBorder="1" applyAlignment="1" applyProtection="1"/>
    <xf numFmtId="0" fontId="10" fillId="0" borderId="24" xfId="0" applyFont="1" applyBorder="1"/>
    <xf numFmtId="171" fontId="10" fillId="0" borderId="24" xfId="7" applyNumberFormat="1" applyFont="1" applyBorder="1" applyAlignment="1" applyProtection="1"/>
    <xf numFmtId="0" fontId="24" fillId="0" borderId="24" xfId="8" applyNumberFormat="1" applyBorder="1" applyAlignment="1" applyProtection="1"/>
    <xf numFmtId="37" fontId="10" fillId="0" borderId="66" xfId="0" applyNumberFormat="1" applyFont="1" applyBorder="1" applyAlignment="1"/>
    <xf numFmtId="171" fontId="0" fillId="0" borderId="66" xfId="0" applyNumberFormat="1" applyBorder="1"/>
    <xf numFmtId="37" fontId="10" fillId="0" borderId="33" xfId="0" applyNumberFormat="1" applyFont="1" applyBorder="1" applyAlignment="1"/>
    <xf numFmtId="171" fontId="10" fillId="0" borderId="33" xfId="7" applyNumberFormat="1" applyFont="1" applyBorder="1" applyAlignment="1" applyProtection="1"/>
    <xf numFmtId="0" fontId="24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0" fillId="0" borderId="66" xfId="0" applyNumberFormat="1" applyFont="1" applyBorder="1"/>
    <xf numFmtId="0" fontId="28" fillId="0" borderId="66" xfId="94" applyFont="1" applyBorder="1"/>
    <xf numFmtId="169" fontId="28" fillId="0" borderId="66" xfId="94" applyNumberFormat="1" applyFont="1" applyBorder="1"/>
    <xf numFmtId="0" fontId="28" fillId="0" borderId="29" xfId="94" applyFont="1" applyBorder="1"/>
    <xf numFmtId="0" fontId="10" fillId="0" borderId="70" xfId="0" applyFont="1" applyBorder="1"/>
    <xf numFmtId="0" fontId="25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0" fillId="0" borderId="66" xfId="0" applyNumberFormat="1" applyFont="1" applyBorder="1" applyAlignment="1">
      <alignment wrapText="1"/>
    </xf>
    <xf numFmtId="169" fontId="28" fillId="0" borderId="29" xfId="94" applyNumberFormat="1" applyFont="1" applyBorder="1"/>
    <xf numFmtId="0" fontId="10" fillId="0" borderId="66" xfId="0" applyFont="1" applyBorder="1" applyAlignment="1">
      <alignment wrapText="1"/>
    </xf>
    <xf numFmtId="0" fontId="28" fillId="0" borderId="29" xfId="94" applyFont="1" applyBorder="1" applyAlignment="1">
      <alignment wrapText="1"/>
    </xf>
    <xf numFmtId="0" fontId="10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9" fillId="10" borderId="66" xfId="0" applyFont="1" applyFill="1" applyBorder="1"/>
    <xf numFmtId="0" fontId="9" fillId="10" borderId="70" xfId="0" applyFont="1" applyFill="1" applyBorder="1"/>
    <xf numFmtId="0" fontId="9" fillId="10" borderId="66" xfId="0" applyFont="1" applyFill="1" applyBorder="1" applyAlignment="1">
      <alignment horizontal="right"/>
    </xf>
    <xf numFmtId="169" fontId="28" fillId="0" borderId="29" xfId="98" applyNumberFormat="1" applyFont="1" applyBorder="1"/>
    <xf numFmtId="0" fontId="28" fillId="0" borderId="29" xfId="98" applyNumberFormat="1" applyFont="1" applyBorder="1"/>
    <xf numFmtId="175" fontId="28" fillId="0" borderId="29" xfId="98" applyNumberFormat="1" applyFont="1" applyBorder="1"/>
    <xf numFmtId="11" fontId="28" fillId="0" borderId="29" xfId="94" applyNumberFormat="1" applyFont="1" applyBorder="1"/>
    <xf numFmtId="11" fontId="28" fillId="0" borderId="29" xfId="98" applyNumberFormat="1" applyFont="1" applyBorder="1"/>
    <xf numFmtId="43" fontId="28" fillId="0" borderId="29" xfId="98" applyNumberFormat="1" applyFont="1" applyBorder="1"/>
    <xf numFmtId="0" fontId="28" fillId="0" borderId="29" xfId="98" applyFont="1" applyBorder="1"/>
    <xf numFmtId="172" fontId="28" fillId="0" borderId="29" xfId="98" applyNumberFormat="1" applyFont="1" applyBorder="1"/>
    <xf numFmtId="0" fontId="28" fillId="0" borderId="29" xfId="98" applyFont="1" applyFill="1" applyBorder="1"/>
    <xf numFmtId="0" fontId="25" fillId="0" borderId="66" xfId="10" applyFont="1" applyFill="1" applyBorder="1" applyAlignment="1" applyProtection="1">
      <alignment wrapText="1"/>
    </xf>
    <xf numFmtId="0" fontId="28" fillId="0" borderId="5" xfId="98" applyFont="1" applyBorder="1"/>
    <xf numFmtId="0" fontId="0" fillId="0" borderId="0" xfId="0" applyBorder="1" applyAlignment="1">
      <alignment horizontal="right"/>
    </xf>
    <xf numFmtId="174" fontId="10" fillId="0" borderId="66" xfId="0" applyNumberFormat="1" applyFont="1" applyBorder="1"/>
    <xf numFmtId="11" fontId="28" fillId="0" borderId="29" xfId="97" applyNumberFormat="1" applyFont="1" applyBorder="1"/>
    <xf numFmtId="0" fontId="28" fillId="0" borderId="29" xfId="99" applyNumberFormat="1" applyFont="1" applyBorder="1"/>
    <xf numFmtId="0" fontId="10" fillId="0" borderId="70" xfId="0" applyFont="1" applyBorder="1" applyAlignment="1"/>
    <xf numFmtId="187" fontId="25" fillId="0" borderId="66" xfId="100" applyNumberFormat="1" applyFont="1" applyFill="1" applyBorder="1" applyAlignment="1">
      <alignment horizontal="right" wrapText="1"/>
    </xf>
    <xf numFmtId="0" fontId="11" fillId="0" borderId="66" xfId="10" applyBorder="1"/>
    <xf numFmtId="165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0" fillId="0" borderId="20" xfId="0" applyFont="1" applyBorder="1"/>
    <xf numFmtId="0" fontId="10" fillId="0" borderId="70" xfId="10" applyFont="1" applyBorder="1"/>
    <xf numFmtId="0" fontId="11" fillId="0" borderId="70" xfId="10" applyBorder="1" applyAlignment="1">
      <alignment wrapText="1"/>
    </xf>
    <xf numFmtId="1" fontId="25" fillId="0" borderId="66" xfId="10" applyNumberFormat="1" applyFont="1" applyFill="1" applyBorder="1"/>
    <xf numFmtId="0" fontId="25" fillId="0" borderId="66" xfId="16" applyNumberFormat="1" applyFont="1" applyFill="1" applyBorder="1" applyAlignment="1"/>
    <xf numFmtId="188" fontId="25" fillId="0" borderId="66" xfId="16" applyNumberFormat="1" applyFont="1" applyFill="1" applyBorder="1" applyAlignment="1">
      <alignment horizontal="right"/>
    </xf>
    <xf numFmtId="177" fontId="25" fillId="0" borderId="66" xfId="16" applyNumberFormat="1" applyFont="1" applyFill="1" applyBorder="1" applyAlignment="1"/>
    <xf numFmtId="11" fontId="10" fillId="0" borderId="66" xfId="22" applyNumberFormat="1" applyFont="1" applyBorder="1" applyAlignment="1" applyProtection="1"/>
    <xf numFmtId="11" fontId="25" fillId="0" borderId="66" xfId="10" applyNumberFormat="1" applyFont="1" applyFill="1" applyBorder="1" applyAlignment="1"/>
    <xf numFmtId="43" fontId="25" fillId="0" borderId="66" xfId="16" applyFont="1" applyFill="1" applyBorder="1" applyAlignment="1"/>
    <xf numFmtId="0" fontId="25" fillId="0" borderId="66" xfId="10" applyFont="1" applyFill="1" applyBorder="1" applyAlignment="1"/>
    <xf numFmtId="43" fontId="25" fillId="0" borderId="66" xfId="10" applyNumberFormat="1" applyFont="1" applyFill="1" applyBorder="1" applyAlignment="1"/>
    <xf numFmtId="169" fontId="28" fillId="0" borderId="66" xfId="93" applyNumberFormat="1" applyFont="1" applyFill="1" applyBorder="1" applyAlignment="1"/>
    <xf numFmtId="0" fontId="25" fillId="0" borderId="66" xfId="10" applyFont="1" applyFill="1" applyBorder="1" applyAlignment="1">
      <alignment horizontal="left"/>
    </xf>
    <xf numFmtId="0" fontId="25" fillId="0" borderId="66" xfId="10" applyFont="1" applyFill="1" applyBorder="1" applyAlignment="1" applyProtection="1"/>
    <xf numFmtId="1" fontId="25" fillId="0" borderId="66" xfId="10" applyNumberFormat="1" applyFont="1" applyBorder="1"/>
    <xf numFmtId="0" fontId="0" fillId="0" borderId="70" xfId="0" applyBorder="1" applyAlignment="1">
      <alignment wrapText="1"/>
    </xf>
    <xf numFmtId="0" fontId="25" fillId="0" borderId="66" xfId="16" applyNumberFormat="1" applyFont="1" applyFill="1" applyBorder="1" applyAlignment="1">
      <alignment wrapText="1"/>
    </xf>
    <xf numFmtId="188" fontId="25" fillId="0" borderId="66" xfId="16" applyNumberFormat="1" applyFont="1" applyFill="1" applyBorder="1" applyAlignment="1">
      <alignment wrapText="1"/>
    </xf>
    <xf numFmtId="177" fontId="25" fillId="0" borderId="66" xfId="22" applyNumberFormat="1" applyFont="1" applyFill="1" applyBorder="1" applyAlignment="1">
      <alignment horizontal="right" wrapText="1"/>
    </xf>
    <xf numFmtId="11" fontId="25" fillId="0" borderId="66" xfId="10" applyNumberFormat="1" applyFont="1" applyFill="1" applyBorder="1" applyAlignment="1">
      <alignment wrapText="1"/>
    </xf>
    <xf numFmtId="43" fontId="25" fillId="0" borderId="66" xfId="16" applyFont="1" applyFill="1" applyBorder="1" applyAlignment="1">
      <alignment wrapText="1"/>
    </xf>
    <xf numFmtId="0" fontId="25" fillId="0" borderId="66" xfId="10" applyFont="1" applyFill="1" applyBorder="1" applyAlignment="1">
      <alignment wrapText="1"/>
    </xf>
    <xf numFmtId="169" fontId="28" fillId="0" borderId="66" xfId="93" applyNumberFormat="1" applyFont="1" applyFill="1" applyBorder="1" applyAlignment="1">
      <alignment wrapText="1"/>
    </xf>
    <xf numFmtId="0" fontId="25" fillId="0" borderId="66" xfId="10" applyFont="1" applyFill="1" applyBorder="1" applyAlignment="1">
      <alignment horizontal="left" wrapText="1"/>
    </xf>
    <xf numFmtId="177" fontId="25" fillId="0" borderId="66" xfId="16" applyNumberFormat="1" applyFont="1" applyFill="1" applyBorder="1" applyAlignment="1">
      <alignment horizontal="right" wrapText="1"/>
    </xf>
    <xf numFmtId="174" fontId="10" fillId="0" borderId="66" xfId="10" applyNumberFormat="1" applyFont="1" applyFill="1" applyBorder="1"/>
    <xf numFmtId="0" fontId="10" fillId="0" borderId="66" xfId="10" applyFont="1" applyFill="1" applyBorder="1"/>
    <xf numFmtId="169" fontId="10" fillId="0" borderId="66" xfId="3" applyFont="1" applyFill="1" applyBorder="1"/>
    <xf numFmtId="0" fontId="10" fillId="0" borderId="66" xfId="9" applyFont="1" applyFill="1" applyBorder="1" applyAlignment="1">
      <alignment wrapText="1"/>
    </xf>
    <xf numFmtId="1" fontId="10" fillId="0" borderId="66" xfId="7" applyNumberFormat="1" applyFont="1" applyBorder="1" applyAlignment="1" applyProtection="1"/>
    <xf numFmtId="188" fontId="25" fillId="0" borderId="66" xfId="16" applyNumberFormat="1" applyFont="1" applyFill="1" applyBorder="1" applyAlignment="1"/>
    <xf numFmtId="0" fontId="25" fillId="0" borderId="66" xfId="10" applyFont="1" applyFill="1" applyBorder="1" applyAlignment="1" applyProtection="1">
      <alignment horizontal="left"/>
    </xf>
    <xf numFmtId="0" fontId="10" fillId="0" borderId="0" xfId="10" applyFont="1" applyBorder="1"/>
    <xf numFmtId="0" fontId="9" fillId="0" borderId="0" xfId="0" applyFont="1" applyBorder="1" applyAlignment="1"/>
    <xf numFmtId="1" fontId="10" fillId="0" borderId="66" xfId="7" applyNumberFormat="1" applyFont="1" applyBorder="1" applyAlignment="1" applyProtection="1">
      <alignment wrapText="1"/>
    </xf>
    <xf numFmtId="0" fontId="10" fillId="0" borderId="66" xfId="10" applyFont="1" applyBorder="1"/>
    <xf numFmtId="1" fontId="10" fillId="0" borderId="66" xfId="10" applyNumberFormat="1" applyFont="1" applyFill="1" applyBorder="1"/>
    <xf numFmtId="177" fontId="25" fillId="0" borderId="66" xfId="16" applyNumberFormat="1" applyFont="1" applyFill="1" applyBorder="1" applyAlignment="1">
      <alignment horizontal="right"/>
    </xf>
    <xf numFmtId="11" fontId="25" fillId="0" borderId="66" xfId="10" applyNumberFormat="1" applyFont="1" applyFill="1" applyBorder="1" applyAlignment="1">
      <alignment horizontal="right"/>
    </xf>
    <xf numFmtId="43" fontId="25" fillId="0" borderId="66" xfId="16" applyFont="1" applyFill="1" applyBorder="1" applyAlignment="1">
      <alignment horizontal="right"/>
    </xf>
    <xf numFmtId="0" fontId="25" fillId="0" borderId="66" xfId="10" applyFont="1" applyFill="1" applyBorder="1" applyAlignment="1">
      <alignment horizontal="right"/>
    </xf>
    <xf numFmtId="169" fontId="28" fillId="0" borderId="66" xfId="93" applyNumberFormat="1" applyFont="1" applyFill="1" applyBorder="1" applyAlignment="1">
      <alignment horizontal="right"/>
    </xf>
    <xf numFmtId="0" fontId="25" fillId="0" borderId="66" xfId="101" applyFont="1" applyFill="1" applyBorder="1"/>
    <xf numFmtId="0" fontId="25" fillId="0" borderId="66" xfId="101" applyNumberFormat="1" applyFont="1" applyFill="1" applyBorder="1"/>
    <xf numFmtId="0" fontId="25" fillId="0" borderId="66" xfId="101" applyFont="1" applyFill="1" applyBorder="1" applyAlignment="1"/>
    <xf numFmtId="169" fontId="25" fillId="0" borderId="66" xfId="18" applyFont="1" applyFill="1" applyBorder="1" applyAlignment="1"/>
    <xf numFmtId="0" fontId="25" fillId="0" borderId="66" xfId="101" applyNumberFormat="1" applyFont="1" applyFill="1" applyBorder="1" applyAlignment="1"/>
    <xf numFmtId="0" fontId="25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5" fillId="0" borderId="66" xfId="70" applyNumberFormat="1" applyFont="1" applyFill="1" applyBorder="1"/>
    <xf numFmtId="178" fontId="25" fillId="0" borderId="66" xfId="70" applyNumberFormat="1" applyFont="1" applyFill="1" applyBorder="1"/>
    <xf numFmtId="11" fontId="25" fillId="0" borderId="66" xfId="102" applyNumberFormat="1" applyFont="1" applyFill="1" applyBorder="1"/>
    <xf numFmtId="43" fontId="25" fillId="0" borderId="66" xfId="70" applyFont="1" applyFill="1" applyBorder="1"/>
    <xf numFmtId="0" fontId="25" fillId="0" borderId="66" xfId="102" applyFont="1" applyFill="1" applyBorder="1"/>
    <xf numFmtId="189" fontId="25" fillId="0" borderId="66" xfId="18" applyNumberFormat="1" applyFont="1" applyFill="1" applyBorder="1"/>
    <xf numFmtId="177" fontId="25" fillId="0" borderId="66" xfId="70" applyNumberFormat="1" applyFont="1" applyFill="1" applyBorder="1" applyAlignment="1">
      <alignment horizontal="right" vertical="center"/>
    </xf>
    <xf numFmtId="11" fontId="25" fillId="0" borderId="66" xfId="102" applyNumberFormat="1" applyFont="1" applyFill="1" applyBorder="1" applyAlignment="1">
      <alignment wrapText="1"/>
    </xf>
    <xf numFmtId="172" fontId="25" fillId="0" borderId="66" xfId="102" applyNumberFormat="1" applyFont="1" applyFill="1" applyBorder="1"/>
    <xf numFmtId="0" fontId="25" fillId="0" borderId="58" xfId="10" applyFont="1" applyFill="1" applyBorder="1" applyAlignment="1">
      <alignment wrapText="1"/>
    </xf>
    <xf numFmtId="175" fontId="25" fillId="0" borderId="66" xfId="70" applyNumberFormat="1" applyFont="1" applyFill="1" applyBorder="1" applyAlignment="1">
      <alignment vertical="center"/>
    </xf>
    <xf numFmtId="0" fontId="25" fillId="0" borderId="0" xfId="10" applyFont="1" applyFill="1" applyBorder="1"/>
    <xf numFmtId="187" fontId="35" fillId="0" borderId="66" xfId="3" applyNumberFormat="1" applyFont="1" applyFill="1" applyBorder="1" applyAlignment="1">
      <alignment horizontal="right" wrapText="1"/>
    </xf>
    <xf numFmtId="0" fontId="1" fillId="0" borderId="66" xfId="94" applyBorder="1" applyAlignment="1">
      <alignment wrapText="1"/>
    </xf>
    <xf numFmtId="1" fontId="25" fillId="0" borderId="66" xfId="85" applyNumberFormat="1" applyFont="1" applyFill="1" applyBorder="1" applyAlignment="1">
      <alignment wrapText="1"/>
    </xf>
    <xf numFmtId="188" fontId="25" fillId="0" borderId="66" xfId="85" applyNumberFormat="1" applyFont="1" applyFill="1" applyBorder="1" applyAlignment="1">
      <alignment wrapText="1"/>
    </xf>
    <xf numFmtId="43" fontId="25" fillId="0" borderId="66" xfId="85" applyFont="1" applyFill="1" applyBorder="1" applyAlignment="1">
      <alignment wrapText="1"/>
    </xf>
    <xf numFmtId="178" fontId="25" fillId="0" borderId="66" xfId="85" applyNumberFormat="1" applyFont="1" applyFill="1" applyBorder="1" applyAlignment="1">
      <alignment wrapText="1"/>
    </xf>
    <xf numFmtId="11" fontId="25" fillId="0" borderId="66" xfId="103" applyNumberFormat="1" applyFont="1" applyFill="1" applyBorder="1" applyAlignment="1">
      <alignment wrapText="1"/>
    </xf>
    <xf numFmtId="0" fontId="25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5" fillId="0" borderId="66" xfId="91" applyNumberFormat="1" applyFont="1" applyFill="1" applyBorder="1" applyAlignment="1">
      <alignment wrapText="1"/>
    </xf>
    <xf numFmtId="0" fontId="25" fillId="0" borderId="66" xfId="103" applyFont="1" applyFill="1" applyBorder="1" applyAlignment="1" applyProtection="1">
      <alignment vertical="center" wrapText="1"/>
    </xf>
    <xf numFmtId="2" fontId="25" fillId="0" borderId="66" xfId="94" applyNumberFormat="1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1" fontId="25" fillId="0" borderId="66" xfId="85" applyNumberFormat="1" applyFont="1" applyFill="1" applyBorder="1" applyAlignment="1"/>
    <xf numFmtId="188" fontId="25" fillId="0" borderId="66" xfId="85" applyNumberFormat="1" applyFont="1" applyFill="1" applyBorder="1" applyAlignment="1"/>
    <xf numFmtId="177" fontId="25" fillId="0" borderId="66" xfId="85" applyNumberFormat="1" applyFont="1" applyFill="1" applyBorder="1" applyAlignment="1"/>
    <xf numFmtId="11" fontId="25" fillId="0" borderId="66" xfId="85" applyNumberFormat="1" applyFont="1" applyFill="1" applyBorder="1" applyAlignment="1"/>
    <xf numFmtId="11" fontId="25" fillId="0" borderId="66" xfId="103" applyNumberFormat="1" applyFont="1" applyFill="1" applyBorder="1" applyAlignment="1"/>
    <xf numFmtId="43" fontId="25" fillId="0" borderId="66" xfId="85" applyFont="1" applyFill="1" applyBorder="1" applyAlignment="1"/>
    <xf numFmtId="0" fontId="25" fillId="0" borderId="66" xfId="103" applyFont="1" applyFill="1" applyBorder="1" applyAlignment="1"/>
    <xf numFmtId="172" fontId="0" fillId="0" borderId="66" xfId="0" applyNumberFormat="1" applyBorder="1" applyAlignment="1"/>
    <xf numFmtId="171" fontId="25" fillId="0" borderId="66" xfId="91" applyNumberFormat="1" applyFont="1" applyFill="1" applyBorder="1" applyAlignment="1"/>
    <xf numFmtId="0" fontId="25" fillId="0" borderId="66" xfId="103" applyFont="1" applyFill="1" applyBorder="1" applyAlignment="1" applyProtection="1">
      <alignment vertical="center"/>
    </xf>
    <xf numFmtId="18" fontId="17" fillId="8" borderId="71" xfId="1" applyNumberFormat="1" applyFont="1" applyFill="1" applyBorder="1" applyAlignment="1" applyProtection="1">
      <alignment horizontal="right"/>
      <protection locked="0"/>
    </xf>
    <xf numFmtId="18" fontId="17" fillId="8" borderId="71" xfId="1" applyNumberFormat="1" applyFont="1" applyFill="1" applyBorder="1" applyAlignment="1" applyProtection="1">
      <protection locked="0"/>
    </xf>
    <xf numFmtId="0" fontId="24" fillId="8" borderId="71" xfId="8" applyFill="1" applyBorder="1" applyAlignment="1">
      <alignment horizontal="left"/>
    </xf>
    <xf numFmtId="0" fontId="17" fillId="8" borderId="66" xfId="1" applyFont="1" applyFill="1" applyBorder="1" applyProtection="1">
      <protection locked="0"/>
    </xf>
    <xf numFmtId="0" fontId="17" fillId="8" borderId="66" xfId="1" applyFont="1" applyFill="1" applyBorder="1" applyAlignment="1">
      <alignment horizontal="left"/>
    </xf>
    <xf numFmtId="18" fontId="17" fillId="8" borderId="66" xfId="1" applyNumberFormat="1" applyFont="1" applyFill="1" applyBorder="1" applyAlignment="1" applyProtection="1">
      <alignment horizontal="right"/>
      <protection locked="0"/>
    </xf>
    <xf numFmtId="18" fontId="17" fillId="8" borderId="66" xfId="1" applyNumberFormat="1" applyFont="1" applyFill="1" applyBorder="1" applyAlignment="1" applyProtection="1">
      <protection locked="0"/>
    </xf>
    <xf numFmtId="0" fontId="24" fillId="8" borderId="66" xfId="8" applyFill="1" applyBorder="1" applyAlignment="1">
      <alignment horizontal="left"/>
    </xf>
    <xf numFmtId="171" fontId="17" fillId="8" borderId="66" xfId="5" applyNumberFormat="1" applyFont="1" applyFill="1" applyBorder="1" applyProtection="1">
      <protection locked="0"/>
    </xf>
    <xf numFmtId="37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 applyProtection="1">
      <alignment horizontal="center"/>
      <protection locked="0"/>
    </xf>
    <xf numFmtId="171" fontId="17" fillId="8" borderId="66" xfId="1" applyNumberFormat="1" applyFont="1" applyFill="1" applyBorder="1" applyAlignment="1">
      <alignment horizontal="right"/>
    </xf>
    <xf numFmtId="0" fontId="17" fillId="8" borderId="66" xfId="1" applyFont="1" applyFill="1" applyBorder="1" applyAlignment="1">
      <alignment horizontal="center"/>
    </xf>
    <xf numFmtId="0" fontId="17" fillId="8" borderId="58" xfId="1" applyFont="1" applyFill="1" applyBorder="1" applyProtection="1">
      <protection locked="0"/>
    </xf>
    <xf numFmtId="0" fontId="17" fillId="8" borderId="58" xfId="1" applyFont="1" applyFill="1" applyBorder="1" applyAlignment="1">
      <alignment horizontal="left"/>
    </xf>
    <xf numFmtId="18" fontId="17" fillId="8" borderId="58" xfId="1" applyNumberFormat="1" applyFont="1" applyFill="1" applyBorder="1" applyAlignment="1" applyProtection="1">
      <alignment horizontal="right"/>
      <protection locked="0"/>
    </xf>
    <xf numFmtId="18" fontId="17" fillId="8" borderId="58" xfId="1" applyNumberFormat="1" applyFont="1" applyFill="1" applyBorder="1" applyAlignment="1" applyProtection="1">
      <protection locked="0"/>
    </xf>
    <xf numFmtId="0" fontId="24" fillId="8" borderId="58" xfId="8" applyFill="1" applyBorder="1" applyAlignment="1">
      <alignment horizontal="left"/>
    </xf>
    <xf numFmtId="171" fontId="17" fillId="8" borderId="58" xfId="5" applyNumberFormat="1" applyFont="1" applyFill="1" applyBorder="1" applyProtection="1">
      <protection locked="0"/>
    </xf>
    <xf numFmtId="37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 applyProtection="1">
      <alignment horizontal="center"/>
      <protection locked="0"/>
    </xf>
    <xf numFmtId="171" fontId="17" fillId="8" borderId="58" xfId="1" applyNumberFormat="1" applyFont="1" applyFill="1" applyBorder="1" applyAlignment="1">
      <alignment horizontal="right"/>
    </xf>
    <xf numFmtId="0" fontId="17" fillId="8" borderId="58" xfId="1" applyFont="1" applyFill="1" applyBorder="1" applyAlignment="1">
      <alignment horizontal="center"/>
    </xf>
    <xf numFmtId="0" fontId="17" fillId="0" borderId="72" xfId="1" applyFont="1" applyFill="1" applyBorder="1" applyProtection="1">
      <protection locked="0"/>
    </xf>
    <xf numFmtId="0" fontId="17" fillId="0" borderId="73" xfId="1" applyFont="1" applyFill="1" applyBorder="1" applyAlignment="1">
      <alignment horizontal="left"/>
    </xf>
    <xf numFmtId="18" fontId="17" fillId="0" borderId="73" xfId="1" applyNumberFormat="1" applyFont="1" applyFill="1" applyBorder="1" applyAlignment="1" applyProtection="1">
      <protection locked="0"/>
    </xf>
    <xf numFmtId="170" fontId="17" fillId="0" borderId="73" xfId="5" applyFont="1" applyFill="1" applyBorder="1" applyProtection="1">
      <protection locked="0"/>
    </xf>
    <xf numFmtId="0" fontId="17" fillId="0" borderId="73" xfId="1" applyFont="1" applyFill="1" applyBorder="1" applyAlignment="1" applyProtection="1">
      <alignment horizontal="center"/>
      <protection locked="0"/>
    </xf>
    <xf numFmtId="171" fontId="17" fillId="0" borderId="73" xfId="1" applyNumberFormat="1" applyFont="1" applyFill="1" applyBorder="1" applyAlignment="1">
      <alignment horizontal="right"/>
    </xf>
    <xf numFmtId="0" fontId="17" fillId="0" borderId="74" xfId="1" applyFont="1" applyFill="1" applyBorder="1" applyAlignment="1">
      <alignment horizontal="center"/>
    </xf>
    <xf numFmtId="0" fontId="17" fillId="7" borderId="66" xfId="1" applyFont="1" applyFill="1" applyBorder="1" applyProtection="1">
      <protection locked="0"/>
    </xf>
    <xf numFmtId="0" fontId="17" fillId="7" borderId="66" xfId="1" applyFont="1" applyFill="1" applyBorder="1" applyAlignment="1">
      <alignment horizontal="left"/>
    </xf>
    <xf numFmtId="18" fontId="17" fillId="7" borderId="66" xfId="1" applyNumberFormat="1" applyFont="1" applyFill="1" applyBorder="1" applyAlignment="1" applyProtection="1">
      <protection locked="0"/>
    </xf>
    <xf numFmtId="0" fontId="24" fillId="7" borderId="66" xfId="8" applyFill="1" applyBorder="1" applyAlignment="1">
      <alignment horizontal="left"/>
    </xf>
    <xf numFmtId="171" fontId="17" fillId="7" borderId="66" xfId="5" applyNumberFormat="1" applyFont="1" applyFill="1" applyBorder="1" applyProtection="1">
      <protection locked="0"/>
    </xf>
    <xf numFmtId="37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 applyProtection="1">
      <alignment horizontal="center"/>
      <protection locked="0"/>
    </xf>
    <xf numFmtId="171" fontId="17" fillId="7" borderId="66" xfId="1" applyNumberFormat="1" applyFont="1" applyFill="1" applyBorder="1" applyAlignment="1">
      <alignment horizontal="right"/>
    </xf>
    <xf numFmtId="0" fontId="17" fillId="7" borderId="66" xfId="1" applyFont="1" applyFill="1" applyBorder="1" applyAlignment="1">
      <alignment horizontal="center"/>
    </xf>
    <xf numFmtId="18" fontId="17" fillId="7" borderId="66" xfId="1" applyNumberFormat="1" applyFont="1" applyFill="1" applyBorder="1" applyAlignment="1" applyProtection="1">
      <alignment horizontal="left"/>
      <protection locked="0"/>
    </xf>
    <xf numFmtId="0" fontId="17" fillId="8" borderId="75" xfId="1" applyFont="1" applyFill="1" applyBorder="1" applyProtection="1">
      <protection locked="0"/>
    </xf>
    <xf numFmtId="0" fontId="17" fillId="8" borderId="76" xfId="1" applyFont="1" applyFill="1" applyBorder="1" applyAlignment="1">
      <alignment horizontal="center"/>
    </xf>
    <xf numFmtId="0" fontId="24" fillId="0" borderId="66" xfId="8" applyFill="1" applyBorder="1"/>
    <xf numFmtId="0" fontId="25" fillId="0" borderId="63" xfId="10" applyFont="1" applyBorder="1" applyAlignment="1">
      <alignment wrapText="1"/>
    </xf>
    <xf numFmtId="0" fontId="25" fillId="0" borderId="66" xfId="10" applyNumberFormat="1" applyFont="1" applyFill="1" applyBorder="1" applyAlignment="1">
      <alignment horizontal="left" wrapText="1"/>
    </xf>
    <xf numFmtId="169" fontId="25" fillId="0" borderId="66" xfId="3" applyFont="1" applyFill="1" applyBorder="1" applyAlignment="1">
      <alignment wrapText="1"/>
    </xf>
    <xf numFmtId="0" fontId="25" fillId="0" borderId="66" xfId="10" applyFont="1" applyBorder="1" applyAlignment="1">
      <alignment wrapText="1"/>
    </xf>
    <xf numFmtId="165" fontId="25" fillId="0" borderId="66" xfId="7" applyNumberFormat="1" applyFont="1" applyBorder="1" applyAlignment="1" applyProtection="1"/>
    <xf numFmtId="0" fontId="25" fillId="0" borderId="63" xfId="10" applyFont="1" applyFill="1" applyBorder="1"/>
    <xf numFmtId="0" fontId="21" fillId="0" borderId="77" xfId="9" applyFont="1" applyFill="1" applyBorder="1" applyAlignment="1">
      <alignment wrapText="1"/>
    </xf>
    <xf numFmtId="2" fontId="25" fillId="0" borderId="66" xfId="10" applyNumberFormat="1" applyFont="1" applyFill="1" applyBorder="1"/>
    <xf numFmtId="0" fontId="0" fillId="0" borderId="77" xfId="0" applyBorder="1"/>
    <xf numFmtId="0" fontId="21" fillId="0" borderId="78" xfId="9" applyFont="1" applyFill="1" applyBorder="1" applyAlignment="1">
      <alignment wrapText="1"/>
    </xf>
    <xf numFmtId="0" fontId="0" fillId="0" borderId="78" xfId="0" applyBorder="1"/>
    <xf numFmtId="0" fontId="21" fillId="0" borderId="66" xfId="9" applyFont="1" applyFill="1" applyBorder="1" applyAlignment="1">
      <alignment wrapText="1"/>
    </xf>
    <xf numFmtId="0" fontId="25" fillId="0" borderId="63" xfId="10" applyFont="1" applyFill="1" applyBorder="1" applyAlignment="1">
      <alignment wrapText="1"/>
    </xf>
    <xf numFmtId="171" fontId="25" fillId="0" borderId="66" xfId="15" applyNumberFormat="1" applyFont="1" applyFill="1" applyBorder="1" applyAlignment="1">
      <alignment horizontal="center" wrapText="1"/>
    </xf>
    <xf numFmtId="0" fontId="25" fillId="0" borderId="66" xfId="10" applyFont="1" applyFill="1" applyBorder="1" applyAlignment="1">
      <alignment horizontal="left" wrapText="1" indent="1"/>
    </xf>
    <xf numFmtId="0" fontId="25" fillId="0" borderId="66" xfId="10" applyFont="1" applyFill="1" applyBorder="1" applyAlignment="1">
      <alignment horizontal="right" wrapText="1" indent="1"/>
    </xf>
    <xf numFmtId="0" fontId="25" fillId="0" borderId="66" xfId="10" applyFont="1" applyFill="1" applyBorder="1" applyAlignment="1">
      <alignment horizontal="center" wrapText="1"/>
    </xf>
    <xf numFmtId="165" fontId="9" fillId="10" borderId="66" xfId="0" applyNumberFormat="1" applyFont="1" applyFill="1" applyBorder="1"/>
    <xf numFmtId="0" fontId="25" fillId="0" borderId="79" xfId="10" applyFont="1" applyFill="1" applyBorder="1" applyAlignment="1">
      <alignment wrapText="1"/>
    </xf>
    <xf numFmtId="171" fontId="17" fillId="7" borderId="58" xfId="5" applyNumberFormat="1" applyFont="1" applyFill="1" applyBorder="1" applyProtection="1">
      <protection locked="0"/>
    </xf>
    <xf numFmtId="171" fontId="17" fillId="7" borderId="58" xfId="1" applyNumberFormat="1" applyFont="1" applyFill="1" applyBorder="1" applyAlignment="1">
      <alignment horizontal="right"/>
    </xf>
    <xf numFmtId="0" fontId="25" fillId="0" borderId="0" xfId="0" applyFont="1" applyFill="1" applyBorder="1" applyAlignment="1" applyProtection="1">
      <alignment vertical="center" wrapText="1"/>
    </xf>
    <xf numFmtId="0" fontId="25" fillId="0" borderId="80" xfId="0" applyFont="1" applyFill="1" applyBorder="1" applyAlignment="1" applyProtection="1">
      <alignment vertical="center" wrapText="1"/>
    </xf>
  </cellXfs>
  <cellStyles count="104">
    <cellStyle name="Comma 2" xfId="5"/>
    <cellStyle name="Comma 2 2" xfId="21"/>
    <cellStyle name="Comma 2 2 2" xfId="47"/>
    <cellStyle name="Comma 2 2 3" xfId="63"/>
    <cellStyle name="Comma 2 2 4" xfId="78"/>
    <cellStyle name="Comma 2 3" xfId="12"/>
    <cellStyle name="Cost_Green" xfId="4"/>
    <cellStyle name="Currency 2" xfId="2"/>
    <cellStyle name="Currency 2 2" xfId="30"/>
    <cellStyle name="Excel Built-in Explanatory Text" xfId="36"/>
    <cellStyle name="Excel Built-in Explanatory Text 2" xfId="53"/>
    <cellStyle name="Excel Built-in Explanatory Text 3" xfId="58"/>
    <cellStyle name="Excel Built-in Explanatory Text 4" xfId="69"/>
    <cellStyle name="Excel Built-in Explanatory Text 5" xfId="84"/>
    <cellStyle name="Lien hypertexte" xfId="8" builtinId="8"/>
    <cellStyle name="Lien hypertexte 2" xfId="13"/>
    <cellStyle name="Milliers 2" xfId="16"/>
    <cellStyle name="Milliers 2 2" xfId="38"/>
    <cellStyle name="Milliers 2 2 2" xfId="54"/>
    <cellStyle name="Milliers 2 2 3" xfId="70"/>
    <cellStyle name="Milliers 2 2 4" xfId="85"/>
    <cellStyle name="Milliers 2 3" xfId="90"/>
    <cellStyle name="Milliers 3" xfId="22"/>
    <cellStyle name="Milliers 3 2" xfId="20"/>
    <cellStyle name="Milliers 3 2 2" xfId="46"/>
    <cellStyle name="Milliers 3 2 3" xfId="62"/>
    <cellStyle name="Milliers 3 2 4" xfId="77"/>
    <cellStyle name="Milliers 3 3" xfId="48"/>
    <cellStyle name="Milliers 3 4" xfId="64"/>
    <cellStyle name="Milliers 3 5" xfId="79"/>
    <cellStyle name="Milliers 4" xfId="33"/>
    <cellStyle name="Milliers 5" xfId="17"/>
    <cellStyle name="Milliers 6" xfId="45"/>
    <cellStyle name="Milliers 7" xfId="61"/>
    <cellStyle name="Milliers 8" xfId="76"/>
    <cellStyle name="Monétaire" xfId="91" builtinId="4"/>
    <cellStyle name="Monétaire 10" xfId="18"/>
    <cellStyle name="Monétaire 10 2" xfId="29"/>
    <cellStyle name="Monétaire 2" xfId="3"/>
    <cellStyle name="Monétaire 2 3" xfId="25"/>
    <cellStyle name="Monétaire 2 3 2" xfId="51"/>
    <cellStyle name="Monétaire 2 3 3" xfId="40"/>
    <cellStyle name="Monétaire 2 3 3 2" xfId="56"/>
    <cellStyle name="Monétaire 2 3 3 3" xfId="72"/>
    <cellStyle name="Monétaire 2 3 3 4" xfId="87"/>
    <cellStyle name="Monétaire 2 3 4" xfId="67"/>
    <cellStyle name="Monétaire 2 3 5" xfId="82"/>
    <cellStyle name="Monétaire 2 3 6" xfId="100"/>
    <cellStyle name="Monétaire 3" xfId="15"/>
    <cellStyle name="Monétaire 3 2" xfId="44"/>
    <cellStyle name="Monétaire 3 3" xfId="60"/>
    <cellStyle name="Monétaire 3 4" xfId="75"/>
    <cellStyle name="Monétaire 35" xfId="27"/>
    <cellStyle name="Monétaire 4 3" xfId="39"/>
    <cellStyle name="Monétaire 4 3 2" xfId="55"/>
    <cellStyle name="Monétaire 4 3 3" xfId="71"/>
    <cellStyle name="Monétaire 4 3 4" xfId="86"/>
    <cellStyle name="Monétaire 7" xfId="24"/>
    <cellStyle name="Monétaire 7 2" xfId="50"/>
    <cellStyle name="Monétaire 7 3" xfId="66"/>
    <cellStyle name="Monétaire 7 4" xfId="81"/>
    <cellStyle name="Neutre" xfId="93" builtinId="28"/>
    <cellStyle name="Neutre 2" xfId="19"/>
    <cellStyle name="Normal" xfId="0" builtinId="0"/>
    <cellStyle name="Normal 10" xfId="35"/>
    <cellStyle name="Normal 11" xfId="95"/>
    <cellStyle name="Normal 12" xfId="96"/>
    <cellStyle name="Normal 2" xfId="1"/>
    <cellStyle name="Normal 2 2" xfId="31"/>
    <cellStyle name="Normal 2 2 4" xfId="28"/>
    <cellStyle name="Normal 2 2 4 2" xfId="52"/>
    <cellStyle name="Normal 2 2 4 2 2" xfId="97"/>
    <cellStyle name="Normal 2 2 4 3" xfId="68"/>
    <cellStyle name="Normal 2 2 4 3 2" xfId="101"/>
    <cellStyle name="Normal 2 2 4 4" xfId="23"/>
    <cellStyle name="Normal 2 2 4 4 2" xfId="49"/>
    <cellStyle name="Normal 2 2 4 4 3" xfId="65"/>
    <cellStyle name="Normal 2 2 4 4 4" xfId="80"/>
    <cellStyle name="Normal 2 2 4 4 4 2" xfId="94"/>
    <cellStyle name="Normal 2 2 4 5" xfId="83"/>
    <cellStyle name="Normal 3" xfId="6"/>
    <cellStyle name="Normal 3 2" xfId="32"/>
    <cellStyle name="Normal 3 3" xfId="42"/>
    <cellStyle name="Normal 3 4" xfId="89"/>
    <cellStyle name="Normal 4" xfId="10"/>
    <cellStyle name="Normal 5" xfId="11"/>
    <cellStyle name="Normal 5 2" xfId="98"/>
    <cellStyle name="Normal 6" xfId="26"/>
    <cellStyle name="Normal 7" xfId="43"/>
    <cellStyle name="Normal 7 2" xfId="99"/>
    <cellStyle name="Normal 8" xfId="59"/>
    <cellStyle name="Normal 8 2" xfId="102"/>
    <cellStyle name="Normal 9" xfId="74"/>
    <cellStyle name="Normal 9 2" xfId="103"/>
    <cellStyle name="Normal_Sheet1" xfId="9"/>
    <cellStyle name="Pourcentage 2" xfId="41"/>
    <cellStyle name="Pourcentage 3" xfId="57"/>
    <cellStyle name="Pourcentage 4" xfId="73"/>
    <cellStyle name="Pourcentage 5" xfId="88"/>
    <cellStyle name="Satisfaisant" xfId="92" builtinId="26"/>
    <cellStyle name="Satisfaisant 2" xfId="34"/>
    <cellStyle name="Style 1" xfId="14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EN_0300_002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EN_0300_009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10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EN_0300_01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EN_0300_012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EN_0300_013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EN_0200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EN_02002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=""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=""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=""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=""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=""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35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=""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=""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156882</xdr:colOff>
      <xdr:row>13</xdr:row>
      <xdr:rowOff>76597</xdr:rowOff>
    </xdr:from>
    <xdr:to>
      <xdr:col>13</xdr:col>
      <xdr:colOff>571500</xdr:colOff>
      <xdr:row>21</xdr:row>
      <xdr:rowOff>34159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882" y="2553097"/>
          <a:ext cx="2835089" cy="148156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=""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=""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=""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=""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=""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150132</xdr:colOff>
      <xdr:row>12</xdr:row>
      <xdr:rowOff>133350</xdr:rowOff>
    </xdr:from>
    <xdr:ext cx="1487641" cy="1837674"/>
    <xdr:pic>
      <xdr:nvPicPr>
        <xdr:cNvPr id="2" name="Image 1">
          <a:extLst>
            <a:ext uri="{FF2B5EF4-FFF2-40B4-BE49-F238E27FC236}">
              <a16:creationId xmlns=""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957" y="2419350"/>
          <a:ext cx="1487641" cy="183767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=""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=""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=""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=""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=""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=""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=""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=""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=""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=""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=""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=""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=""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=""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=""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=""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=""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=""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=""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=""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=""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=""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=""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=""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=""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=""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=""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=""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=""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=""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=""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=""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5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Q9" sqref="Q9"/>
    </sheetView>
  </sheetViews>
  <sheetFormatPr baseColWidth="10" defaultColWidth="9.140625" defaultRowHeight="12.75" x14ac:dyDescent="0.2"/>
  <cols>
    <col min="1" max="1" width="15.7109375" style="4" customWidth="1"/>
    <col min="2" max="2" width="28.7109375" style="8" bestFit="1" customWidth="1"/>
    <col min="3" max="3" width="15.140625" style="4" customWidth="1"/>
    <col min="4" max="4" width="9.140625" style="4" customWidth="1"/>
    <col min="5" max="5" width="23" style="4" customWidth="1"/>
    <col min="6" max="6" width="39.140625" style="27" customWidth="1"/>
    <col min="7" max="7" width="14" style="4" customWidth="1"/>
    <col min="8" max="8" width="11" style="4" bestFit="1" customWidth="1"/>
    <col min="9" max="10" width="10.42578125" style="1" customWidth="1"/>
    <col min="11" max="11" width="11.42578125" style="1" customWidth="1"/>
    <col min="12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1" t="s">
        <v>68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4"/>
      <c r="B7" s="75" t="str">
        <f>'EN A0200'!B3</f>
        <v>Engine and Drivetrain</v>
      </c>
      <c r="C7" s="76" t="str">
        <f>EN_A0200</f>
        <v>EN A0200</v>
      </c>
      <c r="D7" s="76" t="s">
        <v>11</v>
      </c>
      <c r="E7" s="76"/>
      <c r="F7" s="77" t="str">
        <f>'EN A0200'!B4</f>
        <v>Exhaust System</v>
      </c>
      <c r="G7" s="76"/>
      <c r="H7" s="78">
        <f>SUM(J7:M7)</f>
        <v>100.72663538500295</v>
      </c>
      <c r="I7" s="79">
        <f>EN_A0200_q</f>
        <v>1</v>
      </c>
      <c r="J7" s="80">
        <f>EN_A0200_m</f>
        <v>6</v>
      </c>
      <c r="K7" s="80">
        <f>EN_A0200_p</f>
        <v>92.688849013323178</v>
      </c>
      <c r="L7" s="80">
        <f>EN_A0200_f</f>
        <v>1.0377863716797775</v>
      </c>
      <c r="M7" s="80">
        <f>EN_A0200_t</f>
        <v>1</v>
      </c>
      <c r="N7" s="81">
        <f t="shared" ref="N7:N58" si="0">H7*I7</f>
        <v>100.72663538500295</v>
      </c>
      <c r="O7" s="82"/>
    </row>
    <row r="8" spans="1:15" ht="15" x14ac:dyDescent="0.25">
      <c r="A8" s="83"/>
      <c r="B8" s="84" t="str">
        <f>EN_02001!$B$3</f>
        <v>Engine and Drivetrain</v>
      </c>
      <c r="C8" s="85" t="str">
        <f>EN_02001</f>
        <v>EN 02001</v>
      </c>
      <c r="D8" s="86" t="s">
        <v>11</v>
      </c>
      <c r="E8" s="86" t="str">
        <f>$F$7</f>
        <v>Exhaust System</v>
      </c>
      <c r="F8" s="87" t="str">
        <f>EN_02001!B5</f>
        <v>Exhaust Tip</v>
      </c>
      <c r="G8" s="86"/>
      <c r="H8" s="88">
        <f t="shared" ref="H8:H17" si="1">SUM(J8:M8)</f>
        <v>4.3537375941950689</v>
      </c>
      <c r="I8" s="89">
        <f>EN_A0200_q*EN_02001_q</f>
        <v>4</v>
      </c>
      <c r="J8" s="90">
        <f>EN_02001_m</f>
        <v>0.64123759419506832</v>
      </c>
      <c r="K8" s="90">
        <f>EN_02001_p</f>
        <v>3.7125000000000004</v>
      </c>
      <c r="L8" s="90">
        <v>0</v>
      </c>
      <c r="M8" s="90">
        <v>0</v>
      </c>
      <c r="N8" s="91">
        <f t="shared" si="0"/>
        <v>17.414950376780276</v>
      </c>
      <c r="O8" s="92"/>
    </row>
    <row r="9" spans="1:15" ht="15" x14ac:dyDescent="0.25">
      <c r="A9" s="83"/>
      <c r="B9" s="84" t="str">
        <f>EN_02001!$B$3</f>
        <v>Engine and Drivetrain</v>
      </c>
      <c r="C9" s="85" t="str">
        <f>EN_02002</f>
        <v>EN 02002</v>
      </c>
      <c r="D9" s="86" t="s">
        <v>11</v>
      </c>
      <c r="E9" s="86" t="str">
        <f t="shared" ref="E9:E17" si="2">$F$7</f>
        <v>Exhaust System</v>
      </c>
      <c r="F9" s="87" t="str">
        <f>EN_02002!B5</f>
        <v>Exhaust Flange</v>
      </c>
      <c r="G9" s="86"/>
      <c r="H9" s="88">
        <f t="shared" si="1"/>
        <v>1.75075</v>
      </c>
      <c r="I9" s="89">
        <f>EN_A0200_q*EN_02002_q</f>
        <v>4</v>
      </c>
      <c r="J9" s="90">
        <f>EN_02002_m</f>
        <v>0.35325000000000001</v>
      </c>
      <c r="K9" s="90">
        <f>EN_02002_p</f>
        <v>1.3975</v>
      </c>
      <c r="L9" s="90">
        <v>0</v>
      </c>
      <c r="M9" s="90">
        <v>0</v>
      </c>
      <c r="N9" s="91">
        <f t="shared" si="0"/>
        <v>7.0030000000000001</v>
      </c>
      <c r="O9" s="92"/>
    </row>
    <row r="10" spans="1:15" ht="15" x14ac:dyDescent="0.25">
      <c r="A10" s="83"/>
      <c r="B10" s="84" t="str">
        <f>EN_02001!$B$3</f>
        <v>Engine and Drivetrain</v>
      </c>
      <c r="C10" s="85" t="str">
        <f>EN_02003</f>
        <v>EN 02003</v>
      </c>
      <c r="D10" s="86" t="s">
        <v>11</v>
      </c>
      <c r="E10" s="86" t="str">
        <f t="shared" si="2"/>
        <v>Exhaust System</v>
      </c>
      <c r="F10" s="87" t="str">
        <f>EN_02003!B5</f>
        <v>Exhaust headers</v>
      </c>
      <c r="G10" s="86"/>
      <c r="H10" s="88">
        <f t="shared" si="1"/>
        <v>109.43393911329514</v>
      </c>
      <c r="I10" s="89">
        <f>EN_A0200_q*EN_02003_q</f>
        <v>1</v>
      </c>
      <c r="J10" s="90">
        <f>EN_02003_m</f>
        <v>1.6472724466284603</v>
      </c>
      <c r="K10" s="90">
        <f>EN_02003_p</f>
        <v>100.12</v>
      </c>
      <c r="L10" s="90">
        <v>0</v>
      </c>
      <c r="M10" s="90">
        <f>EN_02003_t</f>
        <v>7.666666666666667</v>
      </c>
      <c r="N10" s="91">
        <f t="shared" si="0"/>
        <v>109.43393911329514</v>
      </c>
      <c r="O10" s="92"/>
    </row>
    <row r="11" spans="1:15" ht="15" x14ac:dyDescent="0.25">
      <c r="A11" s="83"/>
      <c r="B11" s="84" t="str">
        <f>EN_02001!$B$3</f>
        <v>Engine and Drivetrain</v>
      </c>
      <c r="C11" s="85" t="str">
        <f>EN_02004</f>
        <v>EN 02004</v>
      </c>
      <c r="D11" s="86" t="s">
        <v>11</v>
      </c>
      <c r="E11" s="86" t="str">
        <f t="shared" si="2"/>
        <v>Exhaust System</v>
      </c>
      <c r="F11" s="87" t="str">
        <f>EN_02004!B5</f>
        <v>Primary collector</v>
      </c>
      <c r="G11" s="86"/>
      <c r="H11" s="88">
        <f t="shared" si="1"/>
        <v>20.228377789788073</v>
      </c>
      <c r="I11" s="89">
        <f>EN_A0200_q*EN_02004_q</f>
        <v>2</v>
      </c>
      <c r="J11" s="90">
        <f>EN_02004_m</f>
        <v>0.28964518324531668</v>
      </c>
      <c r="K11" s="90">
        <f>EN_02004_p</f>
        <v>18.438732606542757</v>
      </c>
      <c r="L11" s="90">
        <v>0</v>
      </c>
      <c r="M11" s="90">
        <f>EN_02004_t</f>
        <v>1.5</v>
      </c>
      <c r="N11" s="91">
        <f t="shared" si="0"/>
        <v>40.456755579576146</v>
      </c>
      <c r="O11" s="92"/>
    </row>
    <row r="12" spans="1:15" ht="15" x14ac:dyDescent="0.25">
      <c r="A12" s="83"/>
      <c r="B12" s="84" t="str">
        <f>EN_02001!$B$3</f>
        <v>Engine and Drivetrain</v>
      </c>
      <c r="C12" s="85" t="str">
        <f>EN_02005</f>
        <v>EN 02005</v>
      </c>
      <c r="D12" s="86" t="s">
        <v>11</v>
      </c>
      <c r="E12" s="86" t="str">
        <f t="shared" si="2"/>
        <v>Exhaust System</v>
      </c>
      <c r="F12" s="87" t="str">
        <f>EN_02005!B5</f>
        <v>Primary collector tubing</v>
      </c>
      <c r="G12" s="86"/>
      <c r="H12" s="88">
        <f t="shared" si="1"/>
        <v>1.2217583384506194</v>
      </c>
      <c r="I12" s="89">
        <f>EN_A0200_q*EN_02005_q</f>
        <v>2</v>
      </c>
      <c r="J12" s="90">
        <f>EN_02005_m</f>
        <v>0.59025833845061948</v>
      </c>
      <c r="K12" s="90">
        <f>EN_02005_p</f>
        <v>0.63149999999999995</v>
      </c>
      <c r="L12" s="90">
        <v>0</v>
      </c>
      <c r="M12" s="90">
        <v>0</v>
      </c>
      <c r="N12" s="91">
        <f t="shared" si="0"/>
        <v>2.4435166769012389</v>
      </c>
      <c r="O12" s="92"/>
    </row>
    <row r="13" spans="1:15" ht="15" x14ac:dyDescent="0.25">
      <c r="A13" s="83"/>
      <c r="B13" s="84" t="str">
        <f>EN_02001!$B$3</f>
        <v>Engine and Drivetrain</v>
      </c>
      <c r="C13" s="85" t="str">
        <f>EN_02006</f>
        <v>EN 02006</v>
      </c>
      <c r="D13" s="86" t="s">
        <v>11</v>
      </c>
      <c r="E13" s="86" t="str">
        <f t="shared" si="2"/>
        <v>Exhaust System</v>
      </c>
      <c r="F13" s="87" t="str">
        <f>EN_02006!B5</f>
        <v>Secondary collector</v>
      </c>
      <c r="G13" s="86"/>
      <c r="H13" s="88">
        <f t="shared" si="1"/>
        <v>22.466496278906856</v>
      </c>
      <c r="I13" s="89">
        <f>EN_A0200_q*EN_02006_q</f>
        <v>1</v>
      </c>
      <c r="J13" s="90">
        <f>EN_02006_m</f>
        <v>0.38627070650896178</v>
      </c>
      <c r="K13" s="90">
        <f>EN_02006_p</f>
        <v>20.580225572397893</v>
      </c>
      <c r="L13" s="90">
        <v>0</v>
      </c>
      <c r="M13" s="90">
        <f>EN_02006_t</f>
        <v>1.5</v>
      </c>
      <c r="N13" s="91">
        <f t="shared" si="0"/>
        <v>22.466496278906856</v>
      </c>
      <c r="O13" s="92"/>
    </row>
    <row r="14" spans="1:15" ht="15" x14ac:dyDescent="0.25">
      <c r="A14" s="83"/>
      <c r="B14" s="84" t="str">
        <f>EN_02001!$B$3</f>
        <v>Engine and Drivetrain</v>
      </c>
      <c r="C14" s="85" t="str">
        <f>EN_02007</f>
        <v>EN 02007</v>
      </c>
      <c r="D14" s="86" t="s">
        <v>11</v>
      </c>
      <c r="E14" s="86" t="str">
        <f t="shared" si="2"/>
        <v>Exhaust System</v>
      </c>
      <c r="F14" s="87" t="str">
        <f>EN_02007!B5</f>
        <v>Secondary collector tubing</v>
      </c>
      <c r="G14" s="86"/>
      <c r="H14" s="88">
        <f t="shared" si="1"/>
        <v>12.90112506395198</v>
      </c>
      <c r="I14" s="89">
        <f>EN_A0200_q*EN_02007_q</f>
        <v>1</v>
      </c>
      <c r="J14" s="90">
        <f>EN_02007_m</f>
        <v>0.51345839728531351</v>
      </c>
      <c r="K14" s="90">
        <f>EN_02007_p</f>
        <v>11.721</v>
      </c>
      <c r="L14" s="90">
        <v>0</v>
      </c>
      <c r="M14" s="90">
        <f>EN_02007_t</f>
        <v>0.66666666666666663</v>
      </c>
      <c r="N14" s="91">
        <f t="shared" si="0"/>
        <v>12.90112506395198</v>
      </c>
      <c r="O14" s="92"/>
    </row>
    <row r="15" spans="1:15" ht="15" x14ac:dyDescent="0.25">
      <c r="A15" s="83"/>
      <c r="B15" s="84" t="str">
        <f>EN_02001!$B$3</f>
        <v>Engine and Drivetrain</v>
      </c>
      <c r="C15" s="85" t="str">
        <f>EN_02008</f>
        <v>EN 02008</v>
      </c>
      <c r="D15" s="86" t="s">
        <v>11</v>
      </c>
      <c r="E15" s="86" t="str">
        <f t="shared" si="2"/>
        <v>Exhaust System</v>
      </c>
      <c r="F15" s="87" t="str">
        <f>EN_02008!B5</f>
        <v>Muffler</v>
      </c>
      <c r="G15" s="93"/>
      <c r="H15" s="88">
        <f t="shared" si="1"/>
        <v>40.144999999999996</v>
      </c>
      <c r="I15" s="89">
        <f>EN_A0200_q*EN_02008_q</f>
        <v>1</v>
      </c>
      <c r="J15" s="90">
        <f>EN_02008_m</f>
        <v>24.125</v>
      </c>
      <c r="K15" s="90">
        <f>EN_02008_p</f>
        <v>16.02</v>
      </c>
      <c r="L15" s="90">
        <v>0</v>
      </c>
      <c r="M15" s="90">
        <v>0</v>
      </c>
      <c r="N15" s="91">
        <f t="shared" si="0"/>
        <v>40.144999999999996</v>
      </c>
      <c r="O15" s="92"/>
    </row>
    <row r="16" spans="1:15" ht="15" x14ac:dyDescent="0.25">
      <c r="A16" s="83"/>
      <c r="B16" s="84" t="str">
        <f>EN_02001!$B$3</f>
        <v>Engine and Drivetrain</v>
      </c>
      <c r="C16" s="85" t="str">
        <f>EN_02009</f>
        <v>EN 02009</v>
      </c>
      <c r="D16" s="86" t="s">
        <v>11</v>
      </c>
      <c r="E16" s="86" t="str">
        <f t="shared" si="2"/>
        <v>Exhaust System</v>
      </c>
      <c r="F16" s="87" t="str">
        <f>EN_02009!B5</f>
        <v>Muffler Collar</v>
      </c>
      <c r="G16" s="86"/>
      <c r="H16" s="88">
        <f t="shared" si="1"/>
        <v>6.208613333333334</v>
      </c>
      <c r="I16" s="89">
        <f>EN_A0200_q*EN_02009_q</f>
        <v>1</v>
      </c>
      <c r="J16" s="90">
        <f>EN_02009_m</f>
        <v>5.5552800000000007</v>
      </c>
      <c r="K16" s="90">
        <f>EN_02009_p</f>
        <v>0.61599999999999999</v>
      </c>
      <c r="L16" s="90">
        <v>0</v>
      </c>
      <c r="M16" s="90">
        <f>EN_02009_t</f>
        <v>3.7333333333333336E-2</v>
      </c>
      <c r="N16" s="91">
        <f t="shared" si="0"/>
        <v>6.208613333333334</v>
      </c>
      <c r="O16" s="92"/>
    </row>
    <row r="17" spans="1:15" ht="15" x14ac:dyDescent="0.25">
      <c r="A17" s="83"/>
      <c r="B17" s="84" t="str">
        <f>EN_02001!$B$3</f>
        <v>Engine and Drivetrain</v>
      </c>
      <c r="C17" s="85" t="str">
        <f>EN_02010</f>
        <v>EN 02010</v>
      </c>
      <c r="D17" s="86" t="s">
        <v>11</v>
      </c>
      <c r="E17" s="86" t="str">
        <f t="shared" si="2"/>
        <v>Exhaust System</v>
      </c>
      <c r="F17" s="87" t="str">
        <f>EN_02010!B5</f>
        <v>Spacer</v>
      </c>
      <c r="G17" s="86"/>
      <c r="H17" s="88">
        <f t="shared" si="1"/>
        <v>2.2250004878264873</v>
      </c>
      <c r="I17" s="89">
        <f>EN_A0200_q*EN_02010_q</f>
        <v>1</v>
      </c>
      <c r="J17" s="90">
        <f>EN_02010_m</f>
        <v>0.14915276609595188</v>
      </c>
      <c r="K17" s="90">
        <f>EN_02010_p</f>
        <v>2.0758477217305353</v>
      </c>
      <c r="L17" s="90">
        <v>0</v>
      </c>
      <c r="M17" s="90">
        <v>0</v>
      </c>
      <c r="N17" s="91">
        <f t="shared" si="0"/>
        <v>2.2250004878264873</v>
      </c>
      <c r="O17" s="92"/>
    </row>
    <row r="18" spans="1:15" ht="15" x14ac:dyDescent="0.25">
      <c r="A18" s="610"/>
      <c r="B18" s="611" t="str">
        <f>EN_A0300!B3</f>
        <v>Engine and Drivetrain</v>
      </c>
      <c r="C18" s="619" t="s">
        <v>522</v>
      </c>
      <c r="D18" s="612" t="s">
        <v>11</v>
      </c>
      <c r="E18" s="612"/>
      <c r="F18" s="613" t="str">
        <f>EN_A0300</f>
        <v>Air Intake System</v>
      </c>
      <c r="G18" s="612"/>
      <c r="H18" s="614">
        <f t="shared" ref="H18:H58" si="3">SUM(J18:M18)</f>
        <v>95.195598846774004</v>
      </c>
      <c r="I18" s="615">
        <f>EN_A0300_q</f>
        <v>1</v>
      </c>
      <c r="J18" s="616">
        <f>EN_A0300_m</f>
        <v>26.45</v>
      </c>
      <c r="K18" s="616">
        <f>EN_A0300_p</f>
        <v>62.641749999999995</v>
      </c>
      <c r="L18" s="616">
        <f>EN_A0300_f</f>
        <v>5.437182180107337</v>
      </c>
      <c r="M18" s="616">
        <f>EN_A0300_t</f>
        <v>0.66666666666666663</v>
      </c>
      <c r="N18" s="617">
        <f t="shared" si="0"/>
        <v>95.195598846774004</v>
      </c>
      <c r="O18" s="618"/>
    </row>
    <row r="19" spans="1:15" ht="15" x14ac:dyDescent="0.25">
      <c r="A19" s="583"/>
      <c r="B19" s="584" t="str">
        <f>EN_A0300!$B$3</f>
        <v>Engine and Drivetrain</v>
      </c>
      <c r="C19" s="585" t="s">
        <v>523</v>
      </c>
      <c r="D19" s="586" t="s">
        <v>11</v>
      </c>
      <c r="E19" s="586" t="str">
        <f>$F$18</f>
        <v>Air Intake System</v>
      </c>
      <c r="F19" s="587" t="str">
        <f>EN_03001!B$5</f>
        <v>Upper plenum</v>
      </c>
      <c r="G19" s="586"/>
      <c r="H19" s="588">
        <f t="shared" si="3"/>
        <v>12.57225</v>
      </c>
      <c r="I19" s="589">
        <f>EN_A0300_q*EN_0300_001_q</f>
        <v>1</v>
      </c>
      <c r="J19" s="590">
        <f>EN_0300_001_m</f>
        <v>1.1384999999999998</v>
      </c>
      <c r="K19" s="590">
        <f>EN_0300_001_p</f>
        <v>11.43375</v>
      </c>
      <c r="L19" s="590">
        <f>EN_0300_001_f</f>
        <v>0</v>
      </c>
      <c r="M19" s="590">
        <f>EN_0300_001_t</f>
        <v>0</v>
      </c>
      <c r="N19" s="591">
        <f t="shared" si="0"/>
        <v>12.57225</v>
      </c>
      <c r="O19" s="592"/>
    </row>
    <row r="20" spans="1:15" ht="15" x14ac:dyDescent="0.25">
      <c r="A20" s="583"/>
      <c r="B20" s="584" t="str">
        <f>EN_A0300!$B$3</f>
        <v>Engine and Drivetrain</v>
      </c>
      <c r="C20" s="585" t="s">
        <v>524</v>
      </c>
      <c r="D20" s="586" t="s">
        <v>11</v>
      </c>
      <c r="E20" s="586" t="str">
        <f t="shared" ref="E20:E26" si="4">$F$18</f>
        <v>Air Intake System</v>
      </c>
      <c r="F20" s="587" t="str">
        <f>EN_03002!B$5</f>
        <v>Plenum plate</v>
      </c>
      <c r="G20" s="586"/>
      <c r="H20" s="588">
        <f t="shared" si="3"/>
        <v>3.6799999999999997</v>
      </c>
      <c r="I20" s="589">
        <f>EN_A0300_q*EN_0300_002_q</f>
        <v>1</v>
      </c>
      <c r="J20" s="590">
        <f>EN_0300_002_m</f>
        <v>0.58800000000000008</v>
      </c>
      <c r="K20" s="590">
        <f>EN_0300_002_p</f>
        <v>3.0919999999999996</v>
      </c>
      <c r="L20" s="590">
        <f>EN_0300_002_f</f>
        <v>0</v>
      </c>
      <c r="M20" s="590">
        <f>EN_0300_002_t</f>
        <v>0</v>
      </c>
      <c r="N20" s="591">
        <f t="shared" si="0"/>
        <v>3.6799999999999997</v>
      </c>
      <c r="O20" s="592"/>
    </row>
    <row r="21" spans="1:15" ht="15" x14ac:dyDescent="0.25">
      <c r="A21" s="583"/>
      <c r="B21" s="584" t="str">
        <f>EN_A0300!$B$3</f>
        <v>Engine and Drivetrain</v>
      </c>
      <c r="C21" s="585" t="s">
        <v>525</v>
      </c>
      <c r="D21" s="586" t="s">
        <v>11</v>
      </c>
      <c r="E21" s="586" t="str">
        <f t="shared" si="4"/>
        <v>Air Intake System</v>
      </c>
      <c r="F21" s="587" t="str">
        <f>EN_03003!B$5</f>
        <v>Intake manifold</v>
      </c>
      <c r="G21" s="586"/>
      <c r="H21" s="588">
        <f t="shared" si="3"/>
        <v>18.119250000000001</v>
      </c>
      <c r="I21" s="589">
        <f>EN_A0300_q*EN_0300_003_q</f>
        <v>1</v>
      </c>
      <c r="J21" s="590">
        <f>EN_0300_003_m</f>
        <v>1.6335</v>
      </c>
      <c r="K21" s="590">
        <f>EN_0300_003_p</f>
        <v>16.485749999999999</v>
      </c>
      <c r="L21" s="590">
        <f>EN_0300_003_f</f>
        <v>0</v>
      </c>
      <c r="M21" s="590">
        <f>EN_0300_003_t</f>
        <v>0</v>
      </c>
      <c r="N21" s="591">
        <f t="shared" si="0"/>
        <v>18.119250000000001</v>
      </c>
      <c r="O21" s="592"/>
    </row>
    <row r="22" spans="1:15" ht="15" x14ac:dyDescent="0.25">
      <c r="A22" s="583"/>
      <c r="B22" s="584" t="str">
        <f>EN_A0300!$B$3</f>
        <v>Engine and Drivetrain</v>
      </c>
      <c r="C22" s="585" t="s">
        <v>572</v>
      </c>
      <c r="D22" s="586" t="s">
        <v>11</v>
      </c>
      <c r="E22" s="586" t="str">
        <f t="shared" si="4"/>
        <v>Air Intake System</v>
      </c>
      <c r="F22" s="587" t="str">
        <f>EN_03004!B$5</f>
        <v>Left frame bracket</v>
      </c>
      <c r="G22" s="586"/>
      <c r="H22" s="588">
        <f t="shared" si="3"/>
        <v>1.6890000000000001</v>
      </c>
      <c r="I22" s="589">
        <f>EN_A0300_q*EN_0300_004_q</f>
        <v>1</v>
      </c>
      <c r="J22" s="590">
        <f>EN_0300_004_m</f>
        <v>4.2000000000000003E-2</v>
      </c>
      <c r="K22" s="590">
        <f>EN_0300_004_p</f>
        <v>1.647</v>
      </c>
      <c r="L22" s="590">
        <f>EN_0300_004_f</f>
        <v>0</v>
      </c>
      <c r="M22" s="590">
        <f>EN_0300_004_t</f>
        <v>0</v>
      </c>
      <c r="N22" s="591">
        <f t="shared" si="0"/>
        <v>1.6890000000000001</v>
      </c>
      <c r="O22" s="592"/>
    </row>
    <row r="23" spans="1:15" ht="15" x14ac:dyDescent="0.25">
      <c r="A23" s="583"/>
      <c r="B23" s="584" t="str">
        <f>EN_A0300!$B$3</f>
        <v>Engine and Drivetrain</v>
      </c>
      <c r="C23" s="585" t="s">
        <v>573</v>
      </c>
      <c r="D23" s="586" t="s">
        <v>11</v>
      </c>
      <c r="E23" s="586" t="str">
        <f t="shared" si="4"/>
        <v>Air Intake System</v>
      </c>
      <c r="F23" s="587" t="str">
        <f>EN_03005!B$5</f>
        <v>Right frame bracket</v>
      </c>
      <c r="G23" s="586"/>
      <c r="H23" s="588">
        <f t="shared" si="3"/>
        <v>1.7614000000000001</v>
      </c>
      <c r="I23" s="589">
        <f>EN_A0300_q*EN_0300_005_q</f>
        <v>1</v>
      </c>
      <c r="J23" s="590">
        <f>EN_0300_005_m</f>
        <v>5.04E-2</v>
      </c>
      <c r="K23" s="590">
        <f>EN_0300_005_p</f>
        <v>1.7110000000000001</v>
      </c>
      <c r="L23" s="590">
        <f>EN_0300_005_f</f>
        <v>0</v>
      </c>
      <c r="M23" s="590">
        <f>EN_0300_005_t</f>
        <v>0</v>
      </c>
      <c r="N23" s="591">
        <f t="shared" si="0"/>
        <v>1.7614000000000001</v>
      </c>
      <c r="O23" s="592"/>
    </row>
    <row r="24" spans="1:15" ht="15" x14ac:dyDescent="0.25">
      <c r="A24" s="583"/>
      <c r="B24" s="584" t="str">
        <f>EN_A0300!$B$3</f>
        <v>Engine and Drivetrain</v>
      </c>
      <c r="C24" s="585" t="s">
        <v>574</v>
      </c>
      <c r="D24" s="586" t="s">
        <v>11</v>
      </c>
      <c r="E24" s="586" t="str">
        <f t="shared" si="4"/>
        <v>Air Intake System</v>
      </c>
      <c r="F24" s="587" t="str">
        <f>EN_03006!B$5</f>
        <v>PAIR plate</v>
      </c>
      <c r="G24" s="586"/>
      <c r="H24" s="588">
        <f t="shared" si="3"/>
        <v>1.9656000000000002</v>
      </c>
      <c r="I24" s="589">
        <f>EN_A0300_q*EN_0300_006_q</f>
        <v>2</v>
      </c>
      <c r="J24" s="590">
        <f>EN_0300_006_m</f>
        <v>7.5600000000000001E-2</v>
      </c>
      <c r="K24" s="590">
        <f>EN_0300_006_p</f>
        <v>1.8900000000000001</v>
      </c>
      <c r="L24" s="590">
        <f>EN_0300_006_f</f>
        <v>0</v>
      </c>
      <c r="M24" s="590">
        <f>EN_0300_006_t</f>
        <v>0</v>
      </c>
      <c r="N24" s="591">
        <f t="shared" si="0"/>
        <v>3.9312000000000005</v>
      </c>
      <c r="O24" s="592"/>
    </row>
    <row r="25" spans="1:15" ht="15" x14ac:dyDescent="0.25">
      <c r="A25" s="583"/>
      <c r="B25" s="584" t="str">
        <f>EN_A0300!$B$3</f>
        <v>Engine and Drivetrain</v>
      </c>
      <c r="C25" s="585" t="s">
        <v>575</v>
      </c>
      <c r="D25" s="586" t="s">
        <v>11</v>
      </c>
      <c r="E25" s="586" t="str">
        <f t="shared" si="4"/>
        <v>Air Intake System</v>
      </c>
      <c r="F25" s="587" t="str">
        <f>EN_03007!B$5</f>
        <v>Motor bracket</v>
      </c>
      <c r="G25" s="586"/>
      <c r="H25" s="588">
        <f t="shared" si="3"/>
        <v>4.1755999999999993</v>
      </c>
      <c r="I25" s="589">
        <f>EN_A0300_q*EN_0300_007_q</f>
        <v>1</v>
      </c>
      <c r="J25" s="590">
        <f>EN_0300_007_m</f>
        <v>0.28560000000000002</v>
      </c>
      <c r="K25" s="590">
        <f>EN_0300_007_p</f>
        <v>3.8899999999999997</v>
      </c>
      <c r="L25" s="590">
        <f>EN_0300_007_f</f>
        <v>0</v>
      </c>
      <c r="M25" s="590">
        <f>EN_0300_007_t</f>
        <v>0</v>
      </c>
      <c r="N25" s="591">
        <f t="shared" si="0"/>
        <v>4.1755999999999993</v>
      </c>
      <c r="O25" s="592"/>
    </row>
    <row r="26" spans="1:15" ht="15" x14ac:dyDescent="0.25">
      <c r="A26" s="593"/>
      <c r="B26" s="594" t="str">
        <f>EN_A0300!$B$3</f>
        <v>Engine and Drivetrain</v>
      </c>
      <c r="C26" s="595" t="s">
        <v>576</v>
      </c>
      <c r="D26" s="596" t="s">
        <v>11</v>
      </c>
      <c r="E26" s="586" t="str">
        <f t="shared" si="4"/>
        <v>Air Intake System</v>
      </c>
      <c r="F26" s="597" t="str">
        <f>EN_03008!B$5</f>
        <v>Intake bracket</v>
      </c>
      <c r="G26" s="596"/>
      <c r="H26" s="598">
        <f t="shared" si="3"/>
        <v>1.38425</v>
      </c>
      <c r="I26" s="599">
        <f>EN_A0300_q*EN_0300_008_q</f>
        <v>2</v>
      </c>
      <c r="J26" s="590">
        <f>EN_0300_008_m</f>
        <v>6.7499999999999999E-3</v>
      </c>
      <c r="K26" s="600">
        <f>EN_0300_008_p</f>
        <v>1.3774999999999999</v>
      </c>
      <c r="L26" s="600">
        <f>EN_0300_008_f</f>
        <v>0</v>
      </c>
      <c r="M26" s="600">
        <f>EN_0300_008_t</f>
        <v>0</v>
      </c>
      <c r="N26" s="601">
        <f t="shared" si="0"/>
        <v>2.7685</v>
      </c>
      <c r="O26" s="602"/>
    </row>
    <row r="27" spans="1:15" ht="15" x14ac:dyDescent="0.25">
      <c r="A27" s="153"/>
      <c r="B27" s="152" t="str">
        <f>EN_A0400!B3</f>
        <v>Engine and Drivetrain</v>
      </c>
      <c r="C27" s="150" t="s">
        <v>557</v>
      </c>
      <c r="D27" s="150" t="s">
        <v>11</v>
      </c>
      <c r="E27" s="150"/>
      <c r="F27" s="151" t="str">
        <f>EN_A0400</f>
        <v>Throttle Body</v>
      </c>
      <c r="G27" s="150"/>
      <c r="H27" s="149">
        <f t="shared" si="3"/>
        <v>130.01000000000002</v>
      </c>
      <c r="I27" s="148">
        <f>EN_A0400_q</f>
        <v>1</v>
      </c>
      <c r="J27" s="147">
        <f>EN_A0400_m</f>
        <v>119.8</v>
      </c>
      <c r="K27" s="147">
        <f>EN_A0400_p</f>
        <v>9.1900000000000013</v>
      </c>
      <c r="L27" s="147">
        <f>EN_A0400_f</f>
        <v>1.02</v>
      </c>
      <c r="M27" s="147">
        <f>EN_A0400_t</f>
        <v>0</v>
      </c>
      <c r="N27" s="146">
        <f t="shared" si="0"/>
        <v>130.01000000000002</v>
      </c>
      <c r="O27" s="145"/>
    </row>
    <row r="28" spans="1:15" ht="15" x14ac:dyDescent="0.25">
      <c r="A28" s="143"/>
      <c r="B28" s="142" t="str">
        <f>EN_A0400!$B$3</f>
        <v>Engine and Drivetrain</v>
      </c>
      <c r="C28" s="141" t="s">
        <v>558</v>
      </c>
      <c r="D28" s="139" t="s">
        <v>11</v>
      </c>
      <c r="E28" s="139" t="str">
        <f>$F$27</f>
        <v>Throttle Body</v>
      </c>
      <c r="F28" s="140" t="str">
        <f>EN_0400_001</f>
        <v>Throttle Frange</v>
      </c>
      <c r="G28" s="139"/>
      <c r="H28" s="138">
        <f t="shared" si="3"/>
        <v>5.1789856000000007</v>
      </c>
      <c r="I28" s="137">
        <f>EN_A0400_q*EN_0400_001_q</f>
        <v>1</v>
      </c>
      <c r="J28" s="136">
        <f>EN_0400_001_m</f>
        <v>0.72898560000000012</v>
      </c>
      <c r="K28" s="136">
        <f>EN_0400_001_p</f>
        <v>4.45</v>
      </c>
      <c r="L28" s="136">
        <f>EN_0400_001_f</f>
        <v>0</v>
      </c>
      <c r="M28" s="136">
        <f>EN_0400_001_t</f>
        <v>0</v>
      </c>
      <c r="N28" s="135">
        <f t="shared" si="0"/>
        <v>5.1789856000000007</v>
      </c>
      <c r="O28" s="134"/>
    </row>
    <row r="29" spans="1:15" ht="15" x14ac:dyDescent="0.25">
      <c r="A29" s="143"/>
      <c r="B29" s="142" t="str">
        <f>EN_A0400!$B$3</f>
        <v>Engine and Drivetrain</v>
      </c>
      <c r="C29" s="141" t="s">
        <v>559</v>
      </c>
      <c r="D29" s="139" t="s">
        <v>11</v>
      </c>
      <c r="E29" s="139" t="str">
        <f t="shared" ref="E29:E36" si="5">$F$27</f>
        <v>Throttle Body</v>
      </c>
      <c r="F29" s="140" t="str">
        <f>EN_0400_002</f>
        <v>Restrictor</v>
      </c>
      <c r="G29" s="139"/>
      <c r="H29" s="138">
        <f t="shared" si="3"/>
        <v>5.7292000000000005</v>
      </c>
      <c r="I29" s="137">
        <f>EN_A0400_q*EN_0400_002_q</f>
        <v>1</v>
      </c>
      <c r="J29" s="136">
        <f>EN_0400_002_m</f>
        <v>1.5792000000000002</v>
      </c>
      <c r="K29" s="136">
        <f>EN_0400_002_p</f>
        <v>4.1500000000000004</v>
      </c>
      <c r="L29" s="136">
        <f>EN_0400_002_f</f>
        <v>0</v>
      </c>
      <c r="M29" s="136">
        <f>EN_0400_002_t</f>
        <v>0</v>
      </c>
      <c r="N29" s="135">
        <f t="shared" si="0"/>
        <v>5.7292000000000005</v>
      </c>
      <c r="O29" s="134"/>
    </row>
    <row r="30" spans="1:15" ht="15" x14ac:dyDescent="0.25">
      <c r="A30" s="143"/>
      <c r="B30" s="142" t="str">
        <f>EN_A0400!$B$3</f>
        <v>Engine and Drivetrain</v>
      </c>
      <c r="C30" s="141" t="s">
        <v>560</v>
      </c>
      <c r="D30" s="139" t="s">
        <v>11</v>
      </c>
      <c r="E30" s="139" t="str">
        <f t="shared" si="5"/>
        <v>Throttle Body</v>
      </c>
      <c r="F30" s="140" t="str">
        <f>EN_0400_003</f>
        <v>Throttle Housing</v>
      </c>
      <c r="G30" s="139"/>
      <c r="H30" s="138">
        <f t="shared" si="3"/>
        <v>4.2741999999999996</v>
      </c>
      <c r="I30" s="137">
        <f>EN_A0400_q*EN_0400_003_q</f>
        <v>1</v>
      </c>
      <c r="J30" s="136">
        <f>EN_0400_003_m</f>
        <v>0.84420000000000006</v>
      </c>
      <c r="K30" s="136">
        <f>EN_0400_003_p</f>
        <v>3.4299999999999997</v>
      </c>
      <c r="L30" s="136">
        <f>EN_0400_003_f</f>
        <v>0</v>
      </c>
      <c r="M30" s="136">
        <f>EN_0400_003_t</f>
        <v>0</v>
      </c>
      <c r="N30" s="135">
        <f t="shared" si="0"/>
        <v>4.2741999999999996</v>
      </c>
      <c r="O30" s="134"/>
    </row>
    <row r="31" spans="1:15" ht="15" x14ac:dyDescent="0.25">
      <c r="A31" s="143"/>
      <c r="B31" s="142" t="str">
        <f>EN_A0400!$B$3</f>
        <v>Engine and Drivetrain</v>
      </c>
      <c r="C31" s="141" t="s">
        <v>561</v>
      </c>
      <c r="D31" s="139" t="s">
        <v>11</v>
      </c>
      <c r="E31" s="139" t="str">
        <f t="shared" si="5"/>
        <v>Throttle Body</v>
      </c>
      <c r="F31" s="140" t="str">
        <f>EN_0400_004</f>
        <v>Throttle Axle</v>
      </c>
      <c r="G31" s="139"/>
      <c r="H31" s="138">
        <f t="shared" si="3"/>
        <v>2.7262499999999998</v>
      </c>
      <c r="I31" s="137">
        <f>EN_A0400_q*EN_0400_004_q</f>
        <v>1</v>
      </c>
      <c r="J31" s="136">
        <f>EN_0400_004_m</f>
        <v>5.6250000000000001E-2</v>
      </c>
      <c r="K31" s="136">
        <f>EN_0400_004_p</f>
        <v>2.67</v>
      </c>
      <c r="L31" s="136">
        <f>EN_0400_004_f</f>
        <v>0</v>
      </c>
      <c r="M31" s="136">
        <f>EN_0400_004_t</f>
        <v>0</v>
      </c>
      <c r="N31" s="135">
        <f t="shared" si="0"/>
        <v>2.7262499999999998</v>
      </c>
      <c r="O31" s="134"/>
    </row>
    <row r="32" spans="1:15" ht="15" x14ac:dyDescent="0.25">
      <c r="A32" s="143"/>
      <c r="B32" s="142" t="str">
        <f>EN_A0400!$B$3</f>
        <v>Engine and Drivetrain</v>
      </c>
      <c r="C32" s="141" t="s">
        <v>562</v>
      </c>
      <c r="D32" s="139" t="s">
        <v>11</v>
      </c>
      <c r="E32" s="139" t="str">
        <f t="shared" si="5"/>
        <v>Throttle Body</v>
      </c>
      <c r="F32" s="140" t="str">
        <f>EN_0400_005</f>
        <v>TPS Axle</v>
      </c>
      <c r="G32" s="139"/>
      <c r="H32" s="138">
        <f t="shared" si="3"/>
        <v>2.7105000000000001</v>
      </c>
      <c r="I32" s="137">
        <f>EN_A0400_q*EN_0400_005_q</f>
        <v>1</v>
      </c>
      <c r="J32" s="136">
        <f>EN_0400_005_m</f>
        <v>4.0499999999999994E-2</v>
      </c>
      <c r="K32" s="136">
        <f>EN_0400_005_p</f>
        <v>2.67</v>
      </c>
      <c r="L32" s="136">
        <f>EN_0400_005_f</f>
        <v>0</v>
      </c>
      <c r="M32" s="136">
        <f>EN_0400_005_t</f>
        <v>0</v>
      </c>
      <c r="N32" s="135">
        <f t="shared" si="0"/>
        <v>2.7105000000000001</v>
      </c>
      <c r="O32" s="134"/>
    </row>
    <row r="33" spans="1:15" ht="15" x14ac:dyDescent="0.25">
      <c r="A33" s="143"/>
      <c r="B33" s="142" t="str">
        <f>EN_A0400!$B$3</f>
        <v>Engine and Drivetrain</v>
      </c>
      <c r="C33" s="141" t="s">
        <v>563</v>
      </c>
      <c r="D33" s="139" t="s">
        <v>11</v>
      </c>
      <c r="E33" s="139" t="str">
        <f t="shared" si="5"/>
        <v>Throttle Body</v>
      </c>
      <c r="F33" s="140" t="str">
        <f>EN_0400_006</f>
        <v>Cable Housing</v>
      </c>
      <c r="G33" s="139"/>
      <c r="H33" s="138">
        <f t="shared" si="3"/>
        <v>3.5687500000000001</v>
      </c>
      <c r="I33" s="137">
        <f>EN_A0400_q*EN_0400_006_q</f>
        <v>1</v>
      </c>
      <c r="J33" s="136">
        <f>EN_0400_006_m</f>
        <v>0.16874999999999998</v>
      </c>
      <c r="K33" s="136">
        <f>EN_0400_006_p</f>
        <v>3.4</v>
      </c>
      <c r="L33" s="136">
        <f>EN_0400_006_f</f>
        <v>0</v>
      </c>
      <c r="M33" s="136">
        <f>EN_0400_006_t</f>
        <v>0</v>
      </c>
      <c r="N33" s="135">
        <f t="shared" si="0"/>
        <v>3.5687500000000001</v>
      </c>
      <c r="O33" s="134"/>
    </row>
    <row r="34" spans="1:15" ht="15" x14ac:dyDescent="0.25">
      <c r="A34" s="143"/>
      <c r="B34" s="142" t="str">
        <f>EN_A0400!$B$3</f>
        <v>Engine and Drivetrain</v>
      </c>
      <c r="C34" s="141" t="s">
        <v>564</v>
      </c>
      <c r="D34" s="139" t="s">
        <v>11</v>
      </c>
      <c r="E34" s="139" t="str">
        <f t="shared" si="5"/>
        <v>Throttle Body</v>
      </c>
      <c r="F34" s="140" t="str">
        <f>EN_0400_007</f>
        <v>Axle Stop</v>
      </c>
      <c r="G34" s="139"/>
      <c r="H34" s="138">
        <f t="shared" si="3"/>
        <v>2.0409999999999999</v>
      </c>
      <c r="I34" s="137">
        <f>EN_A0400_q*EN_0400_007_q</f>
        <v>1</v>
      </c>
      <c r="J34" s="136">
        <f>EN_0400_007_m</f>
        <v>0.26100000000000001</v>
      </c>
      <c r="K34" s="136">
        <f>EN_0400_007_p</f>
        <v>1.78</v>
      </c>
      <c r="L34" s="136">
        <f>EN_0400_007_f</f>
        <v>0</v>
      </c>
      <c r="M34" s="136">
        <f>EN_0400_007_t</f>
        <v>0</v>
      </c>
      <c r="N34" s="135">
        <f t="shared" si="0"/>
        <v>2.0409999999999999</v>
      </c>
      <c r="O34" s="134"/>
    </row>
    <row r="35" spans="1:15" ht="15" x14ac:dyDescent="0.25">
      <c r="A35" s="143"/>
      <c r="B35" s="142" t="str">
        <f>EN_A0400!$B$3</f>
        <v>Engine and Drivetrain</v>
      </c>
      <c r="C35" s="141" t="s">
        <v>565</v>
      </c>
      <c r="D35" s="139" t="s">
        <v>11</v>
      </c>
      <c r="E35" s="139" t="str">
        <f t="shared" si="5"/>
        <v>Throttle Body</v>
      </c>
      <c r="F35" s="140" t="str">
        <f>EN_0400_008</f>
        <v>Ram Pipe</v>
      </c>
      <c r="G35" s="144"/>
      <c r="H35" s="138">
        <f t="shared" si="3"/>
        <v>12.5068</v>
      </c>
      <c r="I35" s="137">
        <f>EN_A0400_q*EN_0400_008_q</f>
        <v>1</v>
      </c>
      <c r="J35" s="136">
        <f>EN_0400_008_m</f>
        <v>4.0068000000000001</v>
      </c>
      <c r="K35" s="136">
        <f>EN_0400_008_p</f>
        <v>8.5</v>
      </c>
      <c r="L35" s="136">
        <f>EN_0400_008_f</f>
        <v>0</v>
      </c>
      <c r="M35" s="136">
        <f>EN_0400_008_t</f>
        <v>0</v>
      </c>
      <c r="N35" s="135">
        <f t="shared" si="0"/>
        <v>12.5068</v>
      </c>
      <c r="O35" s="134"/>
    </row>
    <row r="36" spans="1:15" ht="15" x14ac:dyDescent="0.25">
      <c r="A36" s="143"/>
      <c r="B36" s="142" t="str">
        <f>EN_A0400!$B$3</f>
        <v>Engine and Drivetrain</v>
      </c>
      <c r="C36" s="141" t="s">
        <v>566</v>
      </c>
      <c r="D36" s="139" t="s">
        <v>11</v>
      </c>
      <c r="E36" s="139" t="str">
        <f t="shared" si="5"/>
        <v>Throttle Body</v>
      </c>
      <c r="F36" s="140" t="str">
        <f>EN_0400_009</f>
        <v>Throttle Plate</v>
      </c>
      <c r="G36" s="139"/>
      <c r="H36" s="138">
        <f t="shared" si="3"/>
        <v>1.492</v>
      </c>
      <c r="I36" s="137">
        <f>EN_A0400_q*EN_0400_009_q</f>
        <v>1</v>
      </c>
      <c r="J36" s="136">
        <f>EN_0400_009_m</f>
        <v>7.2000000000000008E-2</v>
      </c>
      <c r="K36" s="136">
        <f>EN_0400_009_p</f>
        <v>1.42</v>
      </c>
      <c r="L36" s="136">
        <f>EN_0400_009_f</f>
        <v>0</v>
      </c>
      <c r="M36" s="136">
        <f>EN_0400_009_t</f>
        <v>0</v>
      </c>
      <c r="N36" s="135">
        <f t="shared" si="0"/>
        <v>1.492</v>
      </c>
      <c r="O36" s="134"/>
    </row>
    <row r="37" spans="1:15" ht="15" x14ac:dyDescent="0.25">
      <c r="A37" s="610"/>
      <c r="B37" s="611" t="str">
        <f>EN_A0900!B3</f>
        <v>Engine &amp; Drivetrain</v>
      </c>
      <c r="C37" s="619" t="str">
        <f>EN_A0900</f>
        <v>EN A0900</v>
      </c>
      <c r="D37" s="612" t="s">
        <v>11</v>
      </c>
      <c r="E37" s="612"/>
      <c r="F37" s="613" t="str">
        <f>EN_A0900!B4</f>
        <v>Differential Assembly</v>
      </c>
      <c r="G37" s="612"/>
      <c r="H37" s="149">
        <f t="shared" si="3"/>
        <v>203.88982703267328</v>
      </c>
      <c r="I37" s="615">
        <f>EN_A0900_q</f>
        <v>1</v>
      </c>
      <c r="J37" s="616">
        <f>EN_A0900_m</f>
        <v>180.46876618407356</v>
      </c>
      <c r="K37" s="616">
        <f>EN_A0900_p</f>
        <v>18.487000000000002</v>
      </c>
      <c r="L37" s="616">
        <f>EN_A0900_f</f>
        <v>2.2673941819330707</v>
      </c>
      <c r="M37" s="616">
        <f>EN_A0900_t</f>
        <v>2.6666666666666665</v>
      </c>
      <c r="N37" s="146">
        <f t="shared" si="0"/>
        <v>203.88982703267328</v>
      </c>
      <c r="O37" s="618"/>
    </row>
    <row r="38" spans="1:15" ht="15" x14ac:dyDescent="0.25">
      <c r="A38" s="583"/>
      <c r="B38" s="584" t="str">
        <f>EN_09001!$B$3</f>
        <v>Engine &amp; Drivetrain</v>
      </c>
      <c r="C38" s="585" t="str">
        <f>EN_0900_001</f>
        <v>EN 09001</v>
      </c>
      <c r="D38" s="586" t="s">
        <v>11</v>
      </c>
      <c r="E38" s="586" t="str">
        <f>F$37</f>
        <v>Differential Assembly</v>
      </c>
      <c r="F38" s="587" t="str">
        <f>EN_09001!B5</f>
        <v>Housing</v>
      </c>
      <c r="G38" s="586"/>
      <c r="H38" s="138">
        <f t="shared" si="3"/>
        <v>125.93892271516907</v>
      </c>
      <c r="I38" s="589">
        <f>EN_A0900_q*EN_0900_001_q</f>
        <v>1</v>
      </c>
      <c r="J38" s="590">
        <f>EN_0900_001_m</f>
        <v>21.413986326151015</v>
      </c>
      <c r="K38" s="590">
        <f>EN_0900_001_p</f>
        <v>101.49</v>
      </c>
      <c r="L38" s="590">
        <f>EN_0900_001_f</f>
        <v>3.0349363890180614</v>
      </c>
      <c r="M38" s="590">
        <v>0</v>
      </c>
      <c r="N38" s="135">
        <f t="shared" si="0"/>
        <v>125.93892271516907</v>
      </c>
      <c r="O38" s="592"/>
    </row>
    <row r="39" spans="1:15" ht="15" x14ac:dyDescent="0.25">
      <c r="A39" s="583"/>
      <c r="B39" s="584" t="str">
        <f>EN_09001!$B$3</f>
        <v>Engine &amp; Drivetrain</v>
      </c>
      <c r="C39" s="585" t="str">
        <f>EN_0900_002</f>
        <v>EN 09002</v>
      </c>
      <c r="D39" s="586" t="s">
        <v>11</v>
      </c>
      <c r="E39" s="586" t="str">
        <f t="shared" ref="E39:E46" si="6">F$37</f>
        <v>Differential Assembly</v>
      </c>
      <c r="F39" s="587" t="str">
        <f>EN_09002!B5</f>
        <v>Left Eccentric</v>
      </c>
      <c r="G39" s="586"/>
      <c r="H39" s="138">
        <f t="shared" si="3"/>
        <v>10.904564699673662</v>
      </c>
      <c r="I39" s="589">
        <f>EN_A0900_q*EN_0900_002_q</f>
        <v>1</v>
      </c>
      <c r="J39" s="590">
        <f>EN_0900_002_m</f>
        <v>2.5923646996736607</v>
      </c>
      <c r="K39" s="590">
        <f>EN_0900_002_p</f>
        <v>8.3122000000000007</v>
      </c>
      <c r="L39" s="590">
        <v>0</v>
      </c>
      <c r="M39" s="590">
        <v>0</v>
      </c>
      <c r="N39" s="135">
        <f t="shared" si="0"/>
        <v>10.904564699673662</v>
      </c>
      <c r="O39" s="592"/>
    </row>
    <row r="40" spans="1:15" ht="15" x14ac:dyDescent="0.25">
      <c r="A40" s="583"/>
      <c r="B40" s="584" t="str">
        <f>EN_09001!$B$3</f>
        <v>Engine &amp; Drivetrain</v>
      </c>
      <c r="C40" s="585" t="str">
        <f>EN_0900_003</f>
        <v>EN 09003</v>
      </c>
      <c r="D40" s="586" t="s">
        <v>11</v>
      </c>
      <c r="E40" s="586" t="str">
        <f t="shared" si="6"/>
        <v>Differential Assembly</v>
      </c>
      <c r="F40" s="587" t="str">
        <f>EN_09003!B5</f>
        <v>Right Eccentric</v>
      </c>
      <c r="G40" s="586"/>
      <c r="H40" s="138">
        <f t="shared" si="3"/>
        <v>8.5389646196590014</v>
      </c>
      <c r="I40" s="589">
        <f>EN_A0900_q*EN_0900_003_q</f>
        <v>1</v>
      </c>
      <c r="J40" s="590">
        <f>EN_0900_003_m</f>
        <v>2.0039646196590013</v>
      </c>
      <c r="K40" s="590">
        <f>EN_0900_003_p</f>
        <v>6.5350000000000001</v>
      </c>
      <c r="L40" s="590">
        <v>0</v>
      </c>
      <c r="M40" s="590">
        <v>0</v>
      </c>
      <c r="N40" s="135">
        <f t="shared" si="0"/>
        <v>8.5389646196590014</v>
      </c>
      <c r="O40" s="592"/>
    </row>
    <row r="41" spans="1:15" ht="15" x14ac:dyDescent="0.25">
      <c r="A41" s="583"/>
      <c r="B41" s="584" t="str">
        <f>EN_09001!$B$3</f>
        <v>Engine &amp; Drivetrain</v>
      </c>
      <c r="C41" s="585" t="str">
        <f>EN_0900_004</f>
        <v>EN 09004</v>
      </c>
      <c r="D41" s="586" t="s">
        <v>11</v>
      </c>
      <c r="E41" s="586" t="str">
        <f t="shared" si="6"/>
        <v>Differential Assembly</v>
      </c>
      <c r="F41" s="587" t="str">
        <f>EN_09004!B5</f>
        <v>Left Eccentric carrier</v>
      </c>
      <c r="G41" s="586"/>
      <c r="H41" s="138">
        <f t="shared" si="3"/>
        <v>23.956417471999998</v>
      </c>
      <c r="I41" s="589">
        <f>EN_A0900_q*EN_0900_004_q</f>
        <v>1</v>
      </c>
      <c r="J41" s="590">
        <f>EN_0900_004_m</f>
        <v>7.7532174719999993</v>
      </c>
      <c r="K41" s="590">
        <f>EN_0900_004_p</f>
        <v>16.203199999999999</v>
      </c>
      <c r="L41" s="590">
        <v>0</v>
      </c>
      <c r="M41" s="590">
        <v>0</v>
      </c>
      <c r="N41" s="135">
        <f t="shared" si="0"/>
        <v>23.956417471999998</v>
      </c>
      <c r="O41" s="592"/>
    </row>
    <row r="42" spans="1:15" ht="15" x14ac:dyDescent="0.25">
      <c r="A42" s="583"/>
      <c r="B42" s="584" t="str">
        <f>EN_09001!$B$3</f>
        <v>Engine &amp; Drivetrain</v>
      </c>
      <c r="C42" s="585" t="str">
        <f>EN_0900_005</f>
        <v>EN 09005</v>
      </c>
      <c r="D42" s="586" t="s">
        <v>11</v>
      </c>
      <c r="E42" s="586" t="str">
        <f t="shared" si="6"/>
        <v>Differential Assembly</v>
      </c>
      <c r="F42" s="587" t="str">
        <f>EN_09005!B5</f>
        <v>Right Eccentric carrier</v>
      </c>
      <c r="G42" s="586"/>
      <c r="H42" s="138">
        <f t="shared" si="3"/>
        <v>17.198412672</v>
      </c>
      <c r="I42" s="589">
        <f>EN_A0900_q*EN_0900_005_q</f>
        <v>1</v>
      </c>
      <c r="J42" s="590">
        <f>EN_0900_005_m</f>
        <v>5.6232126720000002</v>
      </c>
      <c r="K42" s="590">
        <f>EN_0900_005_p</f>
        <v>11.575200000000001</v>
      </c>
      <c r="L42" s="590">
        <v>0</v>
      </c>
      <c r="M42" s="590">
        <v>0</v>
      </c>
      <c r="N42" s="135">
        <f t="shared" si="0"/>
        <v>17.198412672</v>
      </c>
      <c r="O42" s="592"/>
    </row>
    <row r="43" spans="1:15" ht="15" x14ac:dyDescent="0.25">
      <c r="A43" s="583"/>
      <c r="B43" s="584" t="str">
        <f>EN_09001!$B$3</f>
        <v>Engine &amp; Drivetrain</v>
      </c>
      <c r="C43" s="585" t="str">
        <f>EN_0900_006</f>
        <v>EN 09006</v>
      </c>
      <c r="D43" s="586" t="s">
        <v>11</v>
      </c>
      <c r="E43" s="586" t="str">
        <f t="shared" si="6"/>
        <v>Differential Assembly</v>
      </c>
      <c r="F43" s="587" t="str">
        <f>EN_09006!B5</f>
        <v>Upper Eccentric Carrier bracket</v>
      </c>
      <c r="G43" s="586"/>
      <c r="H43" s="588">
        <f t="shared" si="3"/>
        <v>0.99587245000000002</v>
      </c>
      <c r="I43" s="589">
        <f>EN_A0900_q*EN_0900_006_q</f>
        <v>4</v>
      </c>
      <c r="J43" s="590">
        <f>EN_0900_006_m</f>
        <v>8.287245E-2</v>
      </c>
      <c r="K43" s="590">
        <f>EN_0900_006_p</f>
        <v>0.91300000000000003</v>
      </c>
      <c r="L43" s="590">
        <v>0</v>
      </c>
      <c r="M43" s="590">
        <v>0</v>
      </c>
      <c r="N43" s="591">
        <f t="shared" si="0"/>
        <v>3.9834898000000001</v>
      </c>
      <c r="O43" s="592"/>
    </row>
    <row r="44" spans="1:15" ht="15" x14ac:dyDescent="0.25">
      <c r="A44" s="583"/>
      <c r="B44" s="584" t="str">
        <f>EN_09001!$B$3</f>
        <v>Engine &amp; Drivetrain</v>
      </c>
      <c r="C44" s="585" t="str">
        <f>EN_0900_007</f>
        <v>EN 09007</v>
      </c>
      <c r="D44" s="586" t="s">
        <v>11</v>
      </c>
      <c r="E44" s="586" t="str">
        <f t="shared" si="6"/>
        <v>Differential Assembly</v>
      </c>
      <c r="F44" s="587" t="str">
        <f>EN_09007!B5</f>
        <v>Lower Eccentric Carrier bracket</v>
      </c>
      <c r="G44" s="586"/>
      <c r="H44" s="588">
        <f t="shared" si="3"/>
        <v>0.96928532500000009</v>
      </c>
      <c r="I44" s="589">
        <f>EN_A0900_q*EN_0900_007_q</f>
        <v>4</v>
      </c>
      <c r="J44" s="590">
        <f>EN_0900_007_m</f>
        <v>7.0685324999999993E-2</v>
      </c>
      <c r="K44" s="590">
        <f>EN_0900_007_p</f>
        <v>0.89860000000000007</v>
      </c>
      <c r="L44" s="590">
        <v>0</v>
      </c>
      <c r="M44" s="590">
        <v>0</v>
      </c>
      <c r="N44" s="591">
        <f t="shared" si="0"/>
        <v>3.8771413000000003</v>
      </c>
      <c r="O44" s="592"/>
    </row>
    <row r="45" spans="1:15" ht="15" x14ac:dyDescent="0.25">
      <c r="A45" s="583"/>
      <c r="B45" s="584" t="str">
        <f>EN_09001!$B$3</f>
        <v>Engine &amp; Drivetrain</v>
      </c>
      <c r="C45" s="585" t="str">
        <f>EN_0900_008</f>
        <v>EN 09008</v>
      </c>
      <c r="D45" s="586" t="s">
        <v>11</v>
      </c>
      <c r="E45" s="586" t="str">
        <f t="shared" si="6"/>
        <v>Differential Assembly</v>
      </c>
      <c r="F45" s="587" t="str">
        <f>EN_09008!B5</f>
        <v>Left Jacking Bar bracket</v>
      </c>
      <c r="G45" s="586"/>
      <c r="H45" s="588">
        <f t="shared" si="3"/>
        <v>2.2021247500000003</v>
      </c>
      <c r="I45" s="589">
        <f>EN_A0900_q*EN_0900_008_q</f>
        <v>1</v>
      </c>
      <c r="J45" s="590">
        <f>EN_0900_008_m</f>
        <v>0.14942475</v>
      </c>
      <c r="K45" s="590">
        <f>EN_0900_008_p</f>
        <v>2.0527000000000002</v>
      </c>
      <c r="L45" s="590">
        <v>0</v>
      </c>
      <c r="M45" s="590">
        <v>0</v>
      </c>
      <c r="N45" s="591">
        <f t="shared" si="0"/>
        <v>2.2021247500000003</v>
      </c>
      <c r="O45" s="592"/>
    </row>
    <row r="46" spans="1:15" ht="15" x14ac:dyDescent="0.25">
      <c r="A46" s="583"/>
      <c r="B46" s="584" t="str">
        <f>EN_09001!$B$3</f>
        <v>Engine &amp; Drivetrain</v>
      </c>
      <c r="C46" s="585" t="str">
        <f>EN_0900_009</f>
        <v>EN 09009</v>
      </c>
      <c r="D46" s="586" t="s">
        <v>11</v>
      </c>
      <c r="E46" s="586" t="str">
        <f t="shared" si="6"/>
        <v>Differential Assembly</v>
      </c>
      <c r="F46" s="587" t="str">
        <f>EN_09009!B5</f>
        <v>Right Jacking Bar bracket</v>
      </c>
      <c r="G46" s="586"/>
      <c r="H46" s="588">
        <f t="shared" si="3"/>
        <v>2.2130151625000001</v>
      </c>
      <c r="I46" s="589">
        <f>EN_A0900_q*EN_0900_009_q</f>
        <v>1</v>
      </c>
      <c r="J46" s="590">
        <f>EN_0900_009_m</f>
        <v>0.15191516250000001</v>
      </c>
      <c r="K46" s="590">
        <f>EN_0900_009_p</f>
        <v>2.0611000000000002</v>
      </c>
      <c r="L46" s="590">
        <v>0</v>
      </c>
      <c r="M46" s="590">
        <v>0</v>
      </c>
      <c r="N46" s="591">
        <f t="shared" si="0"/>
        <v>2.2130151625000001</v>
      </c>
      <c r="O46" s="592"/>
    </row>
    <row r="47" spans="1:15" ht="15" x14ac:dyDescent="0.25">
      <c r="A47" s="610"/>
      <c r="B47" s="611" t="str">
        <f>EN_A1000!B3</f>
        <v>Engine &amp; Drivetrain</v>
      </c>
      <c r="C47" s="619" t="str">
        <f>EN_A1000!B5</f>
        <v>EN A1000</v>
      </c>
      <c r="D47" s="612" t="s">
        <v>11</v>
      </c>
      <c r="E47" s="612"/>
      <c r="F47" s="613" t="str">
        <f>EN_A1000!B4</f>
        <v>Driveshaft</v>
      </c>
      <c r="G47" s="612"/>
      <c r="H47" s="614">
        <f t="shared" si="3"/>
        <v>223.03216066177703</v>
      </c>
      <c r="I47" s="615">
        <f>EN_A1000_q</f>
        <v>1</v>
      </c>
      <c r="J47" s="616">
        <f>EN_A1000_m</f>
        <v>200</v>
      </c>
      <c r="K47" s="616">
        <f>EN_A1000_p</f>
        <v>15.54</v>
      </c>
      <c r="L47" s="616">
        <f>EN_A1000_f</f>
        <v>7.492160661777044</v>
      </c>
      <c r="M47" s="616">
        <v>0</v>
      </c>
      <c r="N47" s="617">
        <f t="shared" si="0"/>
        <v>223.03216066177703</v>
      </c>
      <c r="O47" s="618"/>
    </row>
    <row r="48" spans="1:15" ht="15" x14ac:dyDescent="0.25">
      <c r="A48" s="583"/>
      <c r="B48" s="584" t="str">
        <f>EN_10001!$B$3</f>
        <v>Engine &amp; Drivetrain</v>
      </c>
      <c r="C48" s="585" t="str">
        <f>EN_1000_001</f>
        <v>EN 10001</v>
      </c>
      <c r="D48" s="586" t="s">
        <v>11</v>
      </c>
      <c r="E48" s="586" t="str">
        <f>F$47</f>
        <v>Driveshaft</v>
      </c>
      <c r="F48" s="587" t="str">
        <f>EN_10001!B5</f>
        <v>Inboard tripod housing</v>
      </c>
      <c r="G48" s="586"/>
      <c r="H48" s="588">
        <f t="shared" si="3"/>
        <v>66.549787154500507</v>
      </c>
      <c r="I48" s="589">
        <f>EN_A1000_q*EN_1000_001_q</f>
        <v>2</v>
      </c>
      <c r="J48" s="590">
        <f>EN_1000_001_m</f>
        <v>9.224787154500504</v>
      </c>
      <c r="K48" s="590">
        <f>EN_1000_001_p</f>
        <v>57.324999999999996</v>
      </c>
      <c r="L48" s="590">
        <v>0</v>
      </c>
      <c r="M48" s="590">
        <v>0</v>
      </c>
      <c r="N48" s="591">
        <f t="shared" si="0"/>
        <v>133.09957430900101</v>
      </c>
      <c r="O48" s="592"/>
    </row>
    <row r="49" spans="1:15" ht="15" x14ac:dyDescent="0.25">
      <c r="A49" s="583"/>
      <c r="B49" s="584" t="str">
        <f>EN_10001!$B$3</f>
        <v>Engine &amp; Drivetrain</v>
      </c>
      <c r="C49" s="585" t="str">
        <f>EN_1000_002</f>
        <v>EN 10002</v>
      </c>
      <c r="D49" s="586" t="s">
        <v>11</v>
      </c>
      <c r="E49" s="586" t="str">
        <f t="shared" ref="E49:E51" si="7">F$47</f>
        <v>Driveshaft</v>
      </c>
      <c r="F49" s="587" t="str">
        <f>EN_10002!B5</f>
        <v>Outboard tripod housing</v>
      </c>
      <c r="G49" s="586"/>
      <c r="H49" s="588">
        <f t="shared" si="3"/>
        <v>72.275200595774251</v>
      </c>
      <c r="I49" s="589">
        <f>EN_A1000_q*EN_1000_002_q</f>
        <v>2</v>
      </c>
      <c r="J49" s="590">
        <f>EN_1000_002_m</f>
        <v>9.6278805957742595</v>
      </c>
      <c r="K49" s="590">
        <f>EN_1000_002_p</f>
        <v>62.647319999999993</v>
      </c>
      <c r="L49" s="590">
        <v>0</v>
      </c>
      <c r="M49" s="590">
        <v>0</v>
      </c>
      <c r="N49" s="591">
        <f t="shared" si="0"/>
        <v>144.5504011915485</v>
      </c>
      <c r="O49" s="592"/>
    </row>
    <row r="50" spans="1:15" ht="15" x14ac:dyDescent="0.25">
      <c r="A50" s="583"/>
      <c r="B50" s="584" t="str">
        <f>EN_10001!$B$3</f>
        <v>Engine &amp; Drivetrain</v>
      </c>
      <c r="C50" s="585" t="str">
        <f>EN_1000_003</f>
        <v>EN 10003</v>
      </c>
      <c r="D50" s="586" t="s">
        <v>11</v>
      </c>
      <c r="E50" s="586" t="str">
        <f t="shared" si="7"/>
        <v>Driveshaft</v>
      </c>
      <c r="F50" s="587" t="str">
        <f>EN_10003!B5</f>
        <v>Left Axle</v>
      </c>
      <c r="G50" s="586"/>
      <c r="H50" s="588">
        <f t="shared" si="3"/>
        <v>16.43313830045987</v>
      </c>
      <c r="I50" s="589">
        <f>EN_A1000_q*EN_1000_003_q</f>
        <v>1</v>
      </c>
      <c r="J50" s="590">
        <f>EN_1000_003_m</f>
        <v>2.58137785047247</v>
      </c>
      <c r="K50" s="590">
        <f>EN_1000_003_p</f>
        <v>13.851760449987401</v>
      </c>
      <c r="L50" s="590">
        <v>0</v>
      </c>
      <c r="M50" s="590">
        <v>0</v>
      </c>
      <c r="N50" s="591">
        <f t="shared" si="0"/>
        <v>16.43313830045987</v>
      </c>
      <c r="O50" s="592"/>
    </row>
    <row r="51" spans="1:15" ht="15" x14ac:dyDescent="0.25">
      <c r="A51" s="620"/>
      <c r="B51" s="594" t="str">
        <f>EN_10001!$B$3</f>
        <v>Engine &amp; Drivetrain</v>
      </c>
      <c r="C51" s="580" t="str">
        <f>EN_1000_004</f>
        <v>EN 10004</v>
      </c>
      <c r="D51" s="581" t="s">
        <v>11</v>
      </c>
      <c r="E51" s="596" t="str">
        <f t="shared" si="7"/>
        <v>Driveshaft</v>
      </c>
      <c r="F51" s="582" t="str">
        <f>EN_10004!B5</f>
        <v>Right Axle</v>
      </c>
      <c r="G51" s="581"/>
      <c r="H51" s="598">
        <f t="shared" si="3"/>
        <v>17.337133082722115</v>
      </c>
      <c r="I51" s="599">
        <f>EN_A1000_q*EN_1000_004_q</f>
        <v>1</v>
      </c>
      <c r="J51" s="600">
        <f>EN_1000_004_m</f>
        <v>2.9255615638687997</v>
      </c>
      <c r="K51" s="600">
        <f>EN_1000_004_p</f>
        <v>14.411571518853314</v>
      </c>
      <c r="L51" s="600">
        <v>0</v>
      </c>
      <c r="M51" s="600">
        <v>0</v>
      </c>
      <c r="N51" s="601">
        <f t="shared" si="0"/>
        <v>17.337133082722115</v>
      </c>
      <c r="O51" s="602"/>
    </row>
    <row r="52" spans="1:15" ht="15" x14ac:dyDescent="0.25">
      <c r="A52" s="610"/>
      <c r="B52" s="611" t="str">
        <f>EN_A1100!B3</f>
        <v>Engine &amp; Drivetrain</v>
      </c>
      <c r="C52" s="619" t="str">
        <f>EN_A1100</f>
        <v>EN A1100</v>
      </c>
      <c r="D52" s="612" t="s">
        <v>11</v>
      </c>
      <c r="E52" s="612"/>
      <c r="F52" s="613" t="str">
        <f>EN_A1100!B4</f>
        <v>Chain Set</v>
      </c>
      <c r="G52" s="612"/>
      <c r="H52" s="642">
        <f t="shared" si="3"/>
        <v>25.137729239533723</v>
      </c>
      <c r="I52" s="615">
        <f>EN_A1100_q</f>
        <v>1</v>
      </c>
      <c r="J52" s="616">
        <f>EN_A1100_m</f>
        <v>2.1800000000000002</v>
      </c>
      <c r="K52" s="616">
        <f>EN_A1100_p</f>
        <v>17.709499999999998</v>
      </c>
      <c r="L52" s="616">
        <f>EN_A1100_f</f>
        <v>2.5815625728670586</v>
      </c>
      <c r="M52" s="616">
        <f>EN_A1100_t</f>
        <v>2.6666666666666665</v>
      </c>
      <c r="N52" s="643">
        <f t="shared" si="0"/>
        <v>25.137729239533723</v>
      </c>
      <c r="O52" s="618"/>
    </row>
    <row r="53" spans="1:15" ht="15" x14ac:dyDescent="0.25">
      <c r="A53" s="583"/>
      <c r="B53" s="584" t="str">
        <f>EN_A1100!$B$3</f>
        <v>Engine &amp; Drivetrain</v>
      </c>
      <c r="C53" s="585" t="str">
        <f>EN_1100_001</f>
        <v>EN 11001</v>
      </c>
      <c r="D53" s="586" t="s">
        <v>11</v>
      </c>
      <c r="E53" s="586" t="str">
        <f>F$52</f>
        <v>Chain Set</v>
      </c>
      <c r="F53" s="587" t="str">
        <f>EN_11001!B5</f>
        <v>Front sprocket</v>
      </c>
      <c r="G53" s="586"/>
      <c r="H53" s="598">
        <f t="shared" si="3"/>
        <v>24.754258243942196</v>
      </c>
      <c r="I53" s="589">
        <f>EN_A1100_q*EN_1100_001_q</f>
        <v>1</v>
      </c>
      <c r="J53" s="590">
        <f>EN_1100_001_m</f>
        <v>1.519947422111005</v>
      </c>
      <c r="K53" s="590">
        <f>EN_1100_001_p</f>
        <v>23.23431082183119</v>
      </c>
      <c r="L53" s="590">
        <v>0</v>
      </c>
      <c r="M53" s="590">
        <v>0</v>
      </c>
      <c r="N53" s="601">
        <f t="shared" si="0"/>
        <v>24.754258243942196</v>
      </c>
      <c r="O53" s="592"/>
    </row>
    <row r="54" spans="1:15" ht="15" x14ac:dyDescent="0.25">
      <c r="A54" s="583"/>
      <c r="B54" s="584" t="str">
        <f>EN_A1100!$B$3</f>
        <v>Engine &amp; Drivetrain</v>
      </c>
      <c r="C54" s="585" t="str">
        <f>EN_1100_002</f>
        <v>EN 11002</v>
      </c>
      <c r="D54" s="586" t="s">
        <v>11</v>
      </c>
      <c r="E54" s="586" t="str">
        <f t="shared" ref="E54:E58" si="8">F$52</f>
        <v>Chain Set</v>
      </c>
      <c r="F54" s="587" t="str">
        <f>EN_11002!B5</f>
        <v>Rear sprocket</v>
      </c>
      <c r="G54" s="586"/>
      <c r="H54" s="598">
        <f t="shared" si="3"/>
        <v>41.802269960952131</v>
      </c>
      <c r="I54" s="589">
        <f>EN_A1100_q*EN_1100_002_q</f>
        <v>1</v>
      </c>
      <c r="J54" s="590">
        <f>EN_1100_002_m</f>
        <v>3.0587969609521379</v>
      </c>
      <c r="K54" s="590">
        <f>EN_1100_002_p</f>
        <v>38.743472999999994</v>
      </c>
      <c r="L54" s="590">
        <v>0</v>
      </c>
      <c r="M54" s="590">
        <v>0</v>
      </c>
      <c r="N54" s="601">
        <f t="shared" si="0"/>
        <v>41.802269960952131</v>
      </c>
      <c r="O54" s="592"/>
    </row>
    <row r="55" spans="1:15" ht="15" x14ac:dyDescent="0.25">
      <c r="A55" s="583"/>
      <c r="B55" s="584" t="str">
        <f>EN_A1100!$B$3</f>
        <v>Engine &amp; Drivetrain</v>
      </c>
      <c r="C55" s="585" t="str">
        <f>EN_1100_003</f>
        <v>EN 11003</v>
      </c>
      <c r="D55" s="586" t="s">
        <v>11</v>
      </c>
      <c r="E55" s="586" t="str">
        <f t="shared" si="8"/>
        <v>Chain Set</v>
      </c>
      <c r="F55" s="587" t="str">
        <f>EN_11003!B5</f>
        <v>Rear sprocket adaptor</v>
      </c>
      <c r="G55" s="586"/>
      <c r="H55" s="598">
        <f t="shared" si="3"/>
        <v>29.160865459581132</v>
      </c>
      <c r="I55" s="589">
        <f>EN_A1100_q*EN_1100_003_q</f>
        <v>1</v>
      </c>
      <c r="J55" s="590">
        <f>EN_1100_003_m</f>
        <v>8.7196654595811296</v>
      </c>
      <c r="K55" s="590">
        <f>EN_1100_003_p</f>
        <v>20.441200000000002</v>
      </c>
      <c r="L55" s="590">
        <v>0</v>
      </c>
      <c r="M55" s="590">
        <v>0</v>
      </c>
      <c r="N55" s="601">
        <f t="shared" si="0"/>
        <v>29.160865459581132</v>
      </c>
      <c r="O55" s="592"/>
    </row>
    <row r="56" spans="1:15" ht="15" x14ac:dyDescent="0.25">
      <c r="A56" s="583"/>
      <c r="B56" s="584" t="str">
        <f>EN_A1100!$B$3</f>
        <v>Engine &amp; Drivetrain</v>
      </c>
      <c r="C56" s="585" t="str">
        <f>EN_1100_004</f>
        <v>EN 11004</v>
      </c>
      <c r="D56" s="586" t="s">
        <v>11</v>
      </c>
      <c r="E56" s="586" t="str">
        <f t="shared" si="8"/>
        <v>Chain Set</v>
      </c>
      <c r="F56" s="587" t="str">
        <f>EN_11004!B5</f>
        <v>Chain shield</v>
      </c>
      <c r="G56" s="586"/>
      <c r="H56" s="598">
        <f>SUM(J56:M56)</f>
        <v>9.0978820921659498</v>
      </c>
      <c r="I56" s="589">
        <f>EN_A1100_q*EN_1100_004_q</f>
        <v>1</v>
      </c>
      <c r="J56" s="590">
        <f>EN_1100_004_m</f>
        <v>3.3131600921659494</v>
      </c>
      <c r="K56" s="590">
        <f>EN_1100_004_p</f>
        <v>5.7847220000000004</v>
      </c>
      <c r="L56" s="590">
        <v>0</v>
      </c>
      <c r="M56" s="590">
        <v>0</v>
      </c>
      <c r="N56" s="601">
        <f>H56*I56</f>
        <v>9.0978820921659498</v>
      </c>
      <c r="O56" s="592"/>
    </row>
    <row r="57" spans="1:15" ht="15" x14ac:dyDescent="0.25">
      <c r="A57" s="583"/>
      <c r="B57" s="584" t="str">
        <f>EN_A1100!$B$3</f>
        <v>Engine &amp; Drivetrain</v>
      </c>
      <c r="C57" s="585" t="str">
        <f>EN_1100_005</f>
        <v>EN 11005</v>
      </c>
      <c r="D57" s="586" t="s">
        <v>11</v>
      </c>
      <c r="E57" s="586" t="str">
        <f t="shared" si="8"/>
        <v>Chain Set</v>
      </c>
      <c r="F57" s="587" t="str">
        <f>EN_11005!B5</f>
        <v>Upper chainshield bracket</v>
      </c>
      <c r="G57" s="586"/>
      <c r="H57" s="598">
        <f t="shared" si="3"/>
        <v>1.7144014375000001</v>
      </c>
      <c r="I57" s="589">
        <f>EN_A1100_q*EN_1100_005_q</f>
        <v>1</v>
      </c>
      <c r="J57" s="590">
        <f>EN_1100_005_m</f>
        <v>4.0535437499999993E-2</v>
      </c>
      <c r="K57" s="590">
        <f>EN_1100_005_p</f>
        <v>1.6738660000000001</v>
      </c>
      <c r="L57" s="590">
        <v>0</v>
      </c>
      <c r="M57" s="590">
        <v>0</v>
      </c>
      <c r="N57" s="601">
        <f t="shared" si="0"/>
        <v>1.7144014375000001</v>
      </c>
      <c r="O57" s="592"/>
    </row>
    <row r="58" spans="1:15" ht="15.75" thickBot="1" x14ac:dyDescent="0.3">
      <c r="A58" s="620"/>
      <c r="B58" s="584" t="str">
        <f>EN_A1100!$B$3</f>
        <v>Engine &amp; Drivetrain</v>
      </c>
      <c r="C58" s="580" t="str">
        <f>EN_1100_006</f>
        <v>EN 11006</v>
      </c>
      <c r="D58" s="586" t="s">
        <v>11</v>
      </c>
      <c r="E58" s="586" t="str">
        <f t="shared" si="8"/>
        <v>Chain Set</v>
      </c>
      <c r="F58" s="582" t="str">
        <f>EN_11006!B5</f>
        <v>Lower chainshield bracket</v>
      </c>
      <c r="G58" s="581"/>
      <c r="H58" s="598">
        <f t="shared" si="3"/>
        <v>1.7139456024999999</v>
      </c>
      <c r="I58" s="589">
        <f>EN_A1100_q*EN_1100_006_q</f>
        <v>1</v>
      </c>
      <c r="J58" s="590">
        <f>EN_1100_006_m</f>
        <v>3.7292602500000001E-2</v>
      </c>
      <c r="K58" s="590">
        <f>EN_1100_006_p</f>
        <v>1.6766529999999999</v>
      </c>
      <c r="L58" s="590">
        <v>0</v>
      </c>
      <c r="M58" s="590">
        <v>0</v>
      </c>
      <c r="N58" s="601">
        <f t="shared" si="0"/>
        <v>1.7139456024999999</v>
      </c>
      <c r="O58" s="621"/>
    </row>
    <row r="59" spans="1:15" s="7" customFormat="1" ht="15" thickBot="1" x14ac:dyDescent="0.25">
      <c r="A59" s="603"/>
      <c r="B59" s="604" t="str">
        <f>'EN A0200'!B3</f>
        <v>Engine and Drivetrain</v>
      </c>
      <c r="C59" s="605"/>
      <c r="D59" s="605"/>
      <c r="E59" s="605"/>
      <c r="F59" s="604" t="s">
        <v>65</v>
      </c>
      <c r="G59" s="605"/>
      <c r="H59" s="606"/>
      <c r="I59" s="607"/>
      <c r="J59" s="608">
        <f>SUMPRODUCT($I7:$I58,J7:J58)</f>
        <v>684.87733321244912</v>
      </c>
      <c r="K59" s="608">
        <f>SUMPRODUCT($I7:$I58,K7:K58)</f>
        <v>1018.4731343112087</v>
      </c>
      <c r="L59" s="608">
        <f>SUMPRODUCT($I7:$I58,L7:L58)</f>
        <v>22.871022357382344</v>
      </c>
      <c r="M59" s="608">
        <f>SUMPRODUCT($I7:$I58,M7:M58)</f>
        <v>19.870666666666668</v>
      </c>
      <c r="N59" s="608">
        <f>SUM(N7:N58)</f>
        <v>1746.0921565477065</v>
      </c>
      <c r="O59" s="609"/>
    </row>
    <row r="60" spans="1:15" x14ac:dyDescent="0.2">
      <c r="A60" s="6"/>
      <c r="B60" s="27"/>
      <c r="C60" s="8"/>
      <c r="D60" s="8"/>
      <c r="E60" s="8"/>
      <c r="F60" s="8"/>
      <c r="G60" s="8"/>
      <c r="H60" s="3"/>
      <c r="I60" s="8"/>
      <c r="J60" s="8"/>
      <c r="K60" s="8"/>
      <c r="L60" s="8"/>
      <c r="M60" s="8"/>
      <c r="N60" s="8"/>
    </row>
    <row r="61" spans="1:15" x14ac:dyDescent="0.2">
      <c r="A61" s="6"/>
      <c r="B61" s="27"/>
      <c r="C61" s="8"/>
      <c r="D61" s="8"/>
      <c r="E61" s="8"/>
      <c r="F61" s="8"/>
      <c r="G61" s="8"/>
      <c r="H61" s="3"/>
      <c r="I61" s="8"/>
      <c r="J61" s="8"/>
      <c r="K61" s="8"/>
      <c r="L61" s="8"/>
      <c r="M61" s="8"/>
      <c r="N61" s="8"/>
    </row>
    <row r="62" spans="1:15" x14ac:dyDescent="0.2">
      <c r="A62" s="6"/>
      <c r="B62" s="6"/>
      <c r="D62" s="8"/>
      <c r="E62" s="8"/>
      <c r="G62" s="8"/>
      <c r="H62" s="8"/>
      <c r="I62" s="3"/>
      <c r="J62" s="3"/>
      <c r="K62" s="3"/>
      <c r="L62" s="3"/>
      <c r="M62" s="3"/>
      <c r="N62" s="8"/>
    </row>
    <row r="63" spans="1:15" x14ac:dyDescent="0.2">
      <c r="A63" s="6"/>
      <c r="B63" s="6"/>
      <c r="D63" s="8"/>
      <c r="E63" s="8"/>
      <c r="G63" s="8"/>
      <c r="H63" s="8"/>
      <c r="I63" s="3"/>
      <c r="J63" s="3"/>
      <c r="K63" s="3"/>
      <c r="L63" s="3"/>
      <c r="M63" s="3"/>
      <c r="N63" s="30"/>
    </row>
    <row r="64" spans="1:15" x14ac:dyDescent="0.2">
      <c r="A64" s="6"/>
      <c r="B64" s="6"/>
      <c r="D64" s="8"/>
      <c r="E64" s="8"/>
      <c r="G64" s="8"/>
      <c r="H64" s="8"/>
      <c r="I64" s="3"/>
      <c r="J64" s="3"/>
      <c r="K64" s="3"/>
      <c r="L64" s="3"/>
      <c r="M64" s="3"/>
      <c r="N64" s="8"/>
    </row>
    <row r="65" spans="1:14" x14ac:dyDescent="0.2">
      <c r="A65" s="6"/>
      <c r="B65" s="6"/>
      <c r="D65" s="8"/>
      <c r="E65" s="8"/>
      <c r="G65" s="8"/>
      <c r="H65" s="8"/>
      <c r="I65" s="3"/>
      <c r="J65" s="3"/>
      <c r="K65" s="3"/>
      <c r="L65" s="3"/>
      <c r="M65" s="3"/>
      <c r="N65" s="30"/>
    </row>
    <row r="66" spans="1:14" x14ac:dyDescent="0.2">
      <c r="A66" s="6"/>
      <c r="B66" s="6"/>
      <c r="D66" s="8"/>
      <c r="E66" s="8"/>
      <c r="G66" s="8"/>
      <c r="H66" s="8"/>
      <c r="I66" s="3"/>
      <c r="J66" s="3"/>
      <c r="K66" s="3"/>
      <c r="L66" s="3"/>
      <c r="M66" s="3"/>
      <c r="N66" s="8"/>
    </row>
    <row r="67" spans="1:14" x14ac:dyDescent="0.2">
      <c r="A67" s="6"/>
      <c r="B67" s="6"/>
      <c r="D67" s="8"/>
      <c r="E67" s="8"/>
      <c r="G67" s="8"/>
      <c r="H67" s="8"/>
      <c r="I67" s="3"/>
      <c r="J67" s="3"/>
      <c r="K67" s="3"/>
      <c r="L67" s="3"/>
      <c r="M67" s="3"/>
      <c r="N67" s="8"/>
    </row>
    <row r="68" spans="1:14" x14ac:dyDescent="0.2">
      <c r="A68" s="6"/>
      <c r="B68" s="6"/>
      <c r="D68" s="8"/>
      <c r="E68" s="8"/>
      <c r="G68" s="8"/>
      <c r="H68" s="8"/>
      <c r="I68" s="3"/>
      <c r="J68" s="3"/>
      <c r="K68" s="3"/>
      <c r="L68" s="3"/>
      <c r="M68" s="3"/>
      <c r="N68" s="8"/>
    </row>
    <row r="69" spans="1:14" x14ac:dyDescent="0.2">
      <c r="A69" s="6"/>
      <c r="B69" s="6"/>
      <c r="D69" s="8"/>
      <c r="E69" s="8"/>
      <c r="G69" s="8"/>
      <c r="H69" s="8"/>
      <c r="I69" s="3"/>
      <c r="J69" s="3"/>
      <c r="K69" s="3"/>
      <c r="L69" s="3"/>
      <c r="M69" s="3"/>
      <c r="N69" s="8"/>
    </row>
    <row r="70" spans="1:14" x14ac:dyDescent="0.2">
      <c r="A70" s="6"/>
      <c r="B70" s="6"/>
      <c r="D70" s="8"/>
      <c r="E70" s="8"/>
      <c r="G70" s="8"/>
      <c r="H70" s="8"/>
      <c r="I70" s="3"/>
      <c r="J70" s="3"/>
      <c r="K70" s="3"/>
      <c r="L70" s="3"/>
      <c r="M70" s="3"/>
      <c r="N70" s="8"/>
    </row>
    <row r="71" spans="1:14" x14ac:dyDescent="0.2">
      <c r="A71" s="6"/>
      <c r="B71" s="6"/>
      <c r="D71" s="8"/>
      <c r="E71" s="8"/>
      <c r="G71" s="8"/>
      <c r="H71" s="8"/>
      <c r="I71" s="3"/>
      <c r="J71" s="3"/>
      <c r="K71" s="3"/>
      <c r="L71" s="3"/>
      <c r="M71" s="3"/>
      <c r="N71" s="8"/>
    </row>
    <row r="72" spans="1:14" x14ac:dyDescent="0.2">
      <c r="A72" s="6"/>
      <c r="B72" s="6"/>
      <c r="D72" s="8"/>
      <c r="E72" s="8"/>
      <c r="G72" s="8"/>
      <c r="H72" s="8"/>
      <c r="I72" s="3"/>
      <c r="J72" s="3"/>
      <c r="K72" s="3"/>
      <c r="L72" s="3"/>
      <c r="M72" s="3"/>
      <c r="N72" s="8"/>
    </row>
    <row r="73" spans="1:14" x14ac:dyDescent="0.2">
      <c r="A73" s="6"/>
      <c r="B73" s="6"/>
      <c r="D73" s="8"/>
      <c r="E73" s="8"/>
      <c r="G73" s="8"/>
      <c r="H73" s="8"/>
      <c r="I73" s="3"/>
      <c r="J73" s="3"/>
      <c r="K73" s="3"/>
      <c r="L73" s="3"/>
      <c r="M73" s="3"/>
      <c r="N73" s="8"/>
    </row>
    <row r="74" spans="1:14" x14ac:dyDescent="0.2">
      <c r="A74" s="6"/>
      <c r="B74" s="6"/>
      <c r="D74" s="8"/>
      <c r="E74" s="8"/>
      <c r="G74" s="8"/>
      <c r="H74" s="8"/>
      <c r="I74" s="3"/>
      <c r="J74" s="3"/>
      <c r="K74" s="3"/>
      <c r="L74" s="3"/>
      <c r="M74" s="3"/>
      <c r="N74" s="8"/>
    </row>
    <row r="75" spans="1:14" x14ac:dyDescent="0.2">
      <c r="A75" s="6"/>
      <c r="B75" s="6"/>
      <c r="D75" s="8"/>
      <c r="E75" s="8"/>
      <c r="G75" s="8"/>
      <c r="H75" s="8"/>
      <c r="I75" s="3"/>
      <c r="J75" s="3"/>
      <c r="K75" s="3"/>
      <c r="L75" s="3"/>
      <c r="M75" s="3"/>
      <c r="N75" s="8"/>
    </row>
    <row r="76" spans="1:14" x14ac:dyDescent="0.2">
      <c r="A76" s="6"/>
      <c r="B76" s="6"/>
      <c r="D76" s="8"/>
      <c r="E76" s="8"/>
      <c r="G76" s="8"/>
      <c r="H76" s="8"/>
      <c r="I76" s="3"/>
      <c r="J76" s="3"/>
      <c r="K76" s="3"/>
      <c r="L76" s="3"/>
      <c r="M76" s="3"/>
      <c r="N76" s="8"/>
    </row>
    <row r="77" spans="1:14" x14ac:dyDescent="0.2">
      <c r="A77" s="6"/>
      <c r="B77" s="6"/>
      <c r="D77" s="8"/>
      <c r="E77" s="8"/>
      <c r="G77" s="8"/>
      <c r="H77" s="8"/>
      <c r="I77" s="3"/>
      <c r="J77" s="3"/>
      <c r="K77" s="3"/>
      <c r="L77" s="3"/>
      <c r="M77" s="3"/>
      <c r="N77" s="8"/>
    </row>
    <row r="78" spans="1:14" x14ac:dyDescent="0.2">
      <c r="A78" s="6"/>
      <c r="B78" s="6"/>
      <c r="D78" s="8"/>
      <c r="E78" s="8"/>
      <c r="G78" s="8"/>
      <c r="H78" s="8"/>
      <c r="I78" s="3"/>
      <c r="J78" s="3"/>
      <c r="K78" s="3"/>
      <c r="L78" s="3"/>
      <c r="M78" s="3"/>
      <c r="N78" s="8"/>
    </row>
    <row r="79" spans="1:14" x14ac:dyDescent="0.2">
      <c r="A79" s="6"/>
      <c r="B79" s="6"/>
      <c r="D79" s="8"/>
      <c r="E79" s="8"/>
      <c r="G79" s="8"/>
      <c r="H79" s="8"/>
      <c r="I79" s="3"/>
      <c r="J79" s="3"/>
      <c r="K79" s="3"/>
      <c r="L79" s="3"/>
      <c r="M79" s="3"/>
      <c r="N79" s="8"/>
    </row>
    <row r="80" spans="1:14" x14ac:dyDescent="0.2">
      <c r="A80" s="6"/>
      <c r="B80" s="6"/>
      <c r="D80" s="8"/>
      <c r="E80" s="8"/>
      <c r="G80" s="8"/>
      <c r="H80" s="8"/>
      <c r="I80" s="3"/>
      <c r="J80" s="3"/>
      <c r="K80" s="3"/>
      <c r="L80" s="3"/>
      <c r="M80" s="3"/>
      <c r="N80" s="8"/>
    </row>
    <row r="81" spans="1:14" x14ac:dyDescent="0.2">
      <c r="A81" s="6"/>
      <c r="B81" s="6"/>
      <c r="D81" s="8"/>
      <c r="E81" s="8"/>
      <c r="G81" s="8"/>
      <c r="H81" s="8"/>
      <c r="I81" s="3"/>
      <c r="J81" s="3"/>
      <c r="K81" s="3"/>
      <c r="L81" s="3"/>
      <c r="M81" s="3"/>
      <c r="N81" s="8"/>
    </row>
    <row r="82" spans="1:14" x14ac:dyDescent="0.2">
      <c r="A82" s="6"/>
      <c r="B82" s="6"/>
      <c r="D82" s="8"/>
      <c r="E82" s="8"/>
      <c r="G82" s="8"/>
      <c r="H82" s="8"/>
      <c r="I82" s="3"/>
      <c r="J82" s="3"/>
      <c r="K82" s="3"/>
      <c r="L82" s="3"/>
      <c r="M82" s="3"/>
      <c r="N82" s="8"/>
    </row>
    <row r="83" spans="1:14" x14ac:dyDescent="0.2">
      <c r="A83" s="6"/>
      <c r="B83" s="6"/>
      <c r="D83" s="8"/>
      <c r="E83" s="8"/>
      <c r="G83" s="8"/>
      <c r="H83" s="8"/>
      <c r="I83" s="3"/>
      <c r="J83" s="3"/>
      <c r="K83" s="3"/>
      <c r="L83" s="3"/>
      <c r="M83" s="3"/>
      <c r="N83" s="8"/>
    </row>
    <row r="84" spans="1:14" x14ac:dyDescent="0.2">
      <c r="A84" s="6"/>
      <c r="B84" s="6"/>
      <c r="D84" s="8"/>
      <c r="E84" s="8"/>
      <c r="G84" s="8"/>
      <c r="H84" s="8"/>
      <c r="I84" s="3"/>
      <c r="J84" s="3"/>
      <c r="K84" s="3"/>
      <c r="L84" s="3"/>
      <c r="M84" s="3"/>
      <c r="N84" s="8"/>
    </row>
    <row r="85" spans="1:14" x14ac:dyDescent="0.2">
      <c r="A85" s="6"/>
      <c r="B85" s="6"/>
      <c r="D85" s="8"/>
      <c r="E85" s="8"/>
      <c r="G85" s="8"/>
      <c r="H85" s="8"/>
      <c r="I85" s="3"/>
      <c r="J85" s="3"/>
      <c r="K85" s="3"/>
      <c r="L85" s="3"/>
      <c r="M85" s="3"/>
      <c r="N85" s="8"/>
    </row>
    <row r="86" spans="1:14" x14ac:dyDescent="0.2">
      <c r="A86" s="6"/>
      <c r="B86" s="6"/>
      <c r="D86" s="8"/>
      <c r="E86" s="8"/>
      <c r="G86" s="8"/>
      <c r="H86" s="8"/>
      <c r="I86" s="3"/>
      <c r="J86" s="3"/>
      <c r="K86" s="3"/>
      <c r="L86" s="3"/>
      <c r="M86" s="3"/>
      <c r="N86" s="8"/>
    </row>
    <row r="87" spans="1:14" x14ac:dyDescent="0.2">
      <c r="A87" s="6"/>
      <c r="B87" s="6"/>
      <c r="D87" s="8"/>
      <c r="E87" s="8"/>
      <c r="G87" s="8"/>
      <c r="H87" s="8"/>
      <c r="I87" s="3"/>
      <c r="J87" s="3"/>
      <c r="K87" s="3"/>
      <c r="L87" s="3"/>
      <c r="M87" s="3"/>
      <c r="N87" s="8"/>
    </row>
    <row r="88" spans="1:14" x14ac:dyDescent="0.2">
      <c r="A88" s="6"/>
      <c r="B88" s="6"/>
      <c r="D88" s="8"/>
      <c r="E88" s="8"/>
      <c r="G88" s="8"/>
      <c r="H88" s="8"/>
      <c r="I88" s="3"/>
      <c r="J88" s="3"/>
      <c r="K88" s="3"/>
      <c r="L88" s="3"/>
      <c r="M88" s="3"/>
      <c r="N88" s="8"/>
    </row>
    <row r="89" spans="1:14" x14ac:dyDescent="0.2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4" s="4" customFormat="1" x14ac:dyDescent="0.2">
      <c r="A90" s="2"/>
      <c r="B90" s="6"/>
      <c r="F90" s="27"/>
      <c r="I90" s="1"/>
      <c r="J90" s="1"/>
      <c r="K90" s="1"/>
      <c r="L90" s="1"/>
      <c r="M90" s="1"/>
    </row>
    <row r="91" spans="1:14" s="4" customFormat="1" x14ac:dyDescent="0.2">
      <c r="A91" s="2"/>
      <c r="B91" s="6"/>
      <c r="F91" s="27"/>
      <c r="I91" s="1"/>
      <c r="J91" s="1"/>
      <c r="K91" s="1"/>
      <c r="L91" s="1"/>
      <c r="M91" s="1"/>
    </row>
    <row r="92" spans="1:14" s="4" customFormat="1" x14ac:dyDescent="0.2">
      <c r="A92" s="2"/>
      <c r="B92" s="6"/>
      <c r="F92" s="27"/>
      <c r="I92" s="1"/>
      <c r="J92" s="1"/>
      <c r="K92" s="1"/>
      <c r="L92" s="1"/>
      <c r="M92" s="1"/>
    </row>
    <row r="93" spans="1:14" s="4" customFormat="1" x14ac:dyDescent="0.2">
      <c r="A93" s="2"/>
      <c r="B93" s="6"/>
      <c r="F93" s="27"/>
      <c r="I93" s="1"/>
      <c r="J93" s="1"/>
      <c r="K93" s="1"/>
      <c r="L93" s="1"/>
      <c r="M93" s="1"/>
    </row>
    <row r="94" spans="1:14" s="4" customFormat="1" x14ac:dyDescent="0.2">
      <c r="A94" s="2"/>
      <c r="B94" s="6"/>
      <c r="F94" s="27"/>
      <c r="I94" s="1"/>
      <c r="J94" s="1"/>
      <c r="K94" s="1"/>
      <c r="L94" s="1"/>
      <c r="M94" s="1"/>
    </row>
    <row r="95" spans="1:14" s="4" customFormat="1" x14ac:dyDescent="0.2">
      <c r="A95" s="2"/>
      <c r="B95" s="6"/>
      <c r="F95" s="27"/>
      <c r="I95" s="1"/>
      <c r="J95" s="1"/>
      <c r="K95" s="1"/>
      <c r="L95" s="1"/>
      <c r="M95" s="1"/>
    </row>
    <row r="96" spans="1:14" s="4" customFormat="1" x14ac:dyDescent="0.2">
      <c r="A96" s="2"/>
      <c r="B96" s="6"/>
      <c r="F96" s="27"/>
      <c r="I96" s="1"/>
      <c r="J96" s="1"/>
      <c r="K96" s="1"/>
      <c r="L96" s="1"/>
      <c r="M96" s="1"/>
    </row>
    <row r="97" spans="1:14" s="4" customFormat="1" x14ac:dyDescent="0.2">
      <c r="A97" s="2"/>
      <c r="B97" s="6"/>
      <c r="F97" s="27"/>
      <c r="I97" s="1"/>
      <c r="J97" s="1"/>
      <c r="K97" s="1"/>
      <c r="L97" s="1"/>
      <c r="M97" s="1"/>
    </row>
    <row r="98" spans="1:14" s="4" customFormat="1" x14ac:dyDescent="0.2">
      <c r="A98" s="2"/>
      <c r="B98" s="6"/>
      <c r="F98" s="27"/>
      <c r="I98" s="1"/>
      <c r="J98" s="1"/>
      <c r="K98" s="1"/>
      <c r="L98" s="1"/>
      <c r="M98" s="1"/>
    </row>
    <row r="99" spans="1:14" s="4" customFormat="1" x14ac:dyDescent="0.2">
      <c r="A99" s="2"/>
      <c r="B99" s="6"/>
      <c r="F99" s="27"/>
      <c r="I99" s="1"/>
      <c r="J99" s="1"/>
      <c r="K99" s="1"/>
      <c r="L99" s="1"/>
      <c r="M99" s="1"/>
    </row>
    <row r="100" spans="1:14" s="5" customFormat="1" x14ac:dyDescent="0.2">
      <c r="A100" s="2"/>
      <c r="B100" s="6"/>
      <c r="C100" s="4"/>
      <c r="D100" s="4"/>
      <c r="E100" s="4"/>
      <c r="F100" s="27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">
      <c r="A101" s="2"/>
      <c r="B101" s="6"/>
      <c r="C101" s="4"/>
      <c r="D101" s="4"/>
      <c r="E101" s="4"/>
      <c r="F101" s="27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">
      <c r="A102" s="2"/>
      <c r="B102" s="6"/>
      <c r="C102" s="4"/>
      <c r="D102" s="4"/>
      <c r="E102" s="4"/>
      <c r="F102" s="27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">
      <c r="A103" s="2"/>
      <c r="B103" s="6"/>
      <c r="C103" s="4"/>
      <c r="D103" s="4"/>
      <c r="E103" s="4"/>
      <c r="F103" s="27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">
      <c r="A104" s="2"/>
      <c r="B104" s="6"/>
      <c r="C104" s="4"/>
      <c r="D104" s="4"/>
      <c r="E104" s="4"/>
      <c r="F104" s="27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">
      <c r="A105" s="2"/>
      <c r="B105" s="6"/>
      <c r="C105" s="4"/>
      <c r="D105" s="4"/>
      <c r="E105" s="4"/>
      <c r="F105" s="27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">
      <c r="A106" s="2"/>
      <c r="B106" s="6"/>
      <c r="C106" s="4"/>
      <c r="D106" s="4"/>
      <c r="E106" s="4"/>
      <c r="F106" s="27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">
      <c r="A107" s="2"/>
      <c r="B107" s="6"/>
      <c r="C107" s="4"/>
      <c r="D107" s="4"/>
      <c r="E107" s="4"/>
      <c r="F107" s="27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">
      <c r="A108" s="2"/>
      <c r="B108" s="6"/>
      <c r="C108" s="4"/>
      <c r="D108" s="4"/>
      <c r="E108" s="4"/>
      <c r="F108" s="27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">
      <c r="A109" s="2"/>
      <c r="B109" s="6"/>
      <c r="C109" s="4"/>
      <c r="D109" s="4"/>
      <c r="E109" s="4"/>
      <c r="F109" s="27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">
      <c r="A110" s="2"/>
      <c r="B110" s="6"/>
      <c r="C110" s="4"/>
      <c r="D110" s="4"/>
      <c r="E110" s="4"/>
      <c r="F110" s="27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">
      <c r="A111" s="2"/>
      <c r="B111" s="6"/>
      <c r="C111" s="4"/>
      <c r="D111" s="4"/>
      <c r="E111" s="4"/>
      <c r="F111" s="27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">
      <c r="A112" s="2"/>
      <c r="B112" s="6"/>
      <c r="C112" s="4"/>
      <c r="D112" s="4"/>
      <c r="E112" s="4"/>
      <c r="F112" s="27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">
      <c r="A113" s="2"/>
      <c r="B113" s="6"/>
      <c r="C113" s="4"/>
      <c r="D113" s="4"/>
      <c r="E113" s="4"/>
      <c r="F113" s="27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">
      <c r="A114" s="2"/>
      <c r="B114" s="6"/>
      <c r="C114" s="4"/>
      <c r="D114" s="4"/>
      <c r="E114" s="4"/>
      <c r="F114" s="27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">
      <c r="A115" s="2"/>
      <c r="B115" s="6"/>
      <c r="C115" s="4"/>
      <c r="D115" s="4"/>
      <c r="E115" s="4"/>
      <c r="F115" s="27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">
      <c r="A116" s="2"/>
      <c r="B116" s="6"/>
      <c r="C116" s="4"/>
      <c r="D116" s="4"/>
      <c r="E116" s="4"/>
      <c r="F116" s="27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">
      <c r="A117" s="2"/>
      <c r="B117" s="6"/>
      <c r="C117" s="4"/>
      <c r="D117" s="4"/>
      <c r="E117" s="4"/>
      <c r="F117" s="27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">
      <c r="A118" s="2"/>
      <c r="B118" s="6"/>
      <c r="C118" s="4"/>
      <c r="D118" s="4"/>
      <c r="E118" s="4"/>
      <c r="F118" s="27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">
      <c r="A119" s="2"/>
      <c r="B119" s="6"/>
      <c r="C119" s="4"/>
      <c r="D119" s="4"/>
      <c r="E119" s="4"/>
      <c r="F119" s="27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">
      <c r="A120" s="2"/>
      <c r="B120" s="6"/>
      <c r="C120" s="4"/>
      <c r="D120" s="4"/>
      <c r="E120" s="4"/>
      <c r="F120" s="27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">
      <c r="A121" s="2"/>
      <c r="B121" s="6"/>
      <c r="C121" s="4"/>
      <c r="D121" s="4"/>
      <c r="E121" s="4"/>
      <c r="F121" s="27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">
      <c r="A122" s="2"/>
      <c r="B122" s="6"/>
      <c r="C122" s="4"/>
      <c r="D122" s="4"/>
      <c r="E122" s="4"/>
      <c r="F122" s="27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">
      <c r="A123" s="2"/>
      <c r="B123" s="6"/>
      <c r="C123" s="4"/>
      <c r="D123" s="4"/>
      <c r="E123" s="4"/>
      <c r="F123" s="27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">
      <c r="A124" s="2"/>
      <c r="B124" s="6"/>
      <c r="C124" s="4"/>
      <c r="D124" s="4"/>
      <c r="E124" s="4"/>
      <c r="F124" s="27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">
      <c r="A125" s="2"/>
      <c r="B125" s="6"/>
      <c r="C125" s="4"/>
      <c r="D125" s="4"/>
      <c r="E125" s="4"/>
      <c r="F125" s="27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">
      <c r="A126" s="2"/>
      <c r="B126" s="6"/>
      <c r="C126" s="4"/>
      <c r="D126" s="4"/>
      <c r="E126" s="4"/>
      <c r="F126" s="27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</sheetData>
  <hyperlinks>
    <hyperlink ref="F7" location="EN_A0200" display="EN_A0200"/>
    <hyperlink ref="F8" location="EN_02001" display="EN_02001"/>
    <hyperlink ref="F13" location="EN_02006" display="EN_02006"/>
    <hyperlink ref="F11" location="EN_02004" display="EN_02004"/>
    <hyperlink ref="F9" location="EN_02002" display="EN_02002"/>
    <hyperlink ref="F10" location="EN_02003" display="EN_02003"/>
    <hyperlink ref="F12" location="EN_02005" display="EN_02005"/>
    <hyperlink ref="F14" location="EN_02007" display="EN_02007"/>
    <hyperlink ref="F15" location="EN_02008" display="EN_02008"/>
    <hyperlink ref="F16" location="EN_02009" display="EN_02009"/>
    <hyperlink ref="F17" location="EN_02010" display="EN_02010"/>
    <hyperlink ref="F18" location="EN_A0300" display="EN_A0300"/>
    <hyperlink ref="F19" location="EN_0300_001" display="EN_0300_001"/>
    <hyperlink ref="F20" location="EN_0300_002" display="EN_0300_002"/>
    <hyperlink ref="F21" location="EN_0300_003" display="EN_0300_003"/>
    <hyperlink ref="F22" location="EN_0300_004" display="EN_0300_004"/>
    <hyperlink ref="F23" location="EN_0300_005" display="EN_0300_005"/>
    <hyperlink ref="F24" location="EN_0300_006" display="EN_0300_006"/>
    <hyperlink ref="F25" location="EN_0300_007" display="EN_0300_007"/>
    <hyperlink ref="F26" location="EN_0300_008" display="EN_0300_008"/>
    <hyperlink ref="F27" location="EN_A0400" display="EN_A0400"/>
    <hyperlink ref="F28" location="EN_0400_001" display="EN_0400_001"/>
    <hyperlink ref="F29:F36" location="BR_01001" display="BR_01001"/>
    <hyperlink ref="F29" location="EN_0400_002" display="EN_0400_002"/>
    <hyperlink ref="F30" location="EN_0400_003" display="EN_0400_003"/>
    <hyperlink ref="F31" location="EN_0400_004" display="EN_0400_004"/>
    <hyperlink ref="F32" location="EN_0400_005" display="EN_0400_005"/>
    <hyperlink ref="F34" location="EN_0400_007" display="EN_0400_007"/>
    <hyperlink ref="F35" location="EN_0400_008" display="EN_0400_008"/>
    <hyperlink ref="F36" location="EN_0400_009" display="EN_0400_009"/>
    <hyperlink ref="F33" location="EN_0400_006" display="EN_0400_006"/>
    <hyperlink ref="F37" location="EN_A0900" display="EN_A0900"/>
    <hyperlink ref="F38" location="EN_0900_001" display="EN_0900_001"/>
    <hyperlink ref="F39" location="EN_0900_002" display="EN_0900_002"/>
    <hyperlink ref="F40" location="EN_0900_003" display="EN_0900_003"/>
    <hyperlink ref="F41" location="EN_0900_004" display="EN_0900_004"/>
    <hyperlink ref="F42" location="EN_0900_005" display="EN_0900_005"/>
    <hyperlink ref="F43" location="EN_0900_006" display="EN_0900_006"/>
    <hyperlink ref="F44" location="EN_0900_007" display="EN_0900_007"/>
    <hyperlink ref="F45" location="EN_0900_008" display="EN_0900_008"/>
    <hyperlink ref="F46" location="EN_0900_009" display="EN_0900_009"/>
    <hyperlink ref="F47" location="EN_A1000" display="EN_A1000"/>
    <hyperlink ref="F48" location="EN_1000_001" display="EN_1000_001"/>
    <hyperlink ref="F49" location="EN_1000_002" display="EN_1000_002"/>
    <hyperlink ref="F50" location="EN_1000_003" display="EN_1000_003"/>
    <hyperlink ref="F51" location="EN_1000_004" display="EN_1000_004"/>
    <hyperlink ref="F52" location="EN_A1100" display="EN_A1100"/>
    <hyperlink ref="F53" location="EN_1100_001" display="EN_1100_001"/>
    <hyperlink ref="F55" location="EN_1100_003" display="EN_1100_003"/>
    <hyperlink ref="F56" location="EN_1100_004" display="EN_1100_004"/>
    <hyperlink ref="F54" location="EN_1100_002" display="EN_1100_002"/>
    <hyperlink ref="F57" location="EN_1100_005" display="EN_1100_005"/>
    <hyperlink ref="F58" location="EN_1100_006" display="EN_1100_006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  <ignoredErrors>
    <ignoredError sqref="H8 H9:H17 H7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25">
      <c r="A6" s="100" t="s">
        <v>7</v>
      </c>
      <c r="B6" s="17" t="s">
        <v>495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07" t="s">
        <v>481</v>
      </c>
      <c r="C11" s="506" t="s">
        <v>486</v>
      </c>
      <c r="D11" s="505">
        <v>2.25</v>
      </c>
      <c r="E11" s="503"/>
      <c r="F11" s="503" t="s">
        <v>78</v>
      </c>
      <c r="G11" s="503"/>
      <c r="H11" s="502"/>
      <c r="I11" s="501" t="s">
        <v>485</v>
      </c>
      <c r="J11" s="500">
        <f>PI()*((0.0421+0.0015)*(0.0421+0.0015)-0.0421*0.0421)/4</f>
        <v>1.0096293390474202E-4</v>
      </c>
      <c r="K11" s="499">
        <f>2*(0.0836+0.02)</f>
        <v>0.2072</v>
      </c>
      <c r="L11" s="524">
        <v>7850</v>
      </c>
      <c r="M11" s="523">
        <v>1</v>
      </c>
      <c r="N11" s="433">
        <f>IF(J11="",D11*M11,D11*J11*K11*L11*M11)</f>
        <v>0.36949102032316722</v>
      </c>
      <c r="O11" s="51"/>
    </row>
    <row r="12" spans="1:15" s="16" customFormat="1" x14ac:dyDescent="0.25">
      <c r="A12" s="463">
        <v>20</v>
      </c>
      <c r="B12" s="482" t="s">
        <v>481</v>
      </c>
      <c r="C12" s="506" t="s">
        <v>486</v>
      </c>
      <c r="D12" s="516">
        <v>2.25</v>
      </c>
      <c r="E12" s="515"/>
      <c r="F12" s="515" t="s">
        <v>78</v>
      </c>
      <c r="G12" s="515"/>
      <c r="H12" s="514"/>
      <c r="I12" s="513" t="s">
        <v>494</v>
      </c>
      <c r="J12" s="500">
        <f>PI()*(0.051*0.051-0.0498*0.0498)/4</f>
        <v>9.5001761844555195E-5</v>
      </c>
      <c r="K12" s="512">
        <v>0.01</v>
      </c>
      <c r="L12" s="511">
        <v>7850</v>
      </c>
      <c r="M12" s="528">
        <v>1</v>
      </c>
      <c r="N12" s="433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527"/>
      <c r="M15" s="15"/>
      <c r="N15" s="15"/>
      <c r="O15" s="47"/>
    </row>
    <row r="16" spans="1:15" s="16" customFormat="1" x14ac:dyDescent="0.25">
      <c r="A16" s="509">
        <v>10</v>
      </c>
      <c r="B16" s="410" t="s">
        <v>478</v>
      </c>
      <c r="C16" s="420"/>
      <c r="D16" s="424">
        <v>0.15</v>
      </c>
      <c r="E16" s="420" t="s">
        <v>46</v>
      </c>
      <c r="F16" s="496">
        <f>6*4.21+1*4.98</f>
        <v>30.24</v>
      </c>
      <c r="G16" s="460"/>
      <c r="H16" s="460"/>
      <c r="I16" s="400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451</v>
      </c>
      <c r="C17" s="421"/>
      <c r="D17" s="424">
        <v>0.75</v>
      </c>
      <c r="E17" s="410" t="s">
        <v>449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448</v>
      </c>
      <c r="C18" s="421"/>
      <c r="D18" s="424">
        <v>0.5</v>
      </c>
      <c r="E18" s="410" t="s">
        <v>46</v>
      </c>
      <c r="F18" s="508">
        <f>2*4.21+1*4.98+16.3/PI()</f>
        <v>18.588451144795791</v>
      </c>
      <c r="G18" s="451"/>
      <c r="H18" s="451"/>
      <c r="I18" s="433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25">
      <c r="A6" s="100" t="s">
        <v>7</v>
      </c>
      <c r="B6" s="17" t="s">
        <v>497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481</v>
      </c>
      <c r="C11" s="506" t="s">
        <v>490</v>
      </c>
      <c r="D11" s="535">
        <v>2.25</v>
      </c>
      <c r="E11" s="534"/>
      <c r="F11" s="534" t="s">
        <v>78</v>
      </c>
      <c r="G11" s="534"/>
      <c r="H11" s="533"/>
      <c r="I11" s="532" t="s">
        <v>494</v>
      </c>
      <c r="J11" s="500">
        <f>PI()*(0.051*0.051-0.0498*0.0498)/4</f>
        <v>9.5001761844555195E-5</v>
      </c>
      <c r="K11" s="531">
        <v>0.30599999999999999</v>
      </c>
      <c r="L11" s="498">
        <v>7850</v>
      </c>
      <c r="M11" s="523">
        <v>1</v>
      </c>
      <c r="N11" s="433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478</v>
      </c>
      <c r="C15" s="520"/>
      <c r="D15" s="521">
        <v>0.15</v>
      </c>
      <c r="E15" s="520" t="s">
        <v>85</v>
      </c>
      <c r="F15" s="530">
        <f>4.98*3</f>
        <v>14.940000000000001</v>
      </c>
      <c r="G15" s="460"/>
      <c r="H15" s="460"/>
      <c r="I15" s="433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57">
        <v>20</v>
      </c>
      <c r="B16" s="522" t="s">
        <v>477</v>
      </c>
      <c r="C16" s="529"/>
      <c r="D16" s="521">
        <v>0.75</v>
      </c>
      <c r="E16" s="522" t="s">
        <v>84</v>
      </c>
      <c r="F16" s="529">
        <v>2</v>
      </c>
      <c r="G16" s="452"/>
      <c r="H16" s="451"/>
      <c r="I16" s="433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59">
        <v>30</v>
      </c>
      <c r="B17" s="522" t="s">
        <v>451</v>
      </c>
      <c r="C17" s="529"/>
      <c r="D17" s="521">
        <v>0.75</v>
      </c>
      <c r="E17" s="522" t="s">
        <v>449</v>
      </c>
      <c r="F17" s="529">
        <v>4</v>
      </c>
      <c r="G17" s="451"/>
      <c r="H17" s="451"/>
      <c r="I17" s="433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522" t="s">
        <v>448</v>
      </c>
      <c r="C18" s="529"/>
      <c r="D18" s="521">
        <v>0.5</v>
      </c>
      <c r="E18" s="522" t="s">
        <v>46</v>
      </c>
      <c r="F18" s="529">
        <f>4.98*2</f>
        <v>9.9600000000000009</v>
      </c>
      <c r="G18" s="452"/>
      <c r="H18" s="451"/>
      <c r="I18" s="433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4</v>
      </c>
      <c r="G22" s="412">
        <v>3000</v>
      </c>
      <c r="H22" s="412">
        <v>1</v>
      </c>
      <c r="I22" s="433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25">
      <c r="A6" s="100" t="s">
        <v>7</v>
      </c>
      <c r="B6" s="17" t="s">
        <v>508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56" t="s">
        <v>507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554">
        <v>10</v>
      </c>
      <c r="B11" s="549" t="s">
        <v>506</v>
      </c>
      <c r="C11" s="549" t="s">
        <v>505</v>
      </c>
      <c r="D11" s="399">
        <v>22</v>
      </c>
      <c r="E11" s="553">
        <v>0.5</v>
      </c>
      <c r="F11" s="549" t="s">
        <v>78</v>
      </c>
      <c r="G11" s="549"/>
      <c r="H11" s="548"/>
      <c r="I11" s="552" t="s">
        <v>504</v>
      </c>
      <c r="J11" s="555">
        <v>0.2</v>
      </c>
      <c r="K11" s="545"/>
      <c r="L11" s="545">
        <v>4500</v>
      </c>
      <c r="M11" s="545">
        <v>1</v>
      </c>
      <c r="N11" s="400">
        <f>D11*M11*E11</f>
        <v>11</v>
      </c>
      <c r="O11" s="53"/>
    </row>
    <row r="12" spans="1:15" s="16" customFormat="1" x14ac:dyDescent="0.25">
      <c r="A12" s="554">
        <v>20</v>
      </c>
      <c r="B12" s="549" t="s">
        <v>469</v>
      </c>
      <c r="C12" s="549"/>
      <c r="D12" s="399">
        <v>2.25</v>
      </c>
      <c r="E12" s="553">
        <v>0.5</v>
      </c>
      <c r="F12" s="549" t="s">
        <v>78</v>
      </c>
      <c r="G12" s="549"/>
      <c r="H12" s="548"/>
      <c r="I12" s="552" t="s">
        <v>503</v>
      </c>
      <c r="J12" s="551">
        <f>0.5*0.15</f>
        <v>7.4999999999999997E-2</v>
      </c>
      <c r="K12" s="545"/>
      <c r="L12" s="545">
        <v>7850</v>
      </c>
      <c r="M12" s="545">
        <v>1</v>
      </c>
      <c r="N12" s="400">
        <f>D12*M12*E12</f>
        <v>1.125</v>
      </c>
      <c r="O12" s="53"/>
    </row>
    <row r="13" spans="1:15" s="16" customFormat="1" x14ac:dyDescent="0.25">
      <c r="A13" s="515">
        <v>30</v>
      </c>
      <c r="B13" s="549" t="s">
        <v>502</v>
      </c>
      <c r="C13" s="549"/>
      <c r="D13" s="550">
        <v>3.0000000000000001E-3</v>
      </c>
      <c r="E13" s="549">
        <v>4000</v>
      </c>
      <c r="F13" s="549" t="s">
        <v>81</v>
      </c>
      <c r="G13" s="549"/>
      <c r="H13" s="548"/>
      <c r="I13" s="547"/>
      <c r="J13" s="546"/>
      <c r="K13" s="545"/>
      <c r="L13" s="545"/>
      <c r="M13" s="545">
        <v>1</v>
      </c>
      <c r="N13" s="400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2" t="s">
        <v>18</v>
      </c>
      <c r="N14" s="103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71" t="s">
        <v>14</v>
      </c>
      <c r="B16" s="470" t="s">
        <v>31</v>
      </c>
      <c r="C16" s="470" t="s">
        <v>20</v>
      </c>
      <c r="D16" s="470" t="s">
        <v>21</v>
      </c>
      <c r="E16" s="470" t="s">
        <v>32</v>
      </c>
      <c r="F16" s="470" t="s">
        <v>17</v>
      </c>
      <c r="G16" s="470" t="s">
        <v>33</v>
      </c>
      <c r="H16" s="470" t="s">
        <v>34</v>
      </c>
      <c r="I16" s="470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09">
        <v>10</v>
      </c>
      <c r="B17" s="410" t="s">
        <v>86</v>
      </c>
      <c r="C17" s="537"/>
      <c r="D17" s="399">
        <v>0.25</v>
      </c>
      <c r="E17" s="536" t="s">
        <v>84</v>
      </c>
      <c r="F17" s="536">
        <v>2</v>
      </c>
      <c r="G17" s="460"/>
      <c r="H17" s="460"/>
      <c r="I17" s="400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2" customFormat="1" x14ac:dyDescent="0.25">
      <c r="A18" s="509">
        <v>30</v>
      </c>
      <c r="B18" s="537" t="s">
        <v>501</v>
      </c>
      <c r="C18" s="537"/>
      <c r="D18" s="399">
        <v>0.03</v>
      </c>
      <c r="E18" s="536" t="s">
        <v>87</v>
      </c>
      <c r="F18" s="536">
        <v>300</v>
      </c>
      <c r="G18" s="460"/>
      <c r="H18" s="460"/>
      <c r="I18" s="400">
        <f>IF(H18="",D18*F18,D18*F18*H18)</f>
        <v>9</v>
      </c>
      <c r="J18" s="544"/>
      <c r="K18" s="544"/>
      <c r="L18" s="544"/>
      <c r="M18" s="544"/>
      <c r="N18" s="544"/>
      <c r="O18" s="543"/>
    </row>
    <row r="19" spans="1:15" s="16" customFormat="1" x14ac:dyDescent="0.25">
      <c r="A19" s="465">
        <v>40</v>
      </c>
      <c r="B19" s="537" t="s">
        <v>500</v>
      </c>
      <c r="C19" s="537"/>
      <c r="D19" s="399">
        <v>0.03</v>
      </c>
      <c r="E19" s="536" t="s">
        <v>87</v>
      </c>
      <c r="F19" s="536">
        <v>100</v>
      </c>
      <c r="G19" s="452"/>
      <c r="H19" s="460"/>
      <c r="I19" s="400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469">
        <v>50</v>
      </c>
      <c r="B20" s="541" t="s">
        <v>88</v>
      </c>
      <c r="C20" s="540"/>
      <c r="D20" s="539">
        <v>0.13</v>
      </c>
      <c r="E20" s="538" t="s">
        <v>35</v>
      </c>
      <c r="F20" s="538">
        <v>4</v>
      </c>
      <c r="G20" s="467"/>
      <c r="H20" s="467"/>
      <c r="I20" s="400">
        <f>IF(H20="",D20*F20,D20*F20*H20)</f>
        <v>0.52</v>
      </c>
      <c r="J20" s="466"/>
      <c r="K20" s="466"/>
      <c r="L20" s="466"/>
      <c r="M20" s="466"/>
      <c r="N20" s="466"/>
      <c r="O20" s="51"/>
    </row>
    <row r="21" spans="1:15" s="16" customFormat="1" x14ac:dyDescent="0.25">
      <c r="A21" s="465">
        <v>60</v>
      </c>
      <c r="B21" s="410" t="s">
        <v>499</v>
      </c>
      <c r="C21" s="537"/>
      <c r="D21" s="399">
        <v>0.25</v>
      </c>
      <c r="E21" s="536" t="s">
        <v>35</v>
      </c>
      <c r="F21" s="536">
        <v>12</v>
      </c>
      <c r="G21" s="452"/>
      <c r="H21" s="460"/>
      <c r="I21" s="400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516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25">
      <c r="A6" s="100" t="s">
        <v>7</v>
      </c>
      <c r="B6" s="17" t="s">
        <v>515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67" t="s">
        <v>514</v>
      </c>
      <c r="C11" s="564" t="s">
        <v>513</v>
      </c>
      <c r="D11" s="566">
        <v>200</v>
      </c>
      <c r="E11" s="565">
        <v>2.7776400000000003E-2</v>
      </c>
      <c r="F11" s="564" t="s">
        <v>78</v>
      </c>
      <c r="G11" s="564"/>
      <c r="H11" s="561"/>
      <c r="I11" s="563"/>
      <c r="J11" s="562"/>
      <c r="K11" s="561"/>
      <c r="L11" s="560">
        <v>1580</v>
      </c>
      <c r="M11" s="559">
        <v>1</v>
      </c>
      <c r="N11" s="433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5.5552800000000007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512</v>
      </c>
      <c r="C15" s="402"/>
      <c r="D15" s="405">
        <v>35</v>
      </c>
      <c r="E15" s="403" t="s">
        <v>89</v>
      </c>
      <c r="F15" s="403">
        <v>1.12E-2</v>
      </c>
      <c r="G15" s="460"/>
      <c r="H15" s="460"/>
      <c r="I15" s="400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57">
        <v>20</v>
      </c>
      <c r="B16" s="417" t="s">
        <v>511</v>
      </c>
      <c r="C16" s="402"/>
      <c r="D16" s="405">
        <v>20</v>
      </c>
      <c r="E16" s="403" t="s">
        <v>89</v>
      </c>
      <c r="F16" s="403">
        <v>1.12E-2</v>
      </c>
      <c r="G16" s="452"/>
      <c r="H16" s="451"/>
      <c r="I16" s="433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71" t="s">
        <v>14</v>
      </c>
      <c r="B19" s="470" t="s">
        <v>39</v>
      </c>
      <c r="C19" s="470" t="s">
        <v>20</v>
      </c>
      <c r="D19" s="470" t="s">
        <v>21</v>
      </c>
      <c r="E19" s="470" t="s">
        <v>32</v>
      </c>
      <c r="F19" s="470" t="s">
        <v>17</v>
      </c>
      <c r="G19" s="470" t="s">
        <v>40</v>
      </c>
      <c r="H19" s="470" t="s">
        <v>476</v>
      </c>
      <c r="I19" s="470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57">
        <v>10</v>
      </c>
      <c r="B20" s="558" t="s">
        <v>510</v>
      </c>
      <c r="C20" s="558"/>
      <c r="D20" s="557">
        <v>10000</v>
      </c>
      <c r="E20" s="417" t="s">
        <v>89</v>
      </c>
      <c r="F20" s="403">
        <v>1.12E-2</v>
      </c>
      <c r="G20" s="403">
        <v>3000</v>
      </c>
      <c r="H20" s="403">
        <v>1</v>
      </c>
      <c r="I20" s="433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25">
      <c r="A6" s="100" t="s">
        <v>7</v>
      </c>
      <c r="B6" s="17" t="s">
        <v>520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B8" s="11" t="s">
        <v>519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79" t="s">
        <v>163</v>
      </c>
      <c r="C11" s="576" t="s">
        <v>518</v>
      </c>
      <c r="D11" s="578">
        <v>2.25</v>
      </c>
      <c r="E11" s="577">
        <f>PRODUCT(J11,K11,L11)</f>
        <v>6.6290118264867498E-2</v>
      </c>
      <c r="F11" s="576" t="s">
        <v>78</v>
      </c>
      <c r="G11" s="576"/>
      <c r="H11" s="575"/>
      <c r="I11" s="574" t="s">
        <v>517</v>
      </c>
      <c r="J11" s="573">
        <f>PI()*((0.016*0.016)/4)</f>
        <v>2.0106192982974675E-4</v>
      </c>
      <c r="K11" s="572">
        <v>4.2000000000000003E-2</v>
      </c>
      <c r="L11" s="571">
        <v>7850</v>
      </c>
      <c r="M11" s="570">
        <v>1</v>
      </c>
      <c r="N11" s="433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69"/>
      <c r="J12" s="15"/>
      <c r="K12" s="15"/>
      <c r="L12" s="15"/>
      <c r="M12" s="472" t="s">
        <v>18</v>
      </c>
      <c r="N12" s="103">
        <f>SUM(N11:N11)</f>
        <v>0.14915276609595188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45</v>
      </c>
      <c r="C15" s="402"/>
      <c r="D15" s="405">
        <v>1.3</v>
      </c>
      <c r="E15" s="403" t="s">
        <v>35</v>
      </c>
      <c r="F15" s="403">
        <v>1</v>
      </c>
      <c r="G15" s="460"/>
      <c r="H15" s="460"/>
      <c r="I15" s="400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65">
        <v>20</v>
      </c>
      <c r="B16" s="417" t="s">
        <v>79</v>
      </c>
      <c r="C16" s="402"/>
      <c r="D16" s="405">
        <v>0.04</v>
      </c>
      <c r="E16" s="403" t="s">
        <v>81</v>
      </c>
      <c r="F16" s="568">
        <f>PI()*(1.4*1.4/4)*4.2</f>
        <v>6.4653976810877936</v>
      </c>
      <c r="G16" s="452" t="s">
        <v>82</v>
      </c>
      <c r="H16" s="460">
        <v>3</v>
      </c>
      <c r="I16" s="400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77"/>
  <sheetViews>
    <sheetView zoomScale="85" zoomScaleNormal="85" zoomScaleSheetLayoutView="80" workbookViewId="0">
      <selection activeCell="K28" sqref="K28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143.89279884677399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131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522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143.89279884677399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EN_03001!N$2</f>
        <v>12.57225</v>
      </c>
      <c r="D10" s="114">
        <f>EN_03001!N$3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EN_0300_002</f>
        <v>Plenum plate</v>
      </c>
      <c r="C11" s="58">
        <f>EN_03002!N2</f>
        <v>3.6799999999999997</v>
      </c>
      <c r="D11" s="114">
        <f>EN_03002!N3</f>
        <v>1</v>
      </c>
      <c r="E11" s="58">
        <f t="shared" si="0"/>
        <v>3.6799999999999997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EN_03003!N2</f>
        <v>18.119250000000001</v>
      </c>
      <c r="D12" s="114">
        <f>EN_03003!N3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EN_0300_004</f>
        <v>Left frame bracket</v>
      </c>
      <c r="C13" s="58">
        <f>EN_03004!N2</f>
        <v>1.6890000000000001</v>
      </c>
      <c r="D13" s="114">
        <f>EN_03004!N3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tr">
        <f>EN_0300_005</f>
        <v>Right frame bracket</v>
      </c>
      <c r="C14" s="58">
        <f>EN_03005!N2</f>
        <v>1.7614000000000001</v>
      </c>
      <c r="D14" s="114">
        <f>EN_03005!N3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tr">
        <f>EN_0300_006</f>
        <v>PAIR plate</v>
      </c>
      <c r="C15" s="58">
        <f>EN_03006!N2</f>
        <v>1.9656000000000002</v>
      </c>
      <c r="D15" s="114">
        <f>EN_03006!N3</f>
        <v>2</v>
      </c>
      <c r="E15" s="58">
        <f t="shared" si="0"/>
        <v>3.9312000000000005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tr">
        <f>EN_0300_007</f>
        <v>Motor bracket</v>
      </c>
      <c r="C16" s="58">
        <f>EN_03007!N2</f>
        <v>4.1755999999999993</v>
      </c>
      <c r="D16" s="114">
        <f>EN_03007!N3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tr">
        <f>EN_0300_008</f>
        <v>Intake bracket</v>
      </c>
      <c r="C17" s="58">
        <f>EN_03008!N2</f>
        <v>1.38425</v>
      </c>
      <c r="D17" s="114">
        <f>EN_03008!N3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5" t="s">
        <v>18</v>
      </c>
      <c r="E18" s="96">
        <f>SUM(E10:E17)</f>
        <v>48.697200000000009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25">
      <c r="A21" s="57">
        <v>10</v>
      </c>
      <c r="B21" s="57" t="s">
        <v>129</v>
      </c>
      <c r="C21" s="57" t="s">
        <v>128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644" t="s">
        <v>577</v>
      </c>
      <c r="C22" s="57" t="s">
        <v>578</v>
      </c>
      <c r="D22" s="58">
        <v>10</v>
      </c>
      <c r="E22" s="57"/>
      <c r="F22" s="57"/>
      <c r="G22" s="57"/>
      <c r="H22" s="59"/>
      <c r="I22" s="112"/>
      <c r="J22" s="62"/>
      <c r="K22" s="59"/>
      <c r="L22" s="59"/>
      <c r="M22" s="59">
        <v>1</v>
      </c>
      <c r="N22" s="58">
        <f>M22*D22</f>
        <v>10</v>
      </c>
      <c r="O22" s="47"/>
    </row>
    <row r="23" spans="1:15" x14ac:dyDescent="0.25">
      <c r="A23" s="109">
        <v>30</v>
      </c>
      <c r="B23" s="645" t="s">
        <v>264</v>
      </c>
      <c r="C23" s="430" t="s">
        <v>582</v>
      </c>
      <c r="D23" s="58">
        <v>10</v>
      </c>
      <c r="E23" s="57">
        <v>1.4999999999999999E-2</v>
      </c>
      <c r="F23" s="57" t="s">
        <v>89</v>
      </c>
      <c r="G23" s="57"/>
      <c r="H23" s="59"/>
      <c r="I23" s="112"/>
      <c r="J23" s="62"/>
      <c r="K23" s="59"/>
      <c r="L23" s="59"/>
      <c r="M23" s="59">
        <v>1</v>
      </c>
      <c r="N23" s="58">
        <f>D23*E23</f>
        <v>0.15</v>
      </c>
      <c r="O23" s="47"/>
    </row>
    <row r="24" spans="1:15" x14ac:dyDescent="0.25">
      <c r="A24" s="57">
        <v>30</v>
      </c>
      <c r="B24" s="442" t="s">
        <v>126</v>
      </c>
      <c r="C24" s="57" t="s">
        <v>127</v>
      </c>
      <c r="D24" s="58">
        <v>0.05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>M24*D24</f>
        <v>0.05</v>
      </c>
      <c r="O24" s="47"/>
    </row>
    <row r="25" spans="1:15" x14ac:dyDescent="0.25">
      <c r="A25" s="57">
        <v>40</v>
      </c>
      <c r="B25" s="57" t="s">
        <v>126</v>
      </c>
      <c r="C25" s="57" t="s">
        <v>125</v>
      </c>
      <c r="D25" s="58">
        <v>0.05</v>
      </c>
      <c r="E25" s="57"/>
      <c r="F25" s="57"/>
      <c r="G25" s="57"/>
      <c r="H25" s="59"/>
      <c r="I25" s="112"/>
      <c r="J25" s="62"/>
      <c r="K25" s="59"/>
      <c r="L25" s="59"/>
      <c r="M25" s="59">
        <v>1</v>
      </c>
      <c r="N25" s="58">
        <f>M25*D25</f>
        <v>0.05</v>
      </c>
      <c r="O25" s="47"/>
    </row>
    <row r="26" spans="1:15" x14ac:dyDescent="0.25">
      <c r="A26" s="5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94" t="s">
        <v>18</v>
      </c>
      <c r="N26" s="96">
        <f>SUM(N21:N25)</f>
        <v>26.45</v>
      </c>
      <c r="O26" s="47"/>
    </row>
    <row r="27" spans="1:15" x14ac:dyDescent="0.25">
      <c r="A27" s="4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7"/>
    </row>
    <row r="28" spans="1:15" s="16" customFormat="1" x14ac:dyDescent="0.25">
      <c r="A28" s="94" t="s">
        <v>14</v>
      </c>
      <c r="B28" s="94" t="s">
        <v>31</v>
      </c>
      <c r="C28" s="94" t="s">
        <v>20</v>
      </c>
      <c r="D28" s="94" t="s">
        <v>21</v>
      </c>
      <c r="E28" s="94" t="s">
        <v>32</v>
      </c>
      <c r="F28" s="94" t="s">
        <v>17</v>
      </c>
      <c r="G28" s="94" t="s">
        <v>33</v>
      </c>
      <c r="H28" s="94" t="s">
        <v>34</v>
      </c>
      <c r="I28" s="94" t="s">
        <v>18</v>
      </c>
      <c r="J28" s="15"/>
      <c r="K28" s="15"/>
      <c r="L28" s="15"/>
      <c r="M28" s="15"/>
      <c r="N28" s="15"/>
      <c r="O28" s="53"/>
    </row>
    <row r="29" spans="1:15" s="16" customFormat="1" x14ac:dyDescent="0.25">
      <c r="A29" s="57">
        <v>10</v>
      </c>
      <c r="B29" s="57" t="s">
        <v>72</v>
      </c>
      <c r="C29" s="57" t="s">
        <v>124</v>
      </c>
      <c r="D29" s="58">
        <v>0.15</v>
      </c>
      <c r="E29" s="57" t="s">
        <v>46</v>
      </c>
      <c r="F29" s="63">
        <v>7.1</v>
      </c>
      <c r="G29" s="63"/>
      <c r="H29" s="63"/>
      <c r="I29" s="58">
        <f t="shared" ref="I29:I60" si="1">IF(H29="",D29*F29,D29*F29*H29)</f>
        <v>1.0649999999999999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185">
        <v>20</v>
      </c>
      <c r="B30" s="181" t="s">
        <v>258</v>
      </c>
      <c r="C30" s="181" t="s">
        <v>583</v>
      </c>
      <c r="D30" s="179">
        <v>5.25</v>
      </c>
      <c r="E30" s="182" t="s">
        <v>89</v>
      </c>
      <c r="F30" s="182">
        <v>1.4999999999999999E-2</v>
      </c>
      <c r="G30" s="182"/>
      <c r="H30" s="182"/>
      <c r="I30" s="179">
        <f>D30*F30</f>
        <v>7.8750000000000001E-2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30</v>
      </c>
      <c r="B31" s="57" t="s">
        <v>73</v>
      </c>
      <c r="C31" s="57" t="s">
        <v>123</v>
      </c>
      <c r="D31" s="58">
        <v>0.06</v>
      </c>
      <c r="E31" s="57" t="s">
        <v>35</v>
      </c>
      <c r="F31" s="63">
        <v>1</v>
      </c>
      <c r="G31" s="63"/>
      <c r="H31" s="63"/>
      <c r="I31" s="58">
        <f t="shared" si="1"/>
        <v>0.06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185">
        <v>40</v>
      </c>
      <c r="B32" s="57" t="s">
        <v>73</v>
      </c>
      <c r="C32" s="57" t="s">
        <v>122</v>
      </c>
      <c r="D32" s="58">
        <v>0.06</v>
      </c>
      <c r="E32" s="57" t="s">
        <v>35</v>
      </c>
      <c r="F32" s="63">
        <v>1</v>
      </c>
      <c r="G32" s="63"/>
      <c r="H32" s="63"/>
      <c r="I32" s="58">
        <f t="shared" si="1"/>
        <v>0.06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50</v>
      </c>
      <c r="B33" s="57" t="s">
        <v>118</v>
      </c>
      <c r="C33" s="57" t="s">
        <v>121</v>
      </c>
      <c r="D33" s="58">
        <v>1</v>
      </c>
      <c r="E33" s="57" t="s">
        <v>35</v>
      </c>
      <c r="F33" s="63">
        <v>12</v>
      </c>
      <c r="G33" s="63"/>
      <c r="H33" s="63"/>
      <c r="I33" s="58">
        <f t="shared" si="1"/>
        <v>12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185">
        <v>60</v>
      </c>
      <c r="B34" s="57" t="s">
        <v>117</v>
      </c>
      <c r="C34" s="57" t="s">
        <v>121</v>
      </c>
      <c r="D34" s="58">
        <v>0.25</v>
      </c>
      <c r="E34" s="57" t="s">
        <v>35</v>
      </c>
      <c r="F34" s="63">
        <v>12</v>
      </c>
      <c r="G34" s="63"/>
      <c r="H34" s="63"/>
      <c r="I34" s="58">
        <f t="shared" si="1"/>
        <v>3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70</v>
      </c>
      <c r="B35" s="57" t="s">
        <v>73</v>
      </c>
      <c r="C35" s="57" t="s">
        <v>580</v>
      </c>
      <c r="D35" s="58">
        <v>6.0000000000000001E-3</v>
      </c>
      <c r="E35" s="57" t="s">
        <v>35</v>
      </c>
      <c r="F35" s="63">
        <v>1</v>
      </c>
      <c r="G35" s="63"/>
      <c r="H35" s="63"/>
      <c r="I35" s="58">
        <f t="shared" ref="I35" si="2">IF(H35="",D35*F35,D35*F35*H35)</f>
        <v>6.0000000000000001E-3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185">
        <v>80</v>
      </c>
      <c r="B36" s="57" t="s">
        <v>73</v>
      </c>
      <c r="C36" s="57" t="s">
        <v>120</v>
      </c>
      <c r="D36" s="58">
        <v>6.0000000000000001E-3</v>
      </c>
      <c r="E36" s="57" t="s">
        <v>35</v>
      </c>
      <c r="F36" s="63">
        <v>1</v>
      </c>
      <c r="G36" s="63"/>
      <c r="H36" s="63"/>
      <c r="I36" s="58">
        <f t="shared" si="1"/>
        <v>6.0000000000000001E-3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90</v>
      </c>
      <c r="B37" s="57" t="s">
        <v>73</v>
      </c>
      <c r="C37" s="57" t="s">
        <v>119</v>
      </c>
      <c r="D37" s="58">
        <v>6.0000000000000001E-3</v>
      </c>
      <c r="E37" s="57" t="s">
        <v>35</v>
      </c>
      <c r="F37" s="63">
        <v>1</v>
      </c>
      <c r="G37" s="63"/>
      <c r="H37" s="63"/>
      <c r="I37" s="58">
        <f t="shared" si="1"/>
        <v>6.0000000000000001E-3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185">
        <v>100</v>
      </c>
      <c r="B38" s="57" t="s">
        <v>118</v>
      </c>
      <c r="C38" s="57" t="s">
        <v>116</v>
      </c>
      <c r="D38" s="58">
        <v>1.5</v>
      </c>
      <c r="E38" s="57" t="s">
        <v>35</v>
      </c>
      <c r="F38" s="63">
        <v>12</v>
      </c>
      <c r="G38" s="63"/>
      <c r="H38" s="63"/>
      <c r="I38" s="58">
        <f t="shared" si="1"/>
        <v>18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110</v>
      </c>
      <c r="B39" s="57" t="s">
        <v>117</v>
      </c>
      <c r="C39" s="57" t="s">
        <v>116</v>
      </c>
      <c r="D39" s="58">
        <v>0.25</v>
      </c>
      <c r="E39" s="57" t="s">
        <v>35</v>
      </c>
      <c r="F39" s="63">
        <v>12</v>
      </c>
      <c r="G39" s="63"/>
      <c r="H39" s="63"/>
      <c r="I39" s="58">
        <f t="shared" si="1"/>
        <v>3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185">
        <v>120</v>
      </c>
      <c r="B40" s="57" t="s">
        <v>73</v>
      </c>
      <c r="C40" s="57" t="s">
        <v>115</v>
      </c>
      <c r="D40" s="58">
        <v>0.06</v>
      </c>
      <c r="E40" s="57" t="s">
        <v>35</v>
      </c>
      <c r="F40" s="63">
        <v>2</v>
      </c>
      <c r="G40" s="63"/>
      <c r="H40" s="63"/>
      <c r="I40" s="58">
        <f t="shared" si="1"/>
        <v>0.12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130</v>
      </c>
      <c r="B41" s="57" t="s">
        <v>98</v>
      </c>
      <c r="C41" s="57" t="s">
        <v>114</v>
      </c>
      <c r="D41" s="58">
        <v>1.5</v>
      </c>
      <c r="E41" s="57" t="s">
        <v>35</v>
      </c>
      <c r="F41" s="63">
        <v>2</v>
      </c>
      <c r="G41" s="63"/>
      <c r="H41" s="63"/>
      <c r="I41" s="58">
        <f t="shared" si="1"/>
        <v>3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185">
        <v>140</v>
      </c>
      <c r="B42" s="57" t="s">
        <v>97</v>
      </c>
      <c r="C42" s="57" t="s">
        <v>114</v>
      </c>
      <c r="D42" s="58">
        <v>0.25</v>
      </c>
      <c r="E42" s="57" t="s">
        <v>35</v>
      </c>
      <c r="F42" s="63">
        <v>2</v>
      </c>
      <c r="G42" s="63"/>
      <c r="H42" s="63"/>
      <c r="I42" s="58">
        <f t="shared" si="1"/>
        <v>0.5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150</v>
      </c>
      <c r="B43" s="57" t="s">
        <v>73</v>
      </c>
      <c r="C43" s="57" t="s">
        <v>113</v>
      </c>
      <c r="D43" s="58">
        <v>0.06</v>
      </c>
      <c r="E43" s="57" t="s">
        <v>35</v>
      </c>
      <c r="F43" s="63">
        <v>1</v>
      </c>
      <c r="G43" s="63"/>
      <c r="H43" s="63"/>
      <c r="I43" s="58">
        <f t="shared" si="1"/>
        <v>0.06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185">
        <v>160</v>
      </c>
      <c r="B44" s="57" t="s">
        <v>98</v>
      </c>
      <c r="C44" s="57" t="s">
        <v>112</v>
      </c>
      <c r="D44" s="58">
        <v>1.5</v>
      </c>
      <c r="E44" s="57" t="s">
        <v>35</v>
      </c>
      <c r="F44" s="63">
        <v>2</v>
      </c>
      <c r="G44" s="63"/>
      <c r="H44" s="63"/>
      <c r="I44" s="58">
        <f t="shared" si="1"/>
        <v>3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170</v>
      </c>
      <c r="B45" s="57" t="s">
        <v>97</v>
      </c>
      <c r="C45" s="57" t="s">
        <v>112</v>
      </c>
      <c r="D45" s="58">
        <v>0.25</v>
      </c>
      <c r="E45" s="57" t="s">
        <v>35</v>
      </c>
      <c r="F45" s="63">
        <v>2</v>
      </c>
      <c r="G45" s="63"/>
      <c r="H45" s="63"/>
      <c r="I45" s="58">
        <f t="shared" si="1"/>
        <v>0.5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185">
        <v>180</v>
      </c>
      <c r="B46" s="57" t="s">
        <v>73</v>
      </c>
      <c r="C46" s="57" t="s">
        <v>111</v>
      </c>
      <c r="D46" s="58">
        <v>0.06</v>
      </c>
      <c r="E46" s="57" t="s">
        <v>35</v>
      </c>
      <c r="F46" s="63">
        <v>2</v>
      </c>
      <c r="G46" s="63"/>
      <c r="H46" s="63"/>
      <c r="I46" s="58">
        <f t="shared" si="1"/>
        <v>0.12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190</v>
      </c>
      <c r="B47" s="57" t="s">
        <v>336</v>
      </c>
      <c r="C47" s="57" t="s">
        <v>107</v>
      </c>
      <c r="D47" s="58">
        <v>0.19</v>
      </c>
      <c r="E47" s="57" t="s">
        <v>35</v>
      </c>
      <c r="F47" s="63">
        <v>1</v>
      </c>
      <c r="G47" s="63"/>
      <c r="H47" s="63"/>
      <c r="I47" s="58">
        <f t="shared" si="1"/>
        <v>0.19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185">
        <v>200</v>
      </c>
      <c r="B48" s="57" t="s">
        <v>101</v>
      </c>
      <c r="C48" s="57" t="s">
        <v>110</v>
      </c>
      <c r="D48" s="58">
        <v>0.35</v>
      </c>
      <c r="E48" s="57" t="s">
        <v>35</v>
      </c>
      <c r="F48" s="63">
        <v>2</v>
      </c>
      <c r="G48" s="63"/>
      <c r="H48" s="63"/>
      <c r="I48" s="58">
        <f t="shared" si="1"/>
        <v>0.7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210</v>
      </c>
      <c r="B49" s="57" t="s">
        <v>579</v>
      </c>
      <c r="C49" s="57" t="s">
        <v>109</v>
      </c>
      <c r="D49" s="58">
        <v>0.13</v>
      </c>
      <c r="E49" s="57" t="s">
        <v>35</v>
      </c>
      <c r="F49" s="63">
        <v>2</v>
      </c>
      <c r="G49" s="63"/>
      <c r="H49" s="63"/>
      <c r="I49" s="58">
        <f t="shared" si="1"/>
        <v>0.26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185">
        <v>220</v>
      </c>
      <c r="B50" s="57" t="s">
        <v>98</v>
      </c>
      <c r="C50" s="57" t="s">
        <v>108</v>
      </c>
      <c r="D50" s="58">
        <v>1.5</v>
      </c>
      <c r="E50" s="57" t="s">
        <v>35</v>
      </c>
      <c r="F50" s="63">
        <v>2</v>
      </c>
      <c r="G50" s="63"/>
      <c r="H50" s="63"/>
      <c r="I50" s="58">
        <f t="shared" si="1"/>
        <v>3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230</v>
      </c>
      <c r="B51" s="57" t="s">
        <v>97</v>
      </c>
      <c r="C51" s="57" t="s">
        <v>108</v>
      </c>
      <c r="D51" s="58">
        <v>0.25</v>
      </c>
      <c r="E51" s="57" t="s">
        <v>35</v>
      </c>
      <c r="F51" s="63">
        <v>2</v>
      </c>
      <c r="G51" s="63"/>
      <c r="H51" s="63"/>
      <c r="I51" s="58">
        <f t="shared" si="1"/>
        <v>0.5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185">
        <v>240</v>
      </c>
      <c r="B52" s="57" t="s">
        <v>336</v>
      </c>
      <c r="C52" s="57" t="s">
        <v>107</v>
      </c>
      <c r="D52" s="58">
        <v>0.19</v>
      </c>
      <c r="E52" s="57" t="s">
        <v>35</v>
      </c>
      <c r="F52" s="63">
        <v>1</v>
      </c>
      <c r="G52" s="63"/>
      <c r="H52" s="63"/>
      <c r="I52" s="58">
        <f t="shared" si="1"/>
        <v>0.19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250</v>
      </c>
      <c r="B53" s="57" t="s">
        <v>98</v>
      </c>
      <c r="C53" s="57" t="s">
        <v>106</v>
      </c>
      <c r="D53" s="58">
        <v>1.5</v>
      </c>
      <c r="E53" s="57" t="s">
        <v>35</v>
      </c>
      <c r="F53" s="63">
        <v>4</v>
      </c>
      <c r="G53" s="63"/>
      <c r="H53" s="63"/>
      <c r="I53" s="58">
        <f t="shared" si="1"/>
        <v>6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185">
        <v>260</v>
      </c>
      <c r="B54" s="57" t="s">
        <v>105</v>
      </c>
      <c r="C54" s="57" t="s">
        <v>104</v>
      </c>
      <c r="D54" s="58">
        <v>0.5</v>
      </c>
      <c r="E54" s="57" t="s">
        <v>35</v>
      </c>
      <c r="F54" s="63">
        <v>4</v>
      </c>
      <c r="G54" s="63"/>
      <c r="H54" s="63"/>
      <c r="I54" s="58">
        <f t="shared" si="1"/>
        <v>2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270</v>
      </c>
      <c r="B55" s="57" t="s">
        <v>579</v>
      </c>
      <c r="C55" s="57" t="s">
        <v>103</v>
      </c>
      <c r="D55" s="58">
        <v>0.13</v>
      </c>
      <c r="E55" s="57" t="s">
        <v>35</v>
      </c>
      <c r="F55" s="63">
        <v>2</v>
      </c>
      <c r="G55" s="63"/>
      <c r="H55" s="63"/>
      <c r="I55" s="58">
        <f t="shared" si="1"/>
        <v>0.26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185">
        <v>280</v>
      </c>
      <c r="B56" s="57" t="s">
        <v>86</v>
      </c>
      <c r="C56" s="57" t="s">
        <v>102</v>
      </c>
      <c r="D56" s="58">
        <v>0.25</v>
      </c>
      <c r="E56" s="57" t="s">
        <v>84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s="16" customFormat="1" x14ac:dyDescent="0.25">
      <c r="A57" s="57">
        <v>290</v>
      </c>
      <c r="B57" s="57" t="s">
        <v>101</v>
      </c>
      <c r="C57" s="57" t="s">
        <v>100</v>
      </c>
      <c r="D57" s="58">
        <v>0.35</v>
      </c>
      <c r="E57" s="57" t="s">
        <v>35</v>
      </c>
      <c r="F57" s="63">
        <v>2</v>
      </c>
      <c r="G57" s="63"/>
      <c r="H57" s="63"/>
      <c r="I57" s="58">
        <f t="shared" si="1"/>
        <v>0.7</v>
      </c>
      <c r="J57" s="42"/>
      <c r="K57" s="42"/>
      <c r="L57" s="42"/>
      <c r="M57" s="42"/>
      <c r="N57" s="42"/>
      <c r="O57" s="53"/>
    </row>
    <row r="58" spans="1:15" s="16" customFormat="1" x14ac:dyDescent="0.25">
      <c r="A58" s="185">
        <v>300</v>
      </c>
      <c r="B58" s="57" t="s">
        <v>579</v>
      </c>
      <c r="C58" s="57" t="s">
        <v>99</v>
      </c>
      <c r="D58" s="58">
        <v>0.13</v>
      </c>
      <c r="E58" s="57" t="s">
        <v>35</v>
      </c>
      <c r="F58" s="63">
        <v>2</v>
      </c>
      <c r="G58" s="63"/>
      <c r="H58" s="63"/>
      <c r="I58" s="58">
        <f t="shared" si="1"/>
        <v>0.26</v>
      </c>
      <c r="J58" s="42"/>
      <c r="K58" s="42"/>
      <c r="L58" s="42"/>
      <c r="M58" s="42"/>
      <c r="N58" s="42"/>
      <c r="O58" s="53"/>
    </row>
    <row r="59" spans="1:15" s="16" customFormat="1" x14ac:dyDescent="0.25">
      <c r="A59" s="57">
        <v>310</v>
      </c>
      <c r="B59" s="57" t="s">
        <v>98</v>
      </c>
      <c r="C59" s="57" t="s">
        <v>96</v>
      </c>
      <c r="D59" s="58">
        <v>1.5</v>
      </c>
      <c r="E59" s="57" t="s">
        <v>35</v>
      </c>
      <c r="F59" s="63">
        <v>2</v>
      </c>
      <c r="G59" s="63"/>
      <c r="H59" s="63"/>
      <c r="I59" s="58">
        <f t="shared" si="1"/>
        <v>3</v>
      </c>
      <c r="J59" s="42"/>
      <c r="K59" s="42"/>
      <c r="L59" s="42"/>
      <c r="M59" s="42"/>
      <c r="N59" s="42"/>
      <c r="O59" s="53"/>
    </row>
    <row r="60" spans="1:15" x14ac:dyDescent="0.25">
      <c r="A60" s="185">
        <v>320</v>
      </c>
      <c r="B60" s="57" t="s">
        <v>97</v>
      </c>
      <c r="C60" s="57" t="s">
        <v>96</v>
      </c>
      <c r="D60" s="58">
        <v>0.25</v>
      </c>
      <c r="E60" s="57" t="s">
        <v>35</v>
      </c>
      <c r="F60" s="63">
        <v>2</v>
      </c>
      <c r="G60" s="63"/>
      <c r="H60" s="63"/>
      <c r="I60" s="58">
        <f t="shared" si="1"/>
        <v>0.5</v>
      </c>
      <c r="J60" s="41"/>
      <c r="K60" s="41"/>
      <c r="L60" s="41"/>
      <c r="M60" s="41"/>
      <c r="N60" s="41"/>
      <c r="O60" s="47"/>
    </row>
    <row r="61" spans="1:15" x14ac:dyDescent="0.25">
      <c r="A61" s="52"/>
      <c r="B61" s="15"/>
      <c r="C61" s="15"/>
      <c r="D61" s="15"/>
      <c r="E61" s="15"/>
      <c r="F61" s="15"/>
      <c r="G61" s="15"/>
      <c r="H61" s="95" t="s">
        <v>18</v>
      </c>
      <c r="I61" s="96">
        <f>SUM(I29:I60)</f>
        <v>62.641749999999995</v>
      </c>
      <c r="J61" s="41"/>
      <c r="K61" s="41"/>
      <c r="L61" s="41"/>
      <c r="M61" s="41"/>
      <c r="N61" s="41"/>
      <c r="O61" s="47"/>
    </row>
    <row r="62" spans="1:15" x14ac:dyDescent="0.25">
      <c r="A62" s="48"/>
      <c r="B62" s="41"/>
      <c r="C62" s="41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7"/>
    </row>
    <row r="63" spans="1:15" x14ac:dyDescent="0.25">
      <c r="A63" s="94" t="s">
        <v>14</v>
      </c>
      <c r="B63" s="94" t="s">
        <v>36</v>
      </c>
      <c r="C63" s="94" t="s">
        <v>20</v>
      </c>
      <c r="D63" s="94" t="s">
        <v>21</v>
      </c>
      <c r="E63" s="94" t="s">
        <v>22</v>
      </c>
      <c r="F63" s="94" t="s">
        <v>23</v>
      </c>
      <c r="G63" s="94" t="s">
        <v>24</v>
      </c>
      <c r="H63" s="94" t="s">
        <v>25</v>
      </c>
      <c r="I63" s="94" t="s">
        <v>17</v>
      </c>
      <c r="J63" s="94" t="s">
        <v>18</v>
      </c>
      <c r="K63" s="41"/>
      <c r="L63" s="41"/>
      <c r="M63" s="41"/>
      <c r="N63" s="41"/>
      <c r="O63" s="47"/>
    </row>
    <row r="64" spans="1:15" x14ac:dyDescent="0.25">
      <c r="A64" s="57">
        <v>10</v>
      </c>
      <c r="B64" s="57" t="s">
        <v>95</v>
      </c>
      <c r="C64" s="57" t="s">
        <v>94</v>
      </c>
      <c r="D64" s="111">
        <f>0.004*E64+0.5</f>
        <v>0.69399999999999995</v>
      </c>
      <c r="E64" s="110">
        <v>48.5</v>
      </c>
      <c r="F64" s="110" t="s">
        <v>30</v>
      </c>
      <c r="G64" s="110"/>
      <c r="H64" s="110"/>
      <c r="I64" s="64">
        <v>4</v>
      </c>
      <c r="J64" s="58">
        <f>I64*D64</f>
        <v>2.7759999999999998</v>
      </c>
      <c r="K64" s="41"/>
      <c r="L64" s="41"/>
      <c r="M64" s="41"/>
      <c r="N64" s="41"/>
      <c r="O64" s="47"/>
    </row>
    <row r="65" spans="1:15" x14ac:dyDescent="0.25">
      <c r="A65" s="57">
        <v>20</v>
      </c>
      <c r="B65" s="57" t="s">
        <v>90</v>
      </c>
      <c r="C65" s="57" t="s">
        <v>581</v>
      </c>
      <c r="D65" s="111">
        <f>0.8/105154*E65^2*G65*SQRT((G65+E65))+(0.003*EXP(0.319*E65))</f>
        <v>4.8271264768582824E-2</v>
      </c>
      <c r="E65" s="110">
        <v>6</v>
      </c>
      <c r="F65" s="110" t="s">
        <v>30</v>
      </c>
      <c r="G65" s="110">
        <v>20</v>
      </c>
      <c r="H65" s="110" t="s">
        <v>30</v>
      </c>
      <c r="I65" s="64">
        <v>9</v>
      </c>
      <c r="J65" s="58">
        <f>I65*D65</f>
        <v>0.43444138291724543</v>
      </c>
      <c r="K65" s="41"/>
      <c r="L65" s="41"/>
      <c r="M65" s="41"/>
      <c r="N65" s="41"/>
      <c r="O65" s="47"/>
    </row>
    <row r="66" spans="1:15" x14ac:dyDescent="0.25">
      <c r="A66" s="57">
        <v>30</v>
      </c>
      <c r="B66" s="57" t="s">
        <v>90</v>
      </c>
      <c r="C66" s="57" t="s">
        <v>92</v>
      </c>
      <c r="D66" s="111">
        <f>0.8/105154*E66^2*G66*SQRT((G66+E66))+(0.003*EXP(0.319*E66))</f>
        <v>1.9456865709169109E-2</v>
      </c>
      <c r="E66" s="110">
        <v>4</v>
      </c>
      <c r="F66" s="110" t="s">
        <v>30</v>
      </c>
      <c r="G66" s="110">
        <v>16</v>
      </c>
      <c r="H66" s="110" t="s">
        <v>30</v>
      </c>
      <c r="I66" s="64">
        <v>23</v>
      </c>
      <c r="J66" s="58">
        <f>I66*D66</f>
        <v>0.44750791131088952</v>
      </c>
      <c r="K66" s="41"/>
      <c r="L66" s="41"/>
      <c r="M66" s="41"/>
      <c r="N66" s="41"/>
      <c r="O66" s="47"/>
    </row>
    <row r="67" spans="1:15" x14ac:dyDescent="0.25">
      <c r="A67" s="57">
        <v>40</v>
      </c>
      <c r="B67" s="57" t="s">
        <v>93</v>
      </c>
      <c r="C67" s="57" t="s">
        <v>581</v>
      </c>
      <c r="D67" s="111">
        <v>0.01</v>
      </c>
      <c r="E67" s="110">
        <v>6</v>
      </c>
      <c r="F67" s="110" t="s">
        <v>30</v>
      </c>
      <c r="G67" s="110"/>
      <c r="H67" s="110"/>
      <c r="I67" s="64">
        <v>9</v>
      </c>
      <c r="J67" s="58">
        <f>I67*D67</f>
        <v>0.09</v>
      </c>
      <c r="K67" s="41"/>
      <c r="L67" s="41"/>
      <c r="M67" s="41"/>
      <c r="N67" s="41"/>
      <c r="O67" s="47"/>
    </row>
    <row r="68" spans="1:15" x14ac:dyDescent="0.25">
      <c r="A68" s="57">
        <v>50</v>
      </c>
      <c r="B68" s="57" t="s">
        <v>93</v>
      </c>
      <c r="C68" s="57" t="s">
        <v>92</v>
      </c>
      <c r="D68" s="111">
        <v>0.01</v>
      </c>
      <c r="E68" s="110">
        <v>4</v>
      </c>
      <c r="F68" s="110" t="s">
        <v>30</v>
      </c>
      <c r="G68" s="110"/>
      <c r="H68" s="110"/>
      <c r="I68" s="64">
        <v>23</v>
      </c>
      <c r="J68" s="58">
        <f>I68*D68</f>
        <v>0.23</v>
      </c>
      <c r="K68" s="41"/>
      <c r="L68" s="41"/>
      <c r="M68" s="41"/>
      <c r="N68" s="41"/>
      <c r="O68" s="47"/>
    </row>
    <row r="69" spans="1:15" x14ac:dyDescent="0.25">
      <c r="A69" s="57">
        <v>60</v>
      </c>
      <c r="B69" s="57" t="s">
        <v>38</v>
      </c>
      <c r="C69" s="57" t="s">
        <v>581</v>
      </c>
      <c r="D69" s="111">
        <f>(0.009*EXP(0.2*E69))</f>
        <v>2.9881052304628931E-2</v>
      </c>
      <c r="E69" s="110">
        <v>6</v>
      </c>
      <c r="F69" s="110" t="s">
        <v>30</v>
      </c>
      <c r="G69" s="110"/>
      <c r="H69" s="110"/>
      <c r="I69" s="64">
        <v>18</v>
      </c>
      <c r="J69" s="58">
        <f>I69*D69</f>
        <v>0.53785894148332081</v>
      </c>
      <c r="K69" s="41"/>
      <c r="L69" s="41"/>
      <c r="M69" s="41"/>
      <c r="N69" s="41"/>
      <c r="O69" s="47"/>
    </row>
    <row r="70" spans="1:15" x14ac:dyDescent="0.25">
      <c r="A70" s="57">
        <v>70</v>
      </c>
      <c r="B70" s="57" t="s">
        <v>38</v>
      </c>
      <c r="C70" s="57" t="s">
        <v>92</v>
      </c>
      <c r="D70" s="111">
        <f>(0.009*EXP(0.2*E70))</f>
        <v>2.0029868356432209E-2</v>
      </c>
      <c r="E70" s="110">
        <v>4</v>
      </c>
      <c r="F70" s="110" t="s">
        <v>30</v>
      </c>
      <c r="G70" s="110"/>
      <c r="H70" s="110"/>
      <c r="I70" s="64">
        <v>46</v>
      </c>
      <c r="J70" s="58">
        <f>I70*D70</f>
        <v>0.92137394439588161</v>
      </c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15"/>
      <c r="I71" s="95" t="s">
        <v>18</v>
      </c>
      <c r="J71" s="96">
        <f>SUM(J64:J70)</f>
        <v>5.437182180107337</v>
      </c>
      <c r="K71" s="41"/>
      <c r="L71" s="41"/>
      <c r="M71" s="41"/>
      <c r="N71" s="41"/>
      <c r="O71" s="47"/>
    </row>
    <row r="72" spans="1:15" x14ac:dyDescent="0.25">
      <c r="A72" s="48"/>
      <c r="B72" s="41"/>
      <c r="C72" s="41"/>
      <c r="D72" s="41"/>
      <c r="E72" s="41"/>
      <c r="F72" s="41"/>
      <c r="G72" s="41"/>
      <c r="H72" s="41"/>
      <c r="I72" s="41"/>
      <c r="J72" s="15"/>
      <c r="K72" s="41"/>
      <c r="L72" s="41"/>
      <c r="M72" s="41"/>
      <c r="N72" s="41"/>
      <c r="O72" s="47"/>
    </row>
    <row r="73" spans="1:15" x14ac:dyDescent="0.25">
      <c r="A73" s="94" t="s">
        <v>14</v>
      </c>
      <c r="B73" s="94" t="s">
        <v>39</v>
      </c>
      <c r="C73" s="94" t="s">
        <v>20</v>
      </c>
      <c r="D73" s="94" t="s">
        <v>21</v>
      </c>
      <c r="E73" s="94" t="s">
        <v>32</v>
      </c>
      <c r="F73" s="94" t="s">
        <v>17</v>
      </c>
      <c r="G73" s="94" t="s">
        <v>40</v>
      </c>
      <c r="H73" s="94" t="s">
        <v>41</v>
      </c>
      <c r="I73" s="94" t="s">
        <v>18</v>
      </c>
      <c r="J73" s="15"/>
      <c r="K73" s="41"/>
      <c r="L73" s="41"/>
      <c r="M73" s="41"/>
      <c r="N73" s="41"/>
      <c r="O73" s="47"/>
    </row>
    <row r="74" spans="1:15" x14ac:dyDescent="0.25">
      <c r="A74" s="57">
        <v>10</v>
      </c>
      <c r="B74" s="57" t="s">
        <v>42</v>
      </c>
      <c r="C74" s="57" t="s">
        <v>91</v>
      </c>
      <c r="D74" s="58">
        <v>500</v>
      </c>
      <c r="E74" s="57" t="s">
        <v>43</v>
      </c>
      <c r="F74" s="57">
        <v>4</v>
      </c>
      <c r="G74" s="57">
        <v>3000</v>
      </c>
      <c r="H74" s="57">
        <v>1</v>
      </c>
      <c r="I74" s="58">
        <f>D74*F74/G74*H74</f>
        <v>0.66666666666666663</v>
      </c>
      <c r="J74" s="15"/>
      <c r="K74" s="41"/>
      <c r="L74" s="41"/>
      <c r="M74" s="41"/>
      <c r="N74" s="41"/>
      <c r="O74" s="47"/>
    </row>
    <row r="75" spans="1:15" x14ac:dyDescent="0.25">
      <c r="A75" s="52"/>
      <c r="B75" s="15"/>
      <c r="C75" s="15"/>
      <c r="D75" s="15"/>
      <c r="E75" s="15"/>
      <c r="F75" s="15"/>
      <c r="G75" s="15"/>
      <c r="H75" s="98" t="s">
        <v>18</v>
      </c>
      <c r="I75" s="99">
        <f>SUM(I74:I74)</f>
        <v>0.66666666666666663</v>
      </c>
      <c r="O75" s="47"/>
    </row>
    <row r="76" spans="1:15" ht="15.75" thickBot="1" x14ac:dyDescent="0.3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6"/>
    </row>
    <row r="77" spans="1:1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</sheetData>
  <hyperlinks>
    <hyperlink ref="B10" location="EN_0300_001" display="EN_0300_001"/>
    <hyperlink ref="B11" location="EN_0300_002" display="EN_0300_002"/>
    <hyperlink ref="B12" location="EN_0300_003" display="EN_0300_003"/>
    <hyperlink ref="B13" location="EN_0300_004" display="EN_0300_004"/>
    <hyperlink ref="B14" location="EN_0300_005" display="EN_0300_005"/>
    <hyperlink ref="B15" location="EN_0300_006" display="EN_0300_006"/>
    <hyperlink ref="B16" location="EN_0300_007" display="EN_0300_007"/>
    <hyperlink ref="B17" location="EN_0300_008" display="EN_0300_008"/>
    <hyperlink ref="E2" location="EN_A03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5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2"/>
  <sheetViews>
    <sheetView zoomScaleNormal="100" workbookViewId="0">
      <selection activeCell="B30" sqref="B30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8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12.57225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139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12.57225</v>
      </c>
      <c r="O5" s="47"/>
    </row>
    <row r="6" spans="1:15" x14ac:dyDescent="0.25">
      <c r="A6" s="100" t="s">
        <v>7</v>
      </c>
      <c r="B6" s="17" t="s">
        <v>523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0.34499999999999997</v>
      </c>
      <c r="N11" s="120">
        <f>IF(J11="",D11*M11,D11*J11*K11*L11*M11)</f>
        <v>1.1384999999999998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1.1384999999999998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/>
      <c r="B16" s="57" t="s">
        <v>133</v>
      </c>
      <c r="C16" s="57" t="s">
        <v>132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G2" location="EN_A03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F16" sqref="F16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3.6799999999999997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3.6799999999999997</v>
      </c>
      <c r="O5" s="47"/>
    </row>
    <row r="6" spans="1:15" x14ac:dyDescent="0.25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0.14000000000000001</v>
      </c>
      <c r="F11" s="127" t="s">
        <v>78</v>
      </c>
      <c r="G11" s="127"/>
      <c r="H11" s="126"/>
      <c r="I11" s="125" t="s">
        <v>143</v>
      </c>
      <c r="J11" s="124">
        <f>0.2*0.215</f>
        <v>4.3000000000000003E-2</v>
      </c>
      <c r="K11" s="123">
        <v>2E-3</v>
      </c>
      <c r="L11" s="122">
        <v>2712</v>
      </c>
      <c r="M11" s="121">
        <v>1</v>
      </c>
      <c r="N11" s="120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140</v>
      </c>
      <c r="D16" s="58">
        <v>0.01</v>
      </c>
      <c r="E16" s="57" t="s">
        <v>46</v>
      </c>
      <c r="F16" s="63">
        <v>179.2</v>
      </c>
      <c r="G16" s="63"/>
      <c r="H16" s="63"/>
      <c r="I16" s="58">
        <f>IF(H16="",D16*F16,D16*F16*H16)</f>
        <v>1.7919999999999998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3.0919999999999996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02" display="Drawing"/>
    <hyperlink ref="G2" location="EN_A0300_BOM" display="Back to BOM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">
        <v>524</v>
      </c>
    </row>
    <row r="11" spans="1:8" x14ac:dyDescent="0.25">
      <c r="H11" s="69"/>
    </row>
  </sheetData>
  <hyperlinks>
    <hyperlink ref="A1" location="EL_01001" display="Drawing part :"/>
    <hyperlink ref="B1" location="EN_0300_002" display="EN 03002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="77" zoomScaleNormal="77" workbookViewId="0">
      <selection activeCell="L40" sqref="L40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18.119250000000001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18.119250000000001</v>
      </c>
      <c r="O5" s="47"/>
    </row>
    <row r="6" spans="1:15" x14ac:dyDescent="0.25">
      <c r="A6" s="100" t="s">
        <v>7</v>
      </c>
      <c r="B6" s="17" t="s">
        <v>525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0.495</v>
      </c>
      <c r="N11" s="120">
        <f>IF(J11="",D11*M11,D11*J11*K11*L11*M11)</f>
        <v>1.6335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1.6335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133</v>
      </c>
      <c r="C16" s="57" t="s">
        <v>147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2"/>
      <c r="I18" s="131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2"/>
      <c r="I19" s="131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/>
    <hyperlink ref="G2" location="EN_A0300_BOM" display="Back to BOM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462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461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36">
        <v>10</v>
      </c>
      <c r="B10" s="449" t="str">
        <f>EN_02001!B5</f>
        <v>Exhaust Tip</v>
      </c>
      <c r="C10" s="448">
        <f>EN_02001!N2</f>
        <v>4.3537375941950689</v>
      </c>
      <c r="D10" s="447">
        <f>EN_02001_q</f>
        <v>4</v>
      </c>
      <c r="E10" s="387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12">
        <v>20</v>
      </c>
      <c r="B11" s="435" t="str">
        <f>EN_02002!B5</f>
        <v>Exhaust Flange</v>
      </c>
      <c r="C11" s="446">
        <f>EN_02002!N2</f>
        <v>1.75075</v>
      </c>
      <c r="D11" s="445">
        <f>EN_02002_q</f>
        <v>4</v>
      </c>
      <c r="E11" s="433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42">
        <v>30</v>
      </c>
      <c r="B12" s="444" t="str">
        <f>EN_02003!B5</f>
        <v>Exhaust headers</v>
      </c>
      <c r="C12" s="443">
        <f>EN_02003!N2</f>
        <v>109.43393911329514</v>
      </c>
      <c r="D12" s="442">
        <f>EN_02003_q</f>
        <v>1</v>
      </c>
      <c r="E12" s="441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07" t="str">
        <f>EN_02006!B5</f>
        <v>Secondary collector</v>
      </c>
      <c r="C15" s="440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07" t="str">
        <f>EN_02007!B5</f>
        <v>Secondary collector tubing</v>
      </c>
      <c r="C16" s="439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36">
        <v>80</v>
      </c>
      <c r="B17" s="438" t="str">
        <f>EN_02008!B5</f>
        <v>Muffler</v>
      </c>
      <c r="C17" s="437">
        <f>EN_02008!N2</f>
        <v>40.144999999999996</v>
      </c>
      <c r="D17" s="436">
        <f>EN_02008_q</f>
        <v>1</v>
      </c>
      <c r="E17" s="387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12">
        <v>90</v>
      </c>
      <c r="B18" s="435" t="str">
        <f>EN_02009!B5</f>
        <v>Muffler Collar</v>
      </c>
      <c r="C18" s="434">
        <f>EN_02009!N2</f>
        <v>6.208613333333334</v>
      </c>
      <c r="D18" s="412">
        <f>EN_02009_q</f>
        <v>1</v>
      </c>
      <c r="E18" s="433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12">
        <v>100</v>
      </c>
      <c r="B19" s="435" t="str">
        <f>EN_02010!B5</f>
        <v>Spacer</v>
      </c>
      <c r="C19" s="434">
        <f>EN_02010!N2</f>
        <v>2.2250004878264873</v>
      </c>
      <c r="D19" s="412">
        <f>EN_02010_q</f>
        <v>1</v>
      </c>
      <c r="E19" s="433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4" t="s">
        <v>14</v>
      </c>
      <c r="B22" s="432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25">
      <c r="A23" s="109">
        <v>10</v>
      </c>
      <c r="B23" s="431" t="s">
        <v>460</v>
      </c>
      <c r="C23" s="430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29" t="s">
        <v>73</v>
      </c>
      <c r="C27" s="57" t="s">
        <v>459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72</v>
      </c>
      <c r="C28" s="57" t="s">
        <v>458</v>
      </c>
      <c r="D28" s="58">
        <v>0.15</v>
      </c>
      <c r="E28" s="429" t="s">
        <v>46</v>
      </c>
      <c r="F28" s="428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10" t="s">
        <v>75</v>
      </c>
      <c r="C29" s="420" t="s">
        <v>457</v>
      </c>
      <c r="D29" s="424">
        <v>0.19</v>
      </c>
      <c r="E29" s="420" t="s">
        <v>35</v>
      </c>
      <c r="F29" s="421">
        <v>1</v>
      </c>
      <c r="G29" s="420"/>
      <c r="H29" s="420"/>
      <c r="I29" s="423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10" t="s">
        <v>74</v>
      </c>
      <c r="C30" s="420" t="s">
        <v>456</v>
      </c>
      <c r="D30" s="424">
        <v>0.75</v>
      </c>
      <c r="E30" s="420" t="s">
        <v>35</v>
      </c>
      <c r="F30" s="421">
        <v>8</v>
      </c>
      <c r="G30" s="420"/>
      <c r="H30" s="420"/>
      <c r="I30" s="423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10" t="s">
        <v>451</v>
      </c>
      <c r="C31" s="420" t="s">
        <v>455</v>
      </c>
      <c r="D31" s="424">
        <v>0.75</v>
      </c>
      <c r="E31" s="420" t="s">
        <v>449</v>
      </c>
      <c r="F31" s="421">
        <v>4</v>
      </c>
      <c r="G31" s="420"/>
      <c r="H31" s="420"/>
      <c r="I31" s="423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10" t="s">
        <v>448</v>
      </c>
      <c r="C32" s="420" t="s">
        <v>454</v>
      </c>
      <c r="D32" s="424">
        <v>0.5</v>
      </c>
      <c r="E32" s="420" t="s">
        <v>46</v>
      </c>
      <c r="F32" s="427">
        <f>4.21*2</f>
        <v>8.42</v>
      </c>
      <c r="G32" s="420"/>
      <c r="H32" s="420"/>
      <c r="I32" s="423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10" t="s">
        <v>453</v>
      </c>
      <c r="C33" s="420" t="s">
        <v>452</v>
      </c>
      <c r="D33" s="424">
        <v>0.19</v>
      </c>
      <c r="E33" s="420" t="s">
        <v>35</v>
      </c>
      <c r="F33" s="421">
        <v>2</v>
      </c>
      <c r="G33" s="420"/>
      <c r="H33" s="420"/>
      <c r="I33" s="423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10" t="s">
        <v>451</v>
      </c>
      <c r="C34" s="420" t="s">
        <v>450</v>
      </c>
      <c r="D34" s="424">
        <v>0.75</v>
      </c>
      <c r="E34" s="420" t="s">
        <v>449</v>
      </c>
      <c r="F34" s="421">
        <v>2</v>
      </c>
      <c r="G34" s="420"/>
      <c r="H34" s="420"/>
      <c r="I34" s="423">
        <f t="shared" si="1"/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10" t="s">
        <v>448</v>
      </c>
      <c r="C35" s="420" t="s">
        <v>447</v>
      </c>
      <c r="D35" s="424">
        <v>0.5</v>
      </c>
      <c r="E35" s="420" t="s">
        <v>46</v>
      </c>
      <c r="F35" s="427">
        <f>4.98</f>
        <v>4.9800000000000004</v>
      </c>
      <c r="G35" s="420"/>
      <c r="H35" s="420"/>
      <c r="I35" s="423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26" t="s">
        <v>75</v>
      </c>
      <c r="C36" s="425" t="s">
        <v>446</v>
      </c>
      <c r="D36" s="424">
        <v>0.19</v>
      </c>
      <c r="E36" s="420" t="s">
        <v>35</v>
      </c>
      <c r="F36" s="421">
        <v>1</v>
      </c>
      <c r="G36" s="420"/>
      <c r="H36" s="420"/>
      <c r="I36" s="423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10" t="s">
        <v>77</v>
      </c>
      <c r="C37" s="420" t="s">
        <v>445</v>
      </c>
      <c r="D37" s="422">
        <v>0.38</v>
      </c>
      <c r="E37" s="420" t="s">
        <v>35</v>
      </c>
      <c r="F37" s="421">
        <v>1</v>
      </c>
      <c r="G37" s="420"/>
      <c r="H37" s="420"/>
      <c r="I37" s="413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17" t="s">
        <v>73</v>
      </c>
      <c r="C38" s="416" t="s">
        <v>444</v>
      </c>
      <c r="D38" s="283">
        <v>0.06</v>
      </c>
      <c r="E38" s="415" t="s">
        <v>35</v>
      </c>
      <c r="F38" s="415">
        <v>1</v>
      </c>
      <c r="G38" s="415"/>
      <c r="H38" s="415"/>
      <c r="I38" s="413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19" t="s">
        <v>443</v>
      </c>
      <c r="C39" s="416" t="s">
        <v>442</v>
      </c>
      <c r="D39" s="283">
        <v>0.25</v>
      </c>
      <c r="E39" s="415" t="s">
        <v>35</v>
      </c>
      <c r="F39" s="415">
        <v>1</v>
      </c>
      <c r="G39" s="415"/>
      <c r="H39" s="415"/>
      <c r="I39" s="413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17" t="s">
        <v>88</v>
      </c>
      <c r="C40" s="418" t="s">
        <v>441</v>
      </c>
      <c r="D40" s="283">
        <v>0.13</v>
      </c>
      <c r="E40" s="415" t="s">
        <v>35</v>
      </c>
      <c r="F40" s="415">
        <v>3</v>
      </c>
      <c r="G40" s="415"/>
      <c r="H40" s="415"/>
      <c r="I40" s="413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17" t="s">
        <v>286</v>
      </c>
      <c r="C41" s="416" t="s">
        <v>440</v>
      </c>
      <c r="D41" s="283">
        <v>0.75</v>
      </c>
      <c r="E41" s="415" t="s">
        <v>35</v>
      </c>
      <c r="F41" s="415">
        <v>1</v>
      </c>
      <c r="G41" s="414"/>
      <c r="H41" s="414"/>
      <c r="I41" s="413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10" t="s">
        <v>439</v>
      </c>
      <c r="C42" s="412"/>
      <c r="D42" s="411">
        <v>25</v>
      </c>
      <c r="E42" s="410" t="s">
        <v>71</v>
      </c>
      <c r="F42" s="409">
        <v>2.65</v>
      </c>
      <c r="G42" s="408"/>
      <c r="H42" s="408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07" t="s">
        <v>38</v>
      </c>
      <c r="C46" s="396" t="s">
        <v>438</v>
      </c>
      <c r="D46" s="399">
        <v>0.04</v>
      </c>
      <c r="E46" s="396">
        <v>8</v>
      </c>
      <c r="F46" s="396" t="s">
        <v>30</v>
      </c>
      <c r="G46" s="396"/>
      <c r="H46" s="396"/>
      <c r="I46" s="396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396" t="s">
        <v>37</v>
      </c>
      <c r="C47" s="396" t="s">
        <v>437</v>
      </c>
      <c r="D47" s="399">
        <v>0.01</v>
      </c>
      <c r="E47" s="396">
        <v>40</v>
      </c>
      <c r="F47" s="396" t="s">
        <v>30</v>
      </c>
      <c r="G47" s="396"/>
      <c r="H47" s="396"/>
      <c r="I47" s="396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06" t="s">
        <v>436</v>
      </c>
      <c r="C48" s="403" t="s">
        <v>435</v>
      </c>
      <c r="D48" s="405">
        <f>0.01*E48+0.01</f>
        <v>0.31</v>
      </c>
      <c r="E48" s="403">
        <v>30</v>
      </c>
      <c r="F48" s="404" t="s">
        <v>30</v>
      </c>
      <c r="G48" s="403"/>
      <c r="H48" s="402"/>
      <c r="I48" s="401">
        <v>1</v>
      </c>
      <c r="J48" s="400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396" t="s">
        <v>37</v>
      </c>
      <c r="C49" s="396" t="s">
        <v>434</v>
      </c>
      <c r="D49" s="399">
        <v>0.01</v>
      </c>
      <c r="E49" s="396">
        <v>8</v>
      </c>
      <c r="F49" s="396" t="s">
        <v>30</v>
      </c>
      <c r="G49" s="396"/>
      <c r="H49" s="398"/>
      <c r="I49" s="396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397" t="s">
        <v>90</v>
      </c>
      <c r="C50" s="396" t="s">
        <v>433</v>
      </c>
      <c r="D50" s="395">
        <v>0.32365994940100623</v>
      </c>
      <c r="E50" s="383">
        <v>8</v>
      </c>
      <c r="F50" s="383" t="s">
        <v>30</v>
      </c>
      <c r="G50" s="394">
        <v>70</v>
      </c>
      <c r="H50" s="383" t="s">
        <v>30</v>
      </c>
      <c r="I50" s="383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93" t="s">
        <v>38</v>
      </c>
      <c r="C51" s="390" t="s">
        <v>432</v>
      </c>
      <c r="D51" s="392">
        <v>1.34264222787714E-2</v>
      </c>
      <c r="E51" s="390">
        <v>2</v>
      </c>
      <c r="F51" s="391" t="s">
        <v>30</v>
      </c>
      <c r="G51" s="390"/>
      <c r="H51" s="389"/>
      <c r="I51" s="388">
        <v>1</v>
      </c>
      <c r="J51" s="387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09">
        <v>70</v>
      </c>
      <c r="B52" s="386" t="s">
        <v>90</v>
      </c>
      <c r="C52" s="383" t="s">
        <v>431</v>
      </c>
      <c r="D52" s="385">
        <v>1.0699999999999999E-2</v>
      </c>
      <c r="E52" s="383">
        <v>2</v>
      </c>
      <c r="F52" s="384" t="s">
        <v>30</v>
      </c>
      <c r="G52" s="383">
        <v>30</v>
      </c>
      <c r="H52" s="382" t="s">
        <v>30</v>
      </c>
      <c r="I52" s="381">
        <v>1</v>
      </c>
      <c r="J52" s="380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/>
    <hyperlink ref="B12" location="EN_02003" display="EN_02003"/>
    <hyperlink ref="B13" location="EN_02004" display="EN_02004"/>
    <hyperlink ref="B14" location="EN_02005" display="EN_02005"/>
    <hyperlink ref="B15" location="EN_02006" display="EN_02006"/>
    <hyperlink ref="B16" location="EN_02007" display="EN_02007"/>
    <hyperlink ref="B17" location="EN_02008" display="EN_02008"/>
    <hyperlink ref="B11" location="EN_02002" display="EN_02002"/>
    <hyperlink ref="B18" location="EN_02009" display="EN_02009"/>
    <hyperlink ref="B19" location="EN_02010" display="EN_02010"/>
    <hyperlink ref="E2" location="EN_A02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C21" sqref="C21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EN_0300_004_m+EN_0300_004_p</f>
        <v>1.6890000000000001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25">
      <c r="A6" s="100" t="s">
        <v>7</v>
      </c>
      <c r="B6" s="17" t="s">
        <v>567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0.01</v>
      </c>
      <c r="F11" s="127" t="s">
        <v>78</v>
      </c>
      <c r="G11" s="127"/>
      <c r="H11" s="126"/>
      <c r="I11" s="125" t="s">
        <v>150</v>
      </c>
      <c r="J11" s="124">
        <f>0.225*0.016</f>
        <v>3.6000000000000003E-3</v>
      </c>
      <c r="K11" s="123">
        <v>2E-3</v>
      </c>
      <c r="L11" s="122">
        <v>2712</v>
      </c>
      <c r="M11" s="121">
        <v>0.01</v>
      </c>
      <c r="N11" s="120">
        <f>D11*E11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149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G2" location="EN_A0300_BOM" display="Back to BOM"/>
    <hyperlink ref="E3" location="dEN_0300_009" display="Drawing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EN_0300_004</f>
        <v>Left frame bracket</v>
      </c>
    </row>
    <row r="11" spans="1:8" x14ac:dyDescent="0.25">
      <c r="H11" s="69"/>
    </row>
  </sheetData>
  <hyperlinks>
    <hyperlink ref="A1" location="EL_01001" display="Drawing part :"/>
    <hyperlink ref="B1" location="EN_0300_004" display="EN_0300_004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B5" sqref="B5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EN_0300_005_m+EN_0300_005_p</f>
        <v>1.7614000000000001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25">
      <c r="A6" s="100" t="s">
        <v>7</v>
      </c>
      <c r="B6" s="17" t="s">
        <v>568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1.2E-2</v>
      </c>
      <c r="F11" s="127" t="s">
        <v>78</v>
      </c>
      <c r="G11" s="127"/>
      <c r="H11" s="126"/>
      <c r="I11" s="125" t="s">
        <v>153</v>
      </c>
      <c r="J11" s="124">
        <f>0.156*0.016</f>
        <v>2.496E-3</v>
      </c>
      <c r="K11" s="123">
        <v>2E-3</v>
      </c>
      <c r="L11" s="122">
        <v>2712</v>
      </c>
      <c r="M11" s="121">
        <v>1</v>
      </c>
      <c r="N11" s="120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0" display="Drawing"/>
    <hyperlink ref="G2" location="EN_A0300_BOM" display="Back to BOM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EN_0300_005</f>
        <v>Right frame bracket</v>
      </c>
    </row>
    <row r="11" spans="1:8" x14ac:dyDescent="0.25">
      <c r="H11" s="69"/>
    </row>
  </sheetData>
  <hyperlinks>
    <hyperlink ref="A1" location="EL_01001" display="Drawing part :"/>
    <hyperlink ref="B1" location="EN_0300_005" display="EN_0300_005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zoomScale="85" zoomScaleNormal="85" workbookViewId="0">
      <selection activeCell="B5" sqref="B5"/>
    </sheetView>
  </sheetViews>
  <sheetFormatPr baseColWidth="10" defaultColWidth="9.140625" defaultRowHeight="15" x14ac:dyDescent="0.25"/>
  <cols>
    <col min="2" max="2" width="35.42578125" customWidth="1"/>
    <col min="3" max="3" width="24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EN_0300_006_m+EN_0300_006_p</f>
        <v>1.9656000000000002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3.9312000000000005</v>
      </c>
      <c r="O5" s="47"/>
    </row>
    <row r="6" spans="1:15" x14ac:dyDescent="0.25">
      <c r="A6" s="100" t="s">
        <v>7</v>
      </c>
      <c r="B6" s="17" t="s">
        <v>569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1.7999999999999999E-2</v>
      </c>
      <c r="F11" s="127" t="s">
        <v>78</v>
      </c>
      <c r="G11" s="127"/>
      <c r="H11" s="126"/>
      <c r="I11" s="125" t="s">
        <v>156</v>
      </c>
      <c r="J11" s="124">
        <f>0.08*0.055</f>
        <v>4.4000000000000003E-3</v>
      </c>
      <c r="K11" s="123">
        <v>2E-3</v>
      </c>
      <c r="L11" s="122">
        <v>2712</v>
      </c>
      <c r="M11" s="121">
        <v>1</v>
      </c>
      <c r="N11" s="120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1" display="Drawing"/>
    <hyperlink ref="G2" location="EN_A0300_BOM" display="Back to BOM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EN_0300_006</f>
        <v>PAIR plate</v>
      </c>
    </row>
    <row r="11" spans="1:8" x14ac:dyDescent="0.25">
      <c r="H11" s="69"/>
    </row>
  </sheetData>
  <hyperlinks>
    <hyperlink ref="B1" location="EN_0300_006" display="EN_0300_006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3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EN_0300_007_m+EN_0300_007_p</f>
        <v>4.1755999999999993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25">
      <c r="A6" s="100" t="s">
        <v>7</v>
      </c>
      <c r="B6" s="17" t="s">
        <v>570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160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6.8000000000000005E-2</v>
      </c>
      <c r="F11" s="127" t="s">
        <v>78</v>
      </c>
      <c r="G11" s="127"/>
      <c r="H11" s="126"/>
      <c r="I11" s="125" t="s">
        <v>159</v>
      </c>
      <c r="J11" s="124">
        <f>0.275*0.075</f>
        <v>2.0625000000000001E-2</v>
      </c>
      <c r="K11" s="123">
        <v>2E-3</v>
      </c>
      <c r="L11" s="122">
        <v>2712</v>
      </c>
      <c r="M11" s="121">
        <v>1</v>
      </c>
      <c r="N11" s="120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86</v>
      </c>
      <c r="C17" s="57" t="s">
        <v>158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/>
    <hyperlink ref="E3" location="dEN_0300_012" display="Drawing"/>
    <hyperlink ref="G2" location="EN_A0300_BOM" display="Back to BOM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M31" sqref="M3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EN_0300_007</f>
        <v>Motor bracket</v>
      </c>
    </row>
    <row r="11" spans="1:8" x14ac:dyDescent="0.25">
      <c r="H11" s="69"/>
    </row>
  </sheetData>
  <hyperlinks>
    <hyperlink ref="B1" location="EN_0300_007" display="EN_0300_007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C16" sqref="C16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EN_0300_008_m+EN_0300_008_p</f>
        <v>1.38425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2.7685</v>
      </c>
      <c r="O5" s="47"/>
    </row>
    <row r="6" spans="1:15" x14ac:dyDescent="0.25">
      <c r="A6" s="100" t="s">
        <v>7</v>
      </c>
      <c r="B6" s="17" t="s">
        <v>571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25">
        <v>3.0000000000000001E-3</v>
      </c>
      <c r="F11" s="127" t="s">
        <v>78</v>
      </c>
      <c r="G11" s="127"/>
      <c r="H11" s="126"/>
      <c r="I11" s="125"/>
      <c r="J11" s="124"/>
      <c r="K11" s="123"/>
      <c r="L11" s="133">
        <v>2E-3</v>
      </c>
      <c r="M11" s="121">
        <v>1</v>
      </c>
      <c r="N11" s="120">
        <f>D11*E11</f>
        <v>6.7499999999999999E-3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6.7499999999999999E-3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/>
    <hyperlink ref="E3" location="dEN_0300_013" display="Drawing"/>
    <hyperlink ref="G2" location="EN_A0300_BOM" display="Back to BOM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1"/>
  <sheetViews>
    <sheetView workbookViewId="0">
      <selection activeCell="L26" sqref="L26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EN_0300_008</f>
        <v>Intake bracket</v>
      </c>
    </row>
    <row r="11" spans="1:8" x14ac:dyDescent="0.25">
      <c r="H11" s="69"/>
    </row>
  </sheetData>
  <hyperlinks>
    <hyperlink ref="B1" location="EN_0300_008" display="EN_0300_008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25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84"/>
      <c r="O4" s="47"/>
    </row>
    <row r="5" spans="1:15" x14ac:dyDescent="0.25">
      <c r="A5" s="100" t="s">
        <v>15</v>
      </c>
      <c r="B5" s="13" t="s">
        <v>471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25">
      <c r="A6" s="100" t="s">
        <v>7</v>
      </c>
      <c r="B6" s="17" t="s">
        <v>470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ht="45" x14ac:dyDescent="0.25">
      <c r="A11" s="483">
        <v>10</v>
      </c>
      <c r="B11" s="482" t="s">
        <v>469</v>
      </c>
      <c r="C11" s="481" t="s">
        <v>468</v>
      </c>
      <c r="D11" s="473">
        <v>2.25</v>
      </c>
      <c r="E11" s="480">
        <f>PRODUCT(L11,J11,K11)</f>
        <v>0.28499448630891927</v>
      </c>
      <c r="F11" s="479" t="s">
        <v>78</v>
      </c>
      <c r="G11" s="479"/>
      <c r="H11" s="478"/>
      <c r="I11" s="477" t="s">
        <v>467</v>
      </c>
      <c r="J11" s="476">
        <f>PI()*(43/1000/2)^2</f>
        <v>1.4522012041218817E-3</v>
      </c>
      <c r="K11" s="475">
        <v>2.5000000000000001E-2</v>
      </c>
      <c r="L11" s="474">
        <v>7850</v>
      </c>
      <c r="M11" s="474">
        <v>1</v>
      </c>
      <c r="N11" s="473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68" t="s">
        <v>45</v>
      </c>
      <c r="C15" s="467"/>
      <c r="D15" s="462">
        <v>1.3</v>
      </c>
      <c r="E15" s="456" t="s">
        <v>35</v>
      </c>
      <c r="F15" s="467">
        <v>0.25</v>
      </c>
      <c r="G15" s="458" t="s">
        <v>466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s="16" customFormat="1" ht="30" x14ac:dyDescent="0.25">
      <c r="A16" s="465">
        <v>20</v>
      </c>
      <c r="B16" s="464" t="s">
        <v>79</v>
      </c>
      <c r="C16" s="463" t="s">
        <v>465</v>
      </c>
      <c r="D16" s="462">
        <v>0.04</v>
      </c>
      <c r="E16" s="456" t="s">
        <v>81</v>
      </c>
      <c r="F16" s="461">
        <v>20.5</v>
      </c>
      <c r="G16" s="452" t="s">
        <v>82</v>
      </c>
      <c r="H16" s="460">
        <v>3</v>
      </c>
      <c r="I16" s="400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59">
        <v>30</v>
      </c>
      <c r="B17" s="454" t="s">
        <v>80</v>
      </c>
      <c r="C17" s="451"/>
      <c r="D17" s="455">
        <v>0.65</v>
      </c>
      <c r="E17" s="454" t="s">
        <v>35</v>
      </c>
      <c r="F17" s="451">
        <v>0.25</v>
      </c>
      <c r="G17" s="458" t="s">
        <v>464</v>
      </c>
      <c r="H17" s="451"/>
      <c r="I17" s="433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456" t="s">
        <v>79</v>
      </c>
      <c r="C18" s="412" t="s">
        <v>463</v>
      </c>
      <c r="D18" s="455">
        <v>0.04</v>
      </c>
      <c r="E18" s="454" t="s">
        <v>81</v>
      </c>
      <c r="F18" s="453">
        <v>6.375</v>
      </c>
      <c r="G18" s="452" t="s">
        <v>82</v>
      </c>
      <c r="H18" s="451">
        <v>3</v>
      </c>
      <c r="I18" s="433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50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/>
    <hyperlink ref="E3" location="dEN_02001!A1" display="Drawing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67"/>
  <sheetViews>
    <sheetView topLeftCell="A31" zoomScale="70" zoomScaleNormal="70" zoomScaleSheetLayoutView="80" workbookViewId="0">
      <selection activeCell="B6" sqref="B6"/>
    </sheetView>
  </sheetViews>
  <sheetFormatPr baseColWidth="10" defaultColWidth="9.140625" defaultRowHeight="15" x14ac:dyDescent="0.25"/>
  <cols>
    <col min="2" max="2" width="35.28515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215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165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214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213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212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">
        <v>211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">
        <v>210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">
        <v>209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">
        <v>208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07" t="s">
        <v>207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25">
      <c r="A22" s="57">
        <v>10</v>
      </c>
      <c r="B22" s="57" t="s">
        <v>206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204</v>
      </c>
      <c r="C23" s="159" t="s">
        <v>205</v>
      </c>
      <c r="D23" s="58">
        <v>1</v>
      </c>
      <c r="E23" s="158"/>
      <c r="F23" s="158"/>
      <c r="G23" s="158"/>
      <c r="H23" s="59"/>
      <c r="I23" s="157"/>
      <c r="J23" s="156"/>
      <c r="K23" s="155"/>
      <c r="L23" s="154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204</v>
      </c>
      <c r="C24" s="57" t="s">
        <v>203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201</v>
      </c>
      <c r="C25" s="57" t="s">
        <v>202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201</v>
      </c>
      <c r="C26" s="57" t="s">
        <v>200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199</v>
      </c>
      <c r="C27" s="57" t="s">
        <v>198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197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129</v>
      </c>
      <c r="C29" s="57" t="s">
        <v>128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75</v>
      </c>
      <c r="C33" s="57" t="s">
        <v>196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75</v>
      </c>
      <c r="C34" s="57" t="s">
        <v>195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75</v>
      </c>
      <c r="C35" s="57" t="s">
        <v>194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75</v>
      </c>
      <c r="C36" s="57" t="s">
        <v>193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75</v>
      </c>
      <c r="C37" s="57" t="s">
        <v>192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75</v>
      </c>
      <c r="C38" s="57" t="s">
        <v>191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75</v>
      </c>
      <c r="C39" s="57" t="s">
        <v>190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182</v>
      </c>
      <c r="C40" s="57" t="s">
        <v>185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117</v>
      </c>
      <c r="C41" s="57" t="s">
        <v>189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188</v>
      </c>
      <c r="C42" s="57" t="s">
        <v>187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172</v>
      </c>
      <c r="C43" s="57" t="s">
        <v>186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182</v>
      </c>
      <c r="C44" s="57" t="s">
        <v>185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172</v>
      </c>
      <c r="C45" s="57" t="s">
        <v>184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75</v>
      </c>
      <c r="C46" s="57" t="s">
        <v>183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182</v>
      </c>
      <c r="C47" s="57" t="s">
        <v>181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180</v>
      </c>
      <c r="C48" s="57" t="s">
        <v>179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172</v>
      </c>
      <c r="C49" s="16" t="s">
        <v>178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177</v>
      </c>
      <c r="C50" s="57" t="s">
        <v>176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172</v>
      </c>
      <c r="C51" s="57" t="s">
        <v>175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174</v>
      </c>
      <c r="C52" s="57" t="s">
        <v>173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172</v>
      </c>
      <c r="C53" s="57" t="s">
        <v>171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90</v>
      </c>
      <c r="C57" s="57" t="s">
        <v>170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170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90</v>
      </c>
      <c r="C59" s="57" t="s">
        <v>169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90</v>
      </c>
      <c r="C60" s="57" t="s">
        <v>168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168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168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167</v>
      </c>
      <c r="C63" s="57" t="s">
        <v>166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/>
    <hyperlink ref="B11" location="EN_0400_002" display="EN_0400_002"/>
    <hyperlink ref="B12" location="EN_0400_003" display="Throttle Housing"/>
    <hyperlink ref="B13" location="EN_0400_004" display="Throttle Axle"/>
    <hyperlink ref="B14" location="EN_0400_005" display="TPS Axle"/>
    <hyperlink ref="B15" location="EN_0400_006" display="Cable Housing"/>
    <hyperlink ref="B16" location="EN_0400_007" display="Axle Stop"/>
    <hyperlink ref="B17" location="EN_0400_008" display="Ram Pipe"/>
    <hyperlink ref="B18" location="EN_0400_009" display="Throttle Plate"/>
    <hyperlink ref="E2" location="EN_A04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3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25">
      <c r="A6" s="100" t="s">
        <v>7</v>
      </c>
      <c r="B6" s="17" t="s">
        <v>526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0.17399999999999999</v>
      </c>
      <c r="F11" s="127" t="s">
        <v>78</v>
      </c>
      <c r="G11" s="127"/>
      <c r="H11" s="126"/>
      <c r="I11" s="125" t="s">
        <v>219</v>
      </c>
      <c r="J11" s="160">
        <f>0.04*0.02</f>
        <v>8.0000000000000004E-4</v>
      </c>
      <c r="K11" s="123">
        <v>0.08</v>
      </c>
      <c r="L11" s="122">
        <v>2712</v>
      </c>
      <c r="M11" s="121">
        <v>1</v>
      </c>
      <c r="N11" s="120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218</v>
      </c>
      <c r="C16" s="57"/>
      <c r="D16" s="58">
        <v>0.35</v>
      </c>
      <c r="E16" s="57" t="s">
        <v>217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216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/>
    <hyperlink ref="G2" location="EN_A04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25">
      <c r="A6" s="100" t="s">
        <v>7</v>
      </c>
      <c r="B6" s="17" t="s">
        <v>527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0.376</v>
      </c>
      <c r="F11" s="127" t="s">
        <v>78</v>
      </c>
      <c r="G11" s="127"/>
      <c r="H11" s="126"/>
      <c r="I11" s="125" t="s">
        <v>224</v>
      </c>
      <c r="J11" s="161">
        <v>1.3799999999999999E-3</v>
      </c>
      <c r="K11" s="123">
        <v>0.1</v>
      </c>
      <c r="L11" s="122">
        <v>2712</v>
      </c>
      <c r="M11" s="121">
        <v>1</v>
      </c>
      <c r="N11" s="120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 t="s">
        <v>223</v>
      </c>
      <c r="D16" s="58">
        <v>0.04</v>
      </c>
      <c r="E16" s="57" t="s">
        <v>81</v>
      </c>
      <c r="F16" s="63">
        <v>35</v>
      </c>
      <c r="G16" s="63" t="s">
        <v>216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216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1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25">
      <c r="A6" s="100" t="s">
        <v>7</v>
      </c>
      <c r="B6" s="17" t="s">
        <v>528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0.20100000000000001</v>
      </c>
      <c r="F11" s="127" t="s">
        <v>78</v>
      </c>
      <c r="G11" s="127"/>
      <c r="H11" s="126"/>
      <c r="I11" s="125" t="s">
        <v>226</v>
      </c>
      <c r="J11" s="161">
        <f>0.045*0.03</f>
        <v>1.3499999999999999E-3</v>
      </c>
      <c r="K11" s="123">
        <v>0.06</v>
      </c>
      <c r="L11" s="122">
        <v>2712</v>
      </c>
      <c r="M11" s="121">
        <v>1</v>
      </c>
      <c r="N11" s="120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216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216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25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2.5000000000000001E-2</v>
      </c>
      <c r="F11" s="127" t="s">
        <v>78</v>
      </c>
      <c r="G11" s="127"/>
      <c r="H11" s="126"/>
      <c r="I11" s="125" t="s">
        <v>230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25">
      <c r="A6" s="100" t="s">
        <v>7</v>
      </c>
      <c r="B6" s="17" t="s">
        <v>530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1.7999999999999999E-2</v>
      </c>
      <c r="F11" s="127" t="s">
        <v>78</v>
      </c>
      <c r="G11" s="127"/>
      <c r="H11" s="126"/>
      <c r="I11" s="125" t="s">
        <v>230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25">
      <c r="A6" s="100" t="s">
        <v>7</v>
      </c>
      <c r="B6" s="17" t="s">
        <v>531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7.4999999999999997E-2</v>
      </c>
      <c r="F11" s="127" t="s">
        <v>78</v>
      </c>
      <c r="G11" s="127"/>
      <c r="H11" s="126"/>
      <c r="I11" s="125" t="s">
        <v>232</v>
      </c>
      <c r="J11" s="162">
        <v>1.2E-4</v>
      </c>
      <c r="K11" s="123">
        <v>0.08</v>
      </c>
      <c r="L11" s="122">
        <v>7850</v>
      </c>
      <c r="M11" s="121">
        <v>1</v>
      </c>
      <c r="N11" s="120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231</v>
      </c>
      <c r="C16" s="57"/>
      <c r="D16" s="58">
        <v>0.01</v>
      </c>
      <c r="E16" s="57" t="s">
        <v>81</v>
      </c>
      <c r="F16" s="63">
        <v>35</v>
      </c>
      <c r="G16" s="63" t="s">
        <v>227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25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0.11600000000000001</v>
      </c>
      <c r="F11" s="127" t="s">
        <v>78</v>
      </c>
      <c r="G11" s="127"/>
      <c r="H11" s="126"/>
      <c r="I11" s="125" t="s">
        <v>233</v>
      </c>
      <c r="J11" s="162">
        <v>4.9100000000000001E-4</v>
      </c>
      <c r="K11" s="123">
        <v>0.03</v>
      </c>
      <c r="L11" s="122">
        <v>7850</v>
      </c>
      <c r="M11" s="121">
        <v>1</v>
      </c>
      <c r="N11" s="120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25">
      <c r="A6" s="100" t="s">
        <v>7</v>
      </c>
      <c r="B6" s="17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162</v>
      </c>
      <c r="D11" s="120">
        <v>4.2</v>
      </c>
      <c r="E11" s="163">
        <v>0.95399999999999996</v>
      </c>
      <c r="F11" s="127" t="s">
        <v>78</v>
      </c>
      <c r="G11" s="127"/>
      <c r="H11" s="126"/>
      <c r="I11" s="125" t="s">
        <v>234</v>
      </c>
      <c r="J11" s="162">
        <v>5.0299999999999997E-3</v>
      </c>
      <c r="K11" s="123">
        <v>7.0000000000000007E-2</v>
      </c>
      <c r="L11" s="133">
        <v>2712</v>
      </c>
      <c r="M11" s="121">
        <v>1</v>
      </c>
      <c r="N11" s="120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216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25">
      <c r="A6" s="100" t="s">
        <v>7</v>
      </c>
      <c r="B6" s="17" t="s">
        <v>534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63">
        <v>3.2000000000000001E-2</v>
      </c>
      <c r="F11" s="127" t="s">
        <v>78</v>
      </c>
      <c r="G11" s="127"/>
      <c r="H11" s="126"/>
      <c r="I11" s="125" t="s">
        <v>235</v>
      </c>
      <c r="J11" s="162">
        <v>8.0400000000000003E-4</v>
      </c>
      <c r="K11" s="123">
        <v>5.0000000000000001E-3</v>
      </c>
      <c r="L11" s="122">
        <v>7850</v>
      </c>
      <c r="M11" s="121">
        <v>1</v>
      </c>
      <c r="N11" s="120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227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/>
    <hyperlink ref="G2" location="EN_A0400_BOM" display="Back to B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66</v>
      </c>
      <c r="B1" s="69" t="str">
        <f>EN_02001</f>
        <v>EN 02001</v>
      </c>
    </row>
  </sheetData>
  <hyperlinks>
    <hyperlink ref="B1" location="EN_02001" display="EN_02001"/>
    <hyperlink ref="A1" location="EL_01001" display="Drawing part :"/>
    <hyperlink ref="A1:B1" location="EN_0200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62"/>
  <sheetViews>
    <sheetView topLeftCell="A9" zoomScale="85" zoomScaleNormal="85" zoomScaleSheetLayoutView="80" workbookViewId="0">
      <selection activeCell="A31" sqref="A31:I31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EN_A0900_pa+EN_A0900_m+EN_A0900_p+EN_A0900_f+EN_A0900_t</f>
        <v>402.70288022367509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278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536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402.70288022367509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 t="s">
        <v>277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173" t="s">
        <v>14</v>
      </c>
      <c r="B9" s="202" t="s">
        <v>15</v>
      </c>
      <c r="C9" s="172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185">
        <v>10</v>
      </c>
      <c r="B10" s="201" t="s">
        <v>276</v>
      </c>
      <c r="C10" s="179">
        <f>EN_09001!N$2</f>
        <v>125.93892271516907</v>
      </c>
      <c r="D10" s="200">
        <f>EN_09001!N$3</f>
        <v>1</v>
      </c>
      <c r="E10" s="199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7"/>
    </row>
    <row r="11" spans="1:15" x14ac:dyDescent="0.25">
      <c r="A11" s="185">
        <v>20</v>
      </c>
      <c r="B11" s="201" t="s">
        <v>275</v>
      </c>
      <c r="C11" s="179">
        <f>EN_09002!N$2</f>
        <v>10.904564699673662</v>
      </c>
      <c r="D11" s="200">
        <f>EN_09002!N$3</f>
        <v>1</v>
      </c>
      <c r="E11" s="199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8"/>
    </row>
    <row r="12" spans="1:15" x14ac:dyDescent="0.25">
      <c r="A12" s="185">
        <v>30</v>
      </c>
      <c r="B12" s="201" t="s">
        <v>274</v>
      </c>
      <c r="C12" s="179">
        <f>EN_09003!N$2</f>
        <v>8.5389646196590014</v>
      </c>
      <c r="D12" s="200">
        <f>EN_09003!N$3</f>
        <v>1</v>
      </c>
      <c r="E12" s="199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8"/>
    </row>
    <row r="13" spans="1:15" x14ac:dyDescent="0.25">
      <c r="A13" s="185">
        <v>40</v>
      </c>
      <c r="B13" s="201" t="s">
        <v>273</v>
      </c>
      <c r="C13" s="179">
        <f>EN_09004!N$2</f>
        <v>23.956417471999998</v>
      </c>
      <c r="D13" s="200">
        <f>EN_09004!N$3</f>
        <v>1</v>
      </c>
      <c r="E13" s="199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7"/>
    </row>
    <row r="14" spans="1:15" x14ac:dyDescent="0.25">
      <c r="A14" s="185">
        <v>50</v>
      </c>
      <c r="B14" s="201" t="s">
        <v>272</v>
      </c>
      <c r="C14" s="179">
        <f>EN_09005!N$2</f>
        <v>17.198412672</v>
      </c>
      <c r="D14" s="200">
        <f>EN_09005!N$3</f>
        <v>1</v>
      </c>
      <c r="E14" s="199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85">
        <v>60</v>
      </c>
      <c r="B15" s="201" t="s">
        <v>271</v>
      </c>
      <c r="C15" s="179">
        <f>EN_09006!N$2</f>
        <v>0.99587245000000002</v>
      </c>
      <c r="D15" s="200">
        <f>EN_09006!N$3</f>
        <v>4</v>
      </c>
      <c r="E15" s="199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7"/>
    </row>
    <row r="16" spans="1:15" x14ac:dyDescent="0.25">
      <c r="A16" s="185">
        <v>70</v>
      </c>
      <c r="B16" s="201" t="s">
        <v>270</v>
      </c>
      <c r="C16" s="179">
        <f>EN_09007!N$2</f>
        <v>0.96928532500000009</v>
      </c>
      <c r="D16" s="200">
        <f>EN_09007!N$3</f>
        <v>4</v>
      </c>
      <c r="E16" s="199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8"/>
    </row>
    <row r="17" spans="1:15" x14ac:dyDescent="0.25">
      <c r="A17" s="185">
        <v>80</v>
      </c>
      <c r="B17" s="201" t="s">
        <v>269</v>
      </c>
      <c r="C17" s="179">
        <f>EN_09008!N$2</f>
        <v>2.2021247500000003</v>
      </c>
      <c r="D17" s="200">
        <f>EN_09008!N$3</f>
        <v>1</v>
      </c>
      <c r="E17" s="199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8"/>
    </row>
    <row r="18" spans="1:15" x14ac:dyDescent="0.25">
      <c r="A18" s="185">
        <v>90</v>
      </c>
      <c r="B18" s="201" t="s">
        <v>268</v>
      </c>
      <c r="C18" s="179">
        <f>EN_09009!N$2</f>
        <v>2.2130151625000001</v>
      </c>
      <c r="D18" s="200">
        <f>EN_09009!N$3</f>
        <v>1</v>
      </c>
      <c r="E18" s="199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8"/>
    </row>
    <row r="19" spans="1:15" x14ac:dyDescent="0.25">
      <c r="A19" s="174"/>
      <c r="B19" s="41"/>
      <c r="C19" s="41"/>
      <c r="D19" s="169" t="s">
        <v>18</v>
      </c>
      <c r="E19" s="168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19</v>
      </c>
      <c r="C21" s="172" t="s">
        <v>20</v>
      </c>
      <c r="D21" s="172" t="s">
        <v>21</v>
      </c>
      <c r="E21" s="172" t="s">
        <v>22</v>
      </c>
      <c r="F21" s="172" t="s">
        <v>23</v>
      </c>
      <c r="G21" s="172" t="s">
        <v>24</v>
      </c>
      <c r="H21" s="172" t="s">
        <v>25</v>
      </c>
      <c r="I21" s="172" t="s">
        <v>26</v>
      </c>
      <c r="J21" s="172" t="s">
        <v>27</v>
      </c>
      <c r="K21" s="172" t="s">
        <v>28</v>
      </c>
      <c r="L21" s="172" t="s">
        <v>29</v>
      </c>
      <c r="M21" s="172" t="s">
        <v>17</v>
      </c>
      <c r="N21" s="172" t="s">
        <v>18</v>
      </c>
      <c r="O21" s="167"/>
    </row>
    <row r="22" spans="1:15" s="14" customFormat="1" x14ac:dyDescent="0.25">
      <c r="A22" s="185">
        <v>20</v>
      </c>
      <c r="B22" s="182" t="s">
        <v>266</v>
      </c>
      <c r="C22" s="182" t="s">
        <v>267</v>
      </c>
      <c r="D22" s="179">
        <f>0.1*(E22^2*G22)^0.5</f>
        <v>38.183766184073569</v>
      </c>
      <c r="E22" s="182">
        <v>90</v>
      </c>
      <c r="F22" s="182" t="s">
        <v>30</v>
      </c>
      <c r="G22" s="182">
        <v>18</v>
      </c>
      <c r="H22" s="192" t="s">
        <v>30</v>
      </c>
      <c r="I22" s="197"/>
      <c r="J22" s="193"/>
      <c r="K22" s="192"/>
      <c r="L22" s="192"/>
      <c r="M22" s="190">
        <v>1</v>
      </c>
      <c r="N22" s="189">
        <f>IF(J22="",D22*M22,D22*J22*K22*L22*M22)</f>
        <v>38.183766184073569</v>
      </c>
      <c r="O22" s="196"/>
    </row>
    <row r="23" spans="1:15" x14ac:dyDescent="0.25">
      <c r="A23" s="185">
        <v>10</v>
      </c>
      <c r="B23" s="182" t="s">
        <v>266</v>
      </c>
      <c r="C23" s="182" t="s">
        <v>265</v>
      </c>
      <c r="D23" s="179">
        <f>0.1*(E23^2*G23)^0.5</f>
        <v>32</v>
      </c>
      <c r="E23" s="182">
        <v>80</v>
      </c>
      <c r="F23" s="182" t="s">
        <v>30</v>
      </c>
      <c r="G23" s="182">
        <v>16</v>
      </c>
      <c r="H23" s="192" t="s">
        <v>30</v>
      </c>
      <c r="I23" s="197"/>
      <c r="J23" s="193"/>
      <c r="K23" s="192"/>
      <c r="L23" s="192"/>
      <c r="M23" s="190">
        <v>1</v>
      </c>
      <c r="N23" s="189">
        <f>IF(J23="",D23*M23,D23*J23*K23*L23*M23)</f>
        <v>32</v>
      </c>
      <c r="O23" s="167"/>
    </row>
    <row r="24" spans="1:15" s="14" customFormat="1" x14ac:dyDescent="0.25">
      <c r="A24" s="185">
        <v>30</v>
      </c>
      <c r="B24" s="182" t="s">
        <v>264</v>
      </c>
      <c r="C24" s="181" t="s">
        <v>263</v>
      </c>
      <c r="D24" s="179">
        <v>10</v>
      </c>
      <c r="E24" s="182">
        <f>0.002*4+0.002*4+0.004*2</f>
        <v>2.4E-2</v>
      </c>
      <c r="F24" s="182" t="s">
        <v>89</v>
      </c>
      <c r="G24" s="182"/>
      <c r="H24" s="192"/>
      <c r="I24" s="197"/>
      <c r="J24" s="193"/>
      <c r="K24" s="192"/>
      <c r="L24" s="192"/>
      <c r="M24" s="190">
        <v>1</v>
      </c>
      <c r="N24" s="189">
        <f>IF(J24="",D24*M24*E24,D24*J24*K24*L24*M24)</f>
        <v>0.24</v>
      </c>
      <c r="O24" s="196"/>
    </row>
    <row r="25" spans="1:15" s="14" customFormat="1" x14ac:dyDescent="0.25">
      <c r="A25" s="185">
        <v>40</v>
      </c>
      <c r="B25" s="182" t="s">
        <v>262</v>
      </c>
      <c r="C25" s="182" t="s">
        <v>261</v>
      </c>
      <c r="D25" s="179">
        <v>0.75</v>
      </c>
      <c r="E25" s="182">
        <v>0.06</v>
      </c>
      <c r="F25" s="182" t="s">
        <v>260</v>
      </c>
      <c r="G25" s="182"/>
      <c r="H25" s="192"/>
      <c r="I25" s="194"/>
      <c r="J25" s="193"/>
      <c r="K25" s="192"/>
      <c r="L25" s="191"/>
      <c r="M25" s="190">
        <v>1</v>
      </c>
      <c r="N25" s="189">
        <f>IF(J25="",D25*M25*E25,D25*J25*K25*L25*M25)</f>
        <v>4.4999999999999998E-2</v>
      </c>
      <c r="O25" s="196"/>
    </row>
    <row r="26" spans="1:15" ht="30" x14ac:dyDescent="0.25">
      <c r="A26" s="185">
        <v>50</v>
      </c>
      <c r="B26" s="195" t="s">
        <v>259</v>
      </c>
      <c r="C26" s="182"/>
      <c r="D26" s="179">
        <v>110</v>
      </c>
      <c r="E26" s="182">
        <v>1</v>
      </c>
      <c r="F26" s="182" t="s">
        <v>35</v>
      </c>
      <c r="G26" s="182"/>
      <c r="H26" s="192"/>
      <c r="I26" s="194"/>
      <c r="J26" s="193"/>
      <c r="K26" s="192"/>
      <c r="L26" s="191"/>
      <c r="M26" s="190">
        <v>1</v>
      </c>
      <c r="N26" s="189">
        <f>IF(J26="",D26*M26,D26*J26*K26*L26*M26)</f>
        <v>110</v>
      </c>
      <c r="O26" s="167"/>
    </row>
    <row r="27" spans="1:15" x14ac:dyDescent="0.25">
      <c r="A27" s="17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2" t="s">
        <v>18</v>
      </c>
      <c r="N27" s="175">
        <f>SUM(N22:N26)</f>
        <v>180.46876618407356</v>
      </c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s="16" customFormat="1" x14ac:dyDescent="0.25">
      <c r="A29" s="173" t="s">
        <v>14</v>
      </c>
      <c r="B29" s="172" t="s">
        <v>31</v>
      </c>
      <c r="C29" s="172" t="s">
        <v>20</v>
      </c>
      <c r="D29" s="172" t="s">
        <v>21</v>
      </c>
      <c r="E29" s="172" t="s">
        <v>32</v>
      </c>
      <c r="F29" s="172" t="s">
        <v>17</v>
      </c>
      <c r="G29" s="172" t="s">
        <v>33</v>
      </c>
      <c r="H29" s="172" t="s">
        <v>34</v>
      </c>
      <c r="I29" s="172" t="s">
        <v>18</v>
      </c>
      <c r="J29" s="15"/>
      <c r="K29" s="15"/>
      <c r="L29" s="15"/>
      <c r="M29" s="15"/>
      <c r="N29" s="15"/>
      <c r="O29" s="188"/>
    </row>
    <row r="30" spans="1:15" s="16" customFormat="1" x14ac:dyDescent="0.25">
      <c r="A30" s="185">
        <v>10</v>
      </c>
      <c r="B30" s="181" t="s">
        <v>72</v>
      </c>
      <c r="C30" s="181" t="s">
        <v>236</v>
      </c>
      <c r="D30" s="179">
        <v>0.15</v>
      </c>
      <c r="E30" s="182" t="s">
        <v>46</v>
      </c>
      <c r="F30" s="182">
        <v>56.54</v>
      </c>
      <c r="G30" s="182"/>
      <c r="H30" s="182">
        <v>1</v>
      </c>
      <c r="I30" s="179">
        <f t="shared" ref="I30:I43" si="1">D30*F30*H30</f>
        <v>8.4809999999999999</v>
      </c>
      <c r="J30" s="177"/>
      <c r="K30" s="177"/>
      <c r="L30" s="177"/>
      <c r="M30" s="42"/>
      <c r="N30" s="42"/>
      <c r="O30" s="188"/>
    </row>
    <row r="31" spans="1:15" s="12" customFormat="1" x14ac:dyDescent="0.25">
      <c r="A31" s="185">
        <v>20</v>
      </c>
      <c r="B31" s="181" t="s">
        <v>258</v>
      </c>
      <c r="C31" s="181" t="s">
        <v>257</v>
      </c>
      <c r="D31" s="179">
        <v>5.25</v>
      </c>
      <c r="E31" s="182" t="s">
        <v>89</v>
      </c>
      <c r="F31" s="182">
        <f>0.002*4+0.002*4+0.004*2</f>
        <v>2.4E-2</v>
      </c>
      <c r="G31" s="182"/>
      <c r="H31" s="182">
        <v>1</v>
      </c>
      <c r="I31" s="179">
        <f t="shared" si="1"/>
        <v>0.126</v>
      </c>
      <c r="J31" s="177"/>
      <c r="K31" s="177"/>
      <c r="L31" s="177"/>
      <c r="M31" s="42"/>
      <c r="N31" s="42"/>
      <c r="O31" s="186"/>
    </row>
    <row r="32" spans="1:15" x14ac:dyDescent="0.25">
      <c r="A32" s="185">
        <v>30</v>
      </c>
      <c r="B32" s="187" t="s">
        <v>256</v>
      </c>
      <c r="C32" s="181" t="s">
        <v>255</v>
      </c>
      <c r="D32" s="179">
        <v>0.56000000000000005</v>
      </c>
      <c r="E32" s="182" t="s">
        <v>35</v>
      </c>
      <c r="F32" s="182">
        <v>2</v>
      </c>
      <c r="G32" s="182"/>
      <c r="H32" s="182">
        <v>1</v>
      </c>
      <c r="I32" s="179">
        <f t="shared" si="1"/>
        <v>1.1200000000000001</v>
      </c>
      <c r="J32" s="177"/>
      <c r="K32" s="177"/>
      <c r="L32" s="177"/>
      <c r="M32" s="41"/>
      <c r="N32" s="41"/>
      <c r="O32" s="167"/>
    </row>
    <row r="33" spans="1:15" x14ac:dyDescent="0.25">
      <c r="A33" s="185">
        <v>40</v>
      </c>
      <c r="B33" s="187" t="s">
        <v>252</v>
      </c>
      <c r="C33" s="181" t="s">
        <v>254</v>
      </c>
      <c r="D33" s="179">
        <v>0.19</v>
      </c>
      <c r="E33" s="182" t="s">
        <v>35</v>
      </c>
      <c r="F33" s="182">
        <v>1</v>
      </c>
      <c r="G33" s="182"/>
      <c r="H33" s="182">
        <v>1</v>
      </c>
      <c r="I33" s="179">
        <f t="shared" si="1"/>
        <v>0.19</v>
      </c>
      <c r="J33" s="177"/>
      <c r="K33" s="177"/>
      <c r="L33" s="177"/>
      <c r="M33" s="41"/>
      <c r="N33" s="41"/>
      <c r="O33" s="167"/>
    </row>
    <row r="34" spans="1:15" x14ac:dyDescent="0.25">
      <c r="A34" s="185">
        <v>50</v>
      </c>
      <c r="B34" s="181" t="s">
        <v>252</v>
      </c>
      <c r="C34" s="181" t="s">
        <v>253</v>
      </c>
      <c r="D34" s="179">
        <v>0.19</v>
      </c>
      <c r="E34" s="182" t="s">
        <v>35</v>
      </c>
      <c r="F34" s="182">
        <v>1</v>
      </c>
      <c r="G34" s="182"/>
      <c r="H34" s="182">
        <v>1</v>
      </c>
      <c r="I34" s="179">
        <f t="shared" si="1"/>
        <v>0.19</v>
      </c>
      <c r="J34" s="177"/>
      <c r="K34" s="177"/>
      <c r="L34" s="177"/>
      <c r="M34" s="41"/>
      <c r="N34" s="41"/>
      <c r="O34" s="167"/>
    </row>
    <row r="35" spans="1:15" x14ac:dyDescent="0.25">
      <c r="A35" s="185">
        <v>60</v>
      </c>
      <c r="B35" s="181" t="s">
        <v>252</v>
      </c>
      <c r="C35" s="181" t="s">
        <v>251</v>
      </c>
      <c r="D35" s="179">
        <v>0.19</v>
      </c>
      <c r="E35" s="182" t="s">
        <v>35</v>
      </c>
      <c r="F35" s="182">
        <v>2</v>
      </c>
      <c r="G35" s="182"/>
      <c r="H35" s="182">
        <v>1</v>
      </c>
      <c r="I35" s="179">
        <f t="shared" si="1"/>
        <v>0.38</v>
      </c>
      <c r="J35" s="177"/>
      <c r="K35" s="177"/>
      <c r="L35" s="177"/>
      <c r="M35" s="41"/>
      <c r="N35" s="41"/>
      <c r="O35" s="167"/>
    </row>
    <row r="36" spans="1:15" x14ac:dyDescent="0.25">
      <c r="A36" s="185">
        <v>70</v>
      </c>
      <c r="B36" s="181" t="s">
        <v>250</v>
      </c>
      <c r="C36" s="181" t="s">
        <v>249</v>
      </c>
      <c r="D36" s="179">
        <v>0.5</v>
      </c>
      <c r="E36" s="182" t="s">
        <v>35</v>
      </c>
      <c r="F36" s="182">
        <v>4</v>
      </c>
      <c r="G36" s="182"/>
      <c r="H36" s="182">
        <v>1</v>
      </c>
      <c r="I36" s="179">
        <f t="shared" si="1"/>
        <v>2</v>
      </c>
      <c r="J36" s="177"/>
      <c r="K36" s="177"/>
      <c r="L36" s="177"/>
      <c r="M36" s="41"/>
      <c r="N36" s="41"/>
      <c r="O36" s="167"/>
    </row>
    <row r="37" spans="1:15" x14ac:dyDescent="0.25">
      <c r="A37" s="185">
        <v>80</v>
      </c>
      <c r="B37" s="181" t="s">
        <v>180</v>
      </c>
      <c r="C37" s="181" t="s">
        <v>249</v>
      </c>
      <c r="D37" s="179">
        <v>0.25</v>
      </c>
      <c r="E37" s="182" t="s">
        <v>35</v>
      </c>
      <c r="F37" s="182">
        <v>4</v>
      </c>
      <c r="G37" s="182"/>
      <c r="H37" s="182">
        <v>1</v>
      </c>
      <c r="I37" s="179">
        <f t="shared" si="1"/>
        <v>1</v>
      </c>
      <c r="J37" s="177"/>
      <c r="K37" s="177"/>
      <c r="L37" s="177"/>
      <c r="M37" s="41"/>
      <c r="N37" s="41"/>
      <c r="O37" s="167"/>
    </row>
    <row r="38" spans="1:15" x14ac:dyDescent="0.25">
      <c r="A38" s="185">
        <v>90</v>
      </c>
      <c r="B38" s="181" t="s">
        <v>77</v>
      </c>
      <c r="C38" s="181" t="s">
        <v>248</v>
      </c>
      <c r="D38" s="179">
        <v>0.38</v>
      </c>
      <c r="E38" s="182" t="s">
        <v>35</v>
      </c>
      <c r="F38" s="182">
        <v>2</v>
      </c>
      <c r="G38" s="182"/>
      <c r="H38" s="182">
        <v>1</v>
      </c>
      <c r="I38" s="179">
        <f t="shared" si="1"/>
        <v>0.76</v>
      </c>
      <c r="J38" s="177"/>
      <c r="K38" s="178"/>
      <c r="L38" s="178"/>
      <c r="M38" s="43"/>
      <c r="N38" s="43"/>
      <c r="O38" s="167"/>
    </row>
    <row r="39" spans="1:15" x14ac:dyDescent="0.25">
      <c r="A39" s="185">
        <v>100</v>
      </c>
      <c r="B39" s="181" t="s">
        <v>172</v>
      </c>
      <c r="C39" s="181" t="s">
        <v>247</v>
      </c>
      <c r="D39" s="179">
        <v>0.06</v>
      </c>
      <c r="E39" s="182" t="s">
        <v>35</v>
      </c>
      <c r="F39" s="182">
        <v>4</v>
      </c>
      <c r="G39" s="182"/>
      <c r="H39" s="182">
        <v>1</v>
      </c>
      <c r="I39" s="179">
        <f t="shared" si="1"/>
        <v>0.24</v>
      </c>
      <c r="J39" s="177"/>
      <c r="K39" s="177"/>
      <c r="L39" s="177"/>
      <c r="M39" s="43"/>
      <c r="N39" s="43"/>
      <c r="O39" s="167"/>
    </row>
    <row r="40" spans="1:15" s="12" customFormat="1" x14ac:dyDescent="0.25">
      <c r="A40" s="185">
        <v>110</v>
      </c>
      <c r="B40" s="181" t="s">
        <v>74</v>
      </c>
      <c r="C40" s="181" t="s">
        <v>246</v>
      </c>
      <c r="D40" s="179">
        <v>0.75</v>
      </c>
      <c r="E40" s="182" t="s">
        <v>35</v>
      </c>
      <c r="F40" s="182">
        <v>2</v>
      </c>
      <c r="G40" s="182"/>
      <c r="H40" s="182">
        <v>1</v>
      </c>
      <c r="I40" s="179">
        <f t="shared" si="1"/>
        <v>1.5</v>
      </c>
      <c r="J40" s="177"/>
      <c r="K40" s="177"/>
      <c r="L40" s="178"/>
      <c r="M40" s="42"/>
      <c r="N40" s="42"/>
      <c r="O40" s="186"/>
    </row>
    <row r="41" spans="1:15" x14ac:dyDescent="0.25">
      <c r="A41" s="185">
        <v>120</v>
      </c>
      <c r="B41" s="181" t="s">
        <v>245</v>
      </c>
      <c r="C41" s="181" t="s">
        <v>246</v>
      </c>
      <c r="D41" s="179">
        <v>0.25</v>
      </c>
      <c r="E41" s="182" t="s">
        <v>35</v>
      </c>
      <c r="F41" s="182">
        <v>2</v>
      </c>
      <c r="G41" s="182"/>
      <c r="H41" s="182">
        <v>1</v>
      </c>
      <c r="I41" s="179">
        <f t="shared" si="1"/>
        <v>0.5</v>
      </c>
      <c r="J41" s="177"/>
      <c r="K41" s="177"/>
      <c r="L41" s="177"/>
      <c r="M41" s="43"/>
      <c r="N41" s="43"/>
      <c r="O41" s="167"/>
    </row>
    <row r="42" spans="1:15" x14ac:dyDescent="0.25">
      <c r="A42" s="185">
        <v>130</v>
      </c>
      <c r="B42" s="181" t="s">
        <v>74</v>
      </c>
      <c r="C42" s="181" t="s">
        <v>244</v>
      </c>
      <c r="D42" s="179">
        <v>0.75</v>
      </c>
      <c r="E42" s="182" t="s">
        <v>35</v>
      </c>
      <c r="F42" s="182">
        <v>2</v>
      </c>
      <c r="G42" s="182"/>
      <c r="H42" s="182">
        <v>1</v>
      </c>
      <c r="I42" s="179">
        <f t="shared" si="1"/>
        <v>1.5</v>
      </c>
      <c r="J42" s="177"/>
      <c r="K42" s="177"/>
      <c r="L42" s="177"/>
      <c r="M42" s="41"/>
      <c r="N42" s="41"/>
      <c r="O42" s="167"/>
    </row>
    <row r="43" spans="1:15" x14ac:dyDescent="0.25">
      <c r="A43" s="185">
        <v>140</v>
      </c>
      <c r="B43" s="181" t="s">
        <v>245</v>
      </c>
      <c r="C43" s="181" t="s">
        <v>244</v>
      </c>
      <c r="D43" s="179">
        <v>0.25</v>
      </c>
      <c r="E43" s="182" t="s">
        <v>35</v>
      </c>
      <c r="F43" s="182">
        <v>2</v>
      </c>
      <c r="G43" s="182"/>
      <c r="H43" s="182">
        <v>1</v>
      </c>
      <c r="I43" s="179">
        <f t="shared" si="1"/>
        <v>0.5</v>
      </c>
      <c r="J43" s="177"/>
      <c r="K43" s="177"/>
      <c r="L43" s="177"/>
      <c r="M43" s="41"/>
      <c r="N43" s="41"/>
      <c r="O43" s="167"/>
    </row>
    <row r="44" spans="1:15" x14ac:dyDescent="0.25">
      <c r="A44" s="170"/>
      <c r="B44" s="15"/>
      <c r="C44" s="15"/>
      <c r="D44" s="15"/>
      <c r="E44" s="15"/>
      <c r="F44" s="15"/>
      <c r="G44" s="15"/>
      <c r="H44" s="176" t="s">
        <v>18</v>
      </c>
      <c r="I44" s="175">
        <f>SUM(I30:I43)</f>
        <v>18.487000000000002</v>
      </c>
      <c r="J44" s="41"/>
      <c r="K44" s="41"/>
      <c r="L44" s="41"/>
      <c r="M44" s="41"/>
      <c r="N44" s="41"/>
      <c r="O44" s="167"/>
    </row>
    <row r="45" spans="1:15" x14ac:dyDescent="0.25">
      <c r="A45" s="174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7"/>
    </row>
    <row r="46" spans="1:15" x14ac:dyDescent="0.25">
      <c r="A46" s="173" t="s">
        <v>14</v>
      </c>
      <c r="B46" s="172" t="s">
        <v>36</v>
      </c>
      <c r="C46" s="172" t="s">
        <v>20</v>
      </c>
      <c r="D46" s="172" t="s">
        <v>21</v>
      </c>
      <c r="E46" s="172" t="s">
        <v>22</v>
      </c>
      <c r="F46" s="172" t="s">
        <v>23</v>
      </c>
      <c r="G46" s="172" t="s">
        <v>24</v>
      </c>
      <c r="H46" s="172" t="s">
        <v>25</v>
      </c>
      <c r="I46" s="172" t="s">
        <v>17</v>
      </c>
      <c r="J46" s="172" t="s">
        <v>18</v>
      </c>
      <c r="K46" s="41"/>
      <c r="L46" s="41"/>
      <c r="M46" s="41"/>
      <c r="N46" s="41"/>
      <c r="O46" s="167"/>
    </row>
    <row r="47" spans="1:15" x14ac:dyDescent="0.25">
      <c r="A47" s="185">
        <v>10</v>
      </c>
      <c r="B47" s="182" t="s">
        <v>239</v>
      </c>
      <c r="C47" s="182" t="s">
        <v>243</v>
      </c>
      <c r="D47" s="184">
        <f>0.8/105154*E47*E47*G47*SQRT(G47)+(0.003*EXP(0.319*E47))</f>
        <v>0.5252420080501925</v>
      </c>
      <c r="E47" s="182">
        <v>12</v>
      </c>
      <c r="F47" s="183" t="s">
        <v>30</v>
      </c>
      <c r="G47" s="182">
        <v>50</v>
      </c>
      <c r="H47" s="181" t="s">
        <v>30</v>
      </c>
      <c r="I47" s="180">
        <v>2</v>
      </c>
      <c r="J47" s="179">
        <f t="shared" ref="J47:J55" si="2">D47*I47</f>
        <v>1.050484016100385</v>
      </c>
      <c r="K47" s="177"/>
      <c r="L47" s="177"/>
      <c r="M47" s="177"/>
      <c r="N47" s="41"/>
      <c r="O47" s="167"/>
    </row>
    <row r="48" spans="1:15" x14ac:dyDescent="0.25">
      <c r="A48" s="185">
        <v>20</v>
      </c>
      <c r="B48" s="182" t="s">
        <v>238</v>
      </c>
      <c r="C48" s="182" t="s">
        <v>243</v>
      </c>
      <c r="D48" s="184">
        <f>0.009*EXP(0.2*E48)</f>
        <v>9.920858742577443E-2</v>
      </c>
      <c r="E48" s="182">
        <v>12</v>
      </c>
      <c r="F48" s="183" t="s">
        <v>30</v>
      </c>
      <c r="G48" s="182"/>
      <c r="H48" s="181"/>
      <c r="I48" s="180">
        <v>2</v>
      </c>
      <c r="J48" s="179">
        <f t="shared" si="2"/>
        <v>0.19841717485154886</v>
      </c>
      <c r="K48" s="177"/>
      <c r="L48" s="177"/>
      <c r="M48" s="177"/>
      <c r="N48" s="41"/>
      <c r="O48" s="167"/>
    </row>
    <row r="49" spans="1:15" x14ac:dyDescent="0.25">
      <c r="A49" s="185">
        <v>30</v>
      </c>
      <c r="B49" s="182" t="s">
        <v>239</v>
      </c>
      <c r="C49" s="182" t="s">
        <v>242</v>
      </c>
      <c r="D49" s="184">
        <f>0.8/105154*E49*E49*G49*SQRT(G49)+(0.003*EXP(0.319*E49))</f>
        <v>0.11850487334396681</v>
      </c>
      <c r="E49" s="182">
        <v>8</v>
      </c>
      <c r="F49" s="183" t="s">
        <v>30</v>
      </c>
      <c r="G49" s="182">
        <v>30</v>
      </c>
      <c r="H49" s="181" t="s">
        <v>30</v>
      </c>
      <c r="I49" s="180">
        <v>2</v>
      </c>
      <c r="J49" s="179">
        <f t="shared" si="2"/>
        <v>0.23700974668793362</v>
      </c>
      <c r="K49" s="177"/>
      <c r="L49" s="178"/>
      <c r="M49" s="178"/>
      <c r="N49" s="41"/>
      <c r="O49" s="167"/>
    </row>
    <row r="50" spans="1:15" x14ac:dyDescent="0.25">
      <c r="A50" s="185">
        <v>40</v>
      </c>
      <c r="B50" s="182" t="s">
        <v>238</v>
      </c>
      <c r="C50" s="182" t="s">
        <v>242</v>
      </c>
      <c r="D50" s="184">
        <f>0.009*EXP(0.2*E50)</f>
        <v>4.4577291819556032E-2</v>
      </c>
      <c r="E50" s="182">
        <v>8</v>
      </c>
      <c r="F50" s="183" t="s">
        <v>30</v>
      </c>
      <c r="G50" s="182"/>
      <c r="H50" s="181"/>
      <c r="I50" s="180">
        <v>2</v>
      </c>
      <c r="J50" s="179">
        <f t="shared" si="2"/>
        <v>8.9154583639112064E-2</v>
      </c>
      <c r="K50" s="177"/>
      <c r="L50" s="177"/>
      <c r="M50" s="177"/>
      <c r="N50" s="41"/>
      <c r="O50" s="167"/>
    </row>
    <row r="51" spans="1:15" x14ac:dyDescent="0.25">
      <c r="A51" s="185">
        <v>50</v>
      </c>
      <c r="B51" s="182" t="s">
        <v>93</v>
      </c>
      <c r="C51" s="182" t="s">
        <v>241</v>
      </c>
      <c r="D51" s="184">
        <v>0.01</v>
      </c>
      <c r="E51" s="182"/>
      <c r="F51" s="183" t="s">
        <v>35</v>
      </c>
      <c r="G51" s="182"/>
      <c r="H51" s="181"/>
      <c r="I51" s="180">
        <v>4</v>
      </c>
      <c r="J51" s="179">
        <f t="shared" si="2"/>
        <v>0.04</v>
      </c>
      <c r="K51" s="177"/>
      <c r="L51" s="177"/>
      <c r="M51" s="177"/>
      <c r="N51" s="41"/>
      <c r="O51" s="167"/>
    </row>
    <row r="52" spans="1:15" x14ac:dyDescent="0.25">
      <c r="A52" s="185">
        <v>60</v>
      </c>
      <c r="B52" s="182" t="s">
        <v>239</v>
      </c>
      <c r="C52" s="182" t="s">
        <v>240</v>
      </c>
      <c r="D52" s="184">
        <f>0.8/105154*E52*E52*G52*SQRT(G52)+(0.003*EXP(0.319*E52))</f>
        <v>0.11850487334396681</v>
      </c>
      <c r="E52" s="182">
        <v>8</v>
      </c>
      <c r="F52" s="183" t="s">
        <v>30</v>
      </c>
      <c r="G52" s="182">
        <v>30</v>
      </c>
      <c r="H52" s="181" t="s">
        <v>30</v>
      </c>
      <c r="I52" s="180">
        <v>2</v>
      </c>
      <c r="J52" s="179">
        <f t="shared" si="2"/>
        <v>0.23700974668793362</v>
      </c>
      <c r="K52" s="177"/>
      <c r="L52" s="177"/>
      <c r="M52" s="177"/>
      <c r="N52" s="41"/>
      <c r="O52" s="167"/>
    </row>
    <row r="53" spans="1:15" x14ac:dyDescent="0.25">
      <c r="A53" s="185">
        <v>70</v>
      </c>
      <c r="B53" s="182" t="s">
        <v>238</v>
      </c>
      <c r="C53" s="182" t="s">
        <v>240</v>
      </c>
      <c r="D53" s="184">
        <f>0.009*EXP(0.2*E53)</f>
        <v>4.4577291819556032E-2</v>
      </c>
      <c r="E53" s="182">
        <v>8</v>
      </c>
      <c r="F53" s="183" t="s">
        <v>30</v>
      </c>
      <c r="G53" s="182"/>
      <c r="H53" s="181"/>
      <c r="I53" s="180">
        <v>2</v>
      </c>
      <c r="J53" s="179">
        <f t="shared" si="2"/>
        <v>8.9154583639112064E-2</v>
      </c>
      <c r="K53" s="177"/>
      <c r="L53" s="177"/>
      <c r="M53" s="177"/>
      <c r="N53" s="41"/>
      <c r="O53" s="167"/>
    </row>
    <row r="54" spans="1:15" x14ac:dyDescent="0.25">
      <c r="A54" s="185">
        <v>80</v>
      </c>
      <c r="B54" s="182" t="s">
        <v>239</v>
      </c>
      <c r="C54" s="182" t="s">
        <v>237</v>
      </c>
      <c r="D54" s="184">
        <f>0.8/105154*E54*E54*G54*SQRT(G54)+(0.003*EXP(0.319*E54))</f>
        <v>0.11850487334396681</v>
      </c>
      <c r="E54" s="182">
        <v>8</v>
      </c>
      <c r="F54" s="183" t="s">
        <v>30</v>
      </c>
      <c r="G54" s="182">
        <v>30</v>
      </c>
      <c r="H54" s="181" t="s">
        <v>30</v>
      </c>
      <c r="I54" s="180">
        <v>2</v>
      </c>
      <c r="J54" s="179">
        <f t="shared" si="2"/>
        <v>0.23700974668793362</v>
      </c>
      <c r="K54" s="177"/>
      <c r="L54" s="177"/>
      <c r="M54" s="177"/>
      <c r="N54" s="41"/>
      <c r="O54" s="167"/>
    </row>
    <row r="55" spans="1:15" x14ac:dyDescent="0.25">
      <c r="A55" s="185">
        <v>90</v>
      </c>
      <c r="B55" s="182" t="s">
        <v>238</v>
      </c>
      <c r="C55" s="182" t="s">
        <v>237</v>
      </c>
      <c r="D55" s="184">
        <f>0.009*EXP(0.2*E55)</f>
        <v>4.4577291819556032E-2</v>
      </c>
      <c r="E55" s="182">
        <v>8</v>
      </c>
      <c r="F55" s="183" t="s">
        <v>30</v>
      </c>
      <c r="G55" s="182"/>
      <c r="H55" s="181"/>
      <c r="I55" s="180">
        <v>2</v>
      </c>
      <c r="J55" s="179">
        <f t="shared" si="2"/>
        <v>8.9154583639112064E-2</v>
      </c>
      <c r="K55" s="178"/>
      <c r="L55" s="177"/>
      <c r="M55" s="177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SUM(J47:J55)</f>
        <v>2.2673941819330707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172" t="s">
        <v>41</v>
      </c>
      <c r="I58" s="172" t="s">
        <v>18</v>
      </c>
      <c r="J58" s="15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15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!A1" display="Housing"/>
    <hyperlink ref="B11" location="EN_0900_002!A1" display="Left Eccentric"/>
    <hyperlink ref="B12" location="EN_0900_003!A1" display="Right Eccentric"/>
    <hyperlink ref="B13" location="EN_0900_004!A1" display="Left Eccentric Carrier"/>
    <hyperlink ref="B14" location="EN_0900_005!A1" display="Right Eccentric Carrier"/>
    <hyperlink ref="B15" location="EN_0900_006!A1" display="Upper Eccentric Carrier bracket"/>
    <hyperlink ref="B16" location="EN_0900_007!A1" display="Lower Eccentric Carrier bracket"/>
    <hyperlink ref="B17" location="EN_0900_008!A1" display="Left Jacking Bar bracket"/>
    <hyperlink ref="B18" location="EN_0900_009!A1" display="Right Jacking Bar bracket"/>
    <hyperlink ref="E2" location="EN_A09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40"/>
  <sheetViews>
    <sheetView zoomScale="70" zoomScaleNormal="70" workbookViewId="0">
      <selection activeCell="B7" sqref="B7"/>
    </sheetView>
  </sheetViews>
  <sheetFormatPr baseColWidth="10" defaultColWidth="9.140625" defaultRowHeight="15" x14ac:dyDescent="0.25"/>
  <cols>
    <col min="2" max="2" width="35.28515625" customWidth="1"/>
    <col min="3" max="3" width="26.5703125" customWidth="1"/>
    <col min="7" max="7" width="19.42578125" customWidth="1"/>
    <col min="8" max="8" width="7.5703125" customWidth="1"/>
    <col min="9" max="9" width="20" bestFit="1" customWidth="1"/>
    <col min="10" max="10" width="11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227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25">
      <c r="A3" s="100" t="s">
        <v>3</v>
      </c>
      <c r="B3" s="227" t="s">
        <v>279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9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77" t="s">
        <v>276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25">
      <c r="A6" s="100" t="s">
        <v>7</v>
      </c>
      <c r="B6" s="228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227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47"/>
    </row>
    <row r="11" spans="1:15" s="14" customFormat="1" x14ac:dyDescent="0.25">
      <c r="A11" s="218">
        <v>10</v>
      </c>
      <c r="B11" s="216" t="s">
        <v>300</v>
      </c>
      <c r="C11" s="216"/>
      <c r="D11" s="217">
        <v>4.2</v>
      </c>
      <c r="E11" s="226">
        <f>J11*K11*L11</f>
        <v>1.905804558171124</v>
      </c>
      <c r="F11" s="216" t="s">
        <v>78</v>
      </c>
      <c r="G11" s="216"/>
      <c r="H11" s="224"/>
      <c r="I11" s="225" t="s">
        <v>299</v>
      </c>
      <c r="J11" s="225">
        <f>PI()*51*51/1000000</f>
        <v>8.171282491987052E-3</v>
      </c>
      <c r="K11" s="221">
        <v>8.5999999999999993E-2</v>
      </c>
      <c r="L11" s="220">
        <v>2712</v>
      </c>
      <c r="M11" s="220">
        <v>1</v>
      </c>
      <c r="N11" s="217">
        <f>D11*J11*K11*L11*M11</f>
        <v>8.0043791443187207</v>
      </c>
      <c r="O11" s="51"/>
    </row>
    <row r="12" spans="1:15" s="14" customFormat="1" x14ac:dyDescent="0.25">
      <c r="A12" s="218">
        <v>20</v>
      </c>
      <c r="B12" s="216" t="s">
        <v>300</v>
      </c>
      <c r="C12" s="216"/>
      <c r="D12" s="217">
        <v>4.2</v>
      </c>
      <c r="E12" s="226">
        <f>J12*K12*L12</f>
        <v>1.3961126414509397</v>
      </c>
      <c r="F12" s="216" t="s">
        <v>78</v>
      </c>
      <c r="G12" s="216"/>
      <c r="H12" s="224"/>
      <c r="I12" s="225" t="s">
        <v>299</v>
      </c>
      <c r="J12" s="225">
        <f>PI()*51*51/1000000</f>
        <v>8.171282491987052E-3</v>
      </c>
      <c r="K12" s="221">
        <v>6.3E-2</v>
      </c>
      <c r="L12" s="220">
        <v>2712</v>
      </c>
      <c r="M12" s="220">
        <v>1</v>
      </c>
      <c r="N12" s="217">
        <f>D12*J12*K12*L12*M12</f>
        <v>5.8636730940939472</v>
      </c>
      <c r="O12" s="51"/>
    </row>
    <row r="13" spans="1:15" s="14" customFormat="1" x14ac:dyDescent="0.25">
      <c r="A13" s="218">
        <v>30</v>
      </c>
      <c r="B13" s="216" t="s">
        <v>300</v>
      </c>
      <c r="C13" s="216"/>
      <c r="D13" s="217">
        <v>4.2</v>
      </c>
      <c r="E13" s="226">
        <f>J13*K13*L13</f>
        <v>1.7728414494615108</v>
      </c>
      <c r="F13" s="216" t="s">
        <v>78</v>
      </c>
      <c r="G13" s="216"/>
      <c r="H13" s="224"/>
      <c r="I13" s="223" t="s">
        <v>299</v>
      </c>
      <c r="J13" s="225">
        <f>PI()*51*51/1000000</f>
        <v>8.171282491987052E-3</v>
      </c>
      <c r="K13" s="221">
        <v>0.08</v>
      </c>
      <c r="L13" s="220">
        <v>2712</v>
      </c>
      <c r="M13" s="220">
        <v>1</v>
      </c>
      <c r="N13" s="217">
        <f>D13*J13*K13*L13*M13</f>
        <v>7.4459340877383466</v>
      </c>
      <c r="O13" s="51"/>
    </row>
    <row r="14" spans="1:15" s="14" customFormat="1" x14ac:dyDescent="0.25">
      <c r="A14" s="218">
        <v>40</v>
      </c>
      <c r="B14" s="216" t="s">
        <v>298</v>
      </c>
      <c r="C14" s="216"/>
      <c r="D14" s="217">
        <v>0.05</v>
      </c>
      <c r="E14" s="216"/>
      <c r="F14" s="216" t="s">
        <v>35</v>
      </c>
      <c r="G14" s="216"/>
      <c r="H14" s="224"/>
      <c r="I14" s="223"/>
      <c r="J14" s="222"/>
      <c r="K14" s="221"/>
      <c r="L14" s="220"/>
      <c r="M14" s="220">
        <v>2</v>
      </c>
      <c r="N14" s="217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9" t="s">
        <v>18</v>
      </c>
      <c r="N15" s="103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14" t="s">
        <v>14</v>
      </c>
      <c r="B17" s="213" t="s">
        <v>31</v>
      </c>
      <c r="C17" s="213" t="s">
        <v>20</v>
      </c>
      <c r="D17" s="213" t="s">
        <v>21</v>
      </c>
      <c r="E17" s="213" t="s">
        <v>32</v>
      </c>
      <c r="F17" s="213" t="s">
        <v>17</v>
      </c>
      <c r="G17" s="213" t="s">
        <v>33</v>
      </c>
      <c r="H17" s="213" t="s">
        <v>34</v>
      </c>
      <c r="I17" s="213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18">
        <v>10</v>
      </c>
      <c r="B18" s="210" t="s">
        <v>45</v>
      </c>
      <c r="C18" s="216" t="s">
        <v>291</v>
      </c>
      <c r="D18" s="217">
        <v>1.3</v>
      </c>
      <c r="E18" s="216" t="s">
        <v>35</v>
      </c>
      <c r="F18" s="216">
        <v>1</v>
      </c>
      <c r="G18" s="216"/>
      <c r="H18" s="216">
        <v>1</v>
      </c>
      <c r="I18" s="215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18">
        <v>20</v>
      </c>
      <c r="B19" s="210" t="s">
        <v>79</v>
      </c>
      <c r="C19" s="216" t="s">
        <v>79</v>
      </c>
      <c r="D19" s="217">
        <v>0.04</v>
      </c>
      <c r="E19" s="216" t="s">
        <v>81</v>
      </c>
      <c r="F19" s="216">
        <v>623</v>
      </c>
      <c r="G19" s="216" t="s">
        <v>290</v>
      </c>
      <c r="H19" s="216">
        <v>1</v>
      </c>
      <c r="I19" s="215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18">
        <v>30</v>
      </c>
      <c r="B20" s="210" t="s">
        <v>296</v>
      </c>
      <c r="C20" s="216" t="s">
        <v>297</v>
      </c>
      <c r="D20" s="217">
        <v>0.35</v>
      </c>
      <c r="E20" s="216" t="s">
        <v>217</v>
      </c>
      <c r="F20" s="216">
        <v>24</v>
      </c>
      <c r="G20" s="216"/>
      <c r="H20" s="216">
        <v>1</v>
      </c>
      <c r="I20" s="215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18">
        <v>40</v>
      </c>
      <c r="B21" s="210" t="s">
        <v>296</v>
      </c>
      <c r="C21" s="216" t="s">
        <v>295</v>
      </c>
      <c r="D21" s="217">
        <v>0.35</v>
      </c>
      <c r="E21" s="216" t="s">
        <v>217</v>
      </c>
      <c r="F21" s="216">
        <v>3</v>
      </c>
      <c r="G21" s="216"/>
      <c r="H21" s="216">
        <v>1</v>
      </c>
      <c r="I21" s="215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18">
        <v>50</v>
      </c>
      <c r="B22" s="210" t="s">
        <v>45</v>
      </c>
      <c r="C22" s="216" t="s">
        <v>291</v>
      </c>
      <c r="D22" s="217">
        <v>1.3</v>
      </c>
      <c r="E22" s="216" t="s">
        <v>35</v>
      </c>
      <c r="F22" s="216">
        <v>1</v>
      </c>
      <c r="G22" s="216"/>
      <c r="H22" s="216">
        <v>1</v>
      </c>
      <c r="I22" s="215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18">
        <v>60</v>
      </c>
      <c r="B23" s="210" t="s">
        <v>79</v>
      </c>
      <c r="C23" s="216" t="s">
        <v>79</v>
      </c>
      <c r="D23" s="217">
        <v>0.04</v>
      </c>
      <c r="E23" s="216" t="s">
        <v>81</v>
      </c>
      <c r="F23" s="216">
        <v>426</v>
      </c>
      <c r="G23" s="216" t="s">
        <v>290</v>
      </c>
      <c r="H23" s="216">
        <v>1</v>
      </c>
      <c r="I23" s="215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x14ac:dyDescent="0.25">
      <c r="A24" s="218">
        <v>70</v>
      </c>
      <c r="B24" s="241" t="s">
        <v>289</v>
      </c>
      <c r="C24" s="216" t="s">
        <v>294</v>
      </c>
      <c r="D24" s="217">
        <v>0.35</v>
      </c>
      <c r="E24" s="216" t="s">
        <v>217</v>
      </c>
      <c r="F24" s="216">
        <v>12</v>
      </c>
      <c r="G24" s="216"/>
      <c r="H24" s="216">
        <v>1</v>
      </c>
      <c r="I24" s="215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x14ac:dyDescent="0.25">
      <c r="A25" s="218">
        <v>80</v>
      </c>
      <c r="B25" s="241" t="s">
        <v>293</v>
      </c>
      <c r="C25" s="216" t="s">
        <v>292</v>
      </c>
      <c r="D25" s="217">
        <v>0.5</v>
      </c>
      <c r="E25" s="216" t="s">
        <v>46</v>
      </c>
      <c r="F25" s="216">
        <v>3.5</v>
      </c>
      <c r="G25" s="216"/>
      <c r="H25" s="216">
        <v>1</v>
      </c>
      <c r="I25" s="215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18">
        <v>90</v>
      </c>
      <c r="B26" s="210" t="s">
        <v>45</v>
      </c>
      <c r="C26" s="216" t="s">
        <v>291</v>
      </c>
      <c r="D26" s="217">
        <v>1.3</v>
      </c>
      <c r="E26" s="216" t="s">
        <v>35</v>
      </c>
      <c r="F26" s="216">
        <v>1</v>
      </c>
      <c r="G26" s="216"/>
      <c r="H26" s="216">
        <v>1</v>
      </c>
      <c r="I26" s="215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18">
        <v>100</v>
      </c>
      <c r="B27" s="210" t="s">
        <v>79</v>
      </c>
      <c r="C27" s="216" t="s">
        <v>79</v>
      </c>
      <c r="D27" s="217">
        <v>0.04</v>
      </c>
      <c r="E27" s="216" t="s">
        <v>81</v>
      </c>
      <c r="F27" s="216">
        <v>538</v>
      </c>
      <c r="G27" s="216" t="s">
        <v>290</v>
      </c>
      <c r="H27" s="216">
        <v>1</v>
      </c>
      <c r="I27" s="215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x14ac:dyDescent="0.25">
      <c r="A28" s="218">
        <v>110</v>
      </c>
      <c r="B28" s="241" t="s">
        <v>289</v>
      </c>
      <c r="C28" s="216" t="s">
        <v>288</v>
      </c>
      <c r="D28" s="217">
        <v>0.35</v>
      </c>
      <c r="E28" s="216" t="s">
        <v>217</v>
      </c>
      <c r="F28" s="216">
        <v>12</v>
      </c>
      <c r="G28" s="216"/>
      <c r="H28" s="216">
        <v>1</v>
      </c>
      <c r="I28" s="215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x14ac:dyDescent="0.25">
      <c r="A29" s="218">
        <v>120</v>
      </c>
      <c r="B29" s="241" t="s">
        <v>88</v>
      </c>
      <c r="C29" s="216" t="s">
        <v>287</v>
      </c>
      <c r="D29" s="217">
        <v>0.13</v>
      </c>
      <c r="E29" s="216" t="s">
        <v>35</v>
      </c>
      <c r="F29" s="216">
        <v>2</v>
      </c>
      <c r="G29" s="216"/>
      <c r="H29" s="216">
        <v>1</v>
      </c>
      <c r="I29" s="215">
        <f t="shared" si="0"/>
        <v>0.26</v>
      </c>
      <c r="J29" s="43"/>
      <c r="K29" s="43"/>
      <c r="L29" s="43"/>
      <c r="M29" s="43"/>
      <c r="N29" s="43"/>
      <c r="O29" s="53"/>
    </row>
    <row r="30" spans="1:15" x14ac:dyDescent="0.25">
      <c r="A30" s="218">
        <v>130</v>
      </c>
      <c r="B30" s="241" t="s">
        <v>76</v>
      </c>
      <c r="C30" s="216" t="s">
        <v>287</v>
      </c>
      <c r="D30" s="217">
        <v>0.5</v>
      </c>
      <c r="E30" s="216" t="s">
        <v>35</v>
      </c>
      <c r="F30" s="216">
        <v>24</v>
      </c>
      <c r="G30" s="216"/>
      <c r="H30" s="216">
        <v>1</v>
      </c>
      <c r="I30" s="215">
        <f t="shared" si="0"/>
        <v>12</v>
      </c>
      <c r="J30" s="41"/>
      <c r="L30" s="41"/>
      <c r="M30" s="41"/>
      <c r="N30" s="41"/>
      <c r="O30" s="47"/>
    </row>
    <row r="31" spans="1:15" s="12" customFormat="1" x14ac:dyDescent="0.25">
      <c r="A31" s="218">
        <v>140</v>
      </c>
      <c r="B31" s="241" t="s">
        <v>286</v>
      </c>
      <c r="C31" s="216" t="s">
        <v>285</v>
      </c>
      <c r="D31" s="217">
        <v>0.75</v>
      </c>
      <c r="E31" s="216" t="s">
        <v>35</v>
      </c>
      <c r="F31" s="216">
        <v>3</v>
      </c>
      <c r="G31" s="216"/>
      <c r="H31" s="216">
        <v>1</v>
      </c>
      <c r="I31" s="215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14" t="s">
        <v>14</v>
      </c>
      <c r="B34" s="213" t="s">
        <v>36</v>
      </c>
      <c r="C34" s="213" t="s">
        <v>20</v>
      </c>
      <c r="D34" s="213" t="s">
        <v>21</v>
      </c>
      <c r="E34" s="213" t="s">
        <v>22</v>
      </c>
      <c r="F34" s="213" t="s">
        <v>23</v>
      </c>
      <c r="G34" s="213" t="s">
        <v>24</v>
      </c>
      <c r="H34" s="213" t="s">
        <v>25</v>
      </c>
      <c r="I34" s="213" t="s">
        <v>17</v>
      </c>
      <c r="J34" s="213" t="s">
        <v>18</v>
      </c>
      <c r="K34" s="41"/>
      <c r="L34" s="41"/>
      <c r="M34" s="41"/>
      <c r="N34" s="41"/>
      <c r="O34" s="47"/>
    </row>
    <row r="35" spans="1:15" x14ac:dyDescent="0.25">
      <c r="A35" s="210">
        <v>10</v>
      </c>
      <c r="B35" s="195" t="s">
        <v>284</v>
      </c>
      <c r="C35" s="210" t="s">
        <v>283</v>
      </c>
      <c r="D35" s="212">
        <f>1.25/105154*E35*E35*G35*SQRT(G35)+0.005*EXP(0.319*E35)</f>
        <v>5.6317842209943889E-2</v>
      </c>
      <c r="E35" s="210">
        <v>6</v>
      </c>
      <c r="F35" s="211" t="s">
        <v>30</v>
      </c>
      <c r="G35" s="210">
        <v>14</v>
      </c>
      <c r="H35" s="210" t="s">
        <v>30</v>
      </c>
      <c r="I35" s="209">
        <v>24</v>
      </c>
      <c r="J35" s="208">
        <f>I35*D35</f>
        <v>1.3516282130386532</v>
      </c>
      <c r="K35" s="41"/>
      <c r="L35" s="41"/>
      <c r="M35" s="41"/>
      <c r="N35" s="41"/>
      <c r="O35" s="47"/>
    </row>
    <row r="36" spans="1:15" x14ac:dyDescent="0.25">
      <c r="A36" s="210">
        <v>20</v>
      </c>
      <c r="B36" s="195" t="s">
        <v>282</v>
      </c>
      <c r="C36" s="210"/>
      <c r="D36" s="212">
        <v>0.02</v>
      </c>
      <c r="E36" s="210"/>
      <c r="F36" s="211" t="s">
        <v>35</v>
      </c>
      <c r="G36" s="210"/>
      <c r="H36" s="210"/>
      <c r="I36" s="209">
        <v>24</v>
      </c>
      <c r="J36" s="208">
        <f>I36*D36</f>
        <v>0.48</v>
      </c>
      <c r="K36" s="41"/>
      <c r="L36" s="41"/>
      <c r="M36" s="41"/>
      <c r="N36" s="41"/>
      <c r="O36" s="47"/>
    </row>
    <row r="37" spans="1:15" x14ac:dyDescent="0.25">
      <c r="A37" s="210">
        <v>30</v>
      </c>
      <c r="B37" s="195" t="s">
        <v>281</v>
      </c>
      <c r="C37" s="210"/>
      <c r="D37" s="212">
        <f>1/105154*E37*E37*G37*SQRT(G37)+0.004*EXP(0.319*E37)</f>
        <v>6.5102725326469366E-2</v>
      </c>
      <c r="E37" s="210">
        <v>8</v>
      </c>
      <c r="F37" s="211" t="s">
        <v>30</v>
      </c>
      <c r="G37" s="210">
        <v>8</v>
      </c>
      <c r="H37" s="210" t="s">
        <v>30</v>
      </c>
      <c r="I37" s="209">
        <v>3</v>
      </c>
      <c r="J37" s="208">
        <f>I37*D37</f>
        <v>0.19530817597940808</v>
      </c>
      <c r="K37" s="41"/>
      <c r="L37" s="41"/>
      <c r="M37" s="41"/>
      <c r="N37" s="41"/>
      <c r="O37" s="47"/>
    </row>
    <row r="38" spans="1:15" x14ac:dyDescent="0.25">
      <c r="A38" s="210">
        <v>40</v>
      </c>
      <c r="B38" s="195" t="s">
        <v>280</v>
      </c>
      <c r="C38" s="210"/>
      <c r="D38" s="212">
        <v>0.33600000000000002</v>
      </c>
      <c r="E38" s="210">
        <v>8</v>
      </c>
      <c r="F38" s="211" t="s">
        <v>30</v>
      </c>
      <c r="G38" s="210"/>
      <c r="H38" s="210"/>
      <c r="I38" s="209">
        <v>3</v>
      </c>
      <c r="J38" s="208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/>
    <hyperlink ref="G2" location="EN_A09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zoomScale="85" zoomScaleNormal="85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7"/>
    </row>
    <row r="6" spans="1:15" x14ac:dyDescent="0.25">
      <c r="A6" s="242" t="s">
        <v>7</v>
      </c>
      <c r="B6" s="261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306</v>
      </c>
      <c r="C11" s="210"/>
      <c r="D11" s="217">
        <v>3.3</v>
      </c>
      <c r="E11" s="226">
        <f>J11*K11*L11</f>
        <v>0.78556506050717001</v>
      </c>
      <c r="F11" s="216" t="s">
        <v>78</v>
      </c>
      <c r="G11" s="216"/>
      <c r="H11" s="224"/>
      <c r="I11" s="225" t="s">
        <v>305</v>
      </c>
      <c r="J11" s="225">
        <f>PI()*87.5*87.5/1000000</f>
        <v>2.4052818754046849E-2</v>
      </c>
      <c r="K11" s="221">
        <v>2.3E-2</v>
      </c>
      <c r="L11" s="220">
        <v>1420</v>
      </c>
      <c r="M11" s="220">
        <v>1</v>
      </c>
      <c r="N11" s="217">
        <f>E11*D11</f>
        <v>2.5923646996736607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2.5923646996736607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36">
        <v>10</v>
      </c>
      <c r="B16" s="241" t="s">
        <v>45</v>
      </c>
      <c r="C16" s="240" t="s">
        <v>304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36">
        <v>20</v>
      </c>
      <c r="B17" s="187" t="s">
        <v>79</v>
      </c>
      <c r="C17" s="210" t="s">
        <v>303</v>
      </c>
      <c r="D17" s="235">
        <v>0.04</v>
      </c>
      <c r="E17" s="234" t="s">
        <v>81</v>
      </c>
      <c r="F17" s="233">
        <v>350.61</v>
      </c>
      <c r="G17" s="187" t="s">
        <v>302</v>
      </c>
      <c r="H17" s="232">
        <v>0.5</v>
      </c>
      <c r="I17" s="231">
        <f>IF(H17="",D17*F17,D17*F17*H17)</f>
        <v>7.0122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229"/>
      <c r="E20" s="230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2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537</v>
      </c>
      <c r="B1" s="69"/>
    </row>
  </sheetData>
  <hyperlinks>
    <hyperlink ref="A1" location="EN_0900_002" display="EN_0900_002"/>
  </hyperlinks>
  <pageMargins left="0.7" right="0.7" top="0.75" bottom="0.75" header="0.3" footer="0.3"/>
  <pageSetup paperSize="9" fitToHeight="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31"/>
  <sheetViews>
    <sheetView zoomScale="70" zoomScaleNormal="70" workbookViewId="0">
      <selection activeCell="B7" sqref="B7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7"/>
    </row>
    <row r="6" spans="1:15" x14ac:dyDescent="0.25">
      <c r="A6" s="242" t="s">
        <v>7</v>
      </c>
      <c r="B6" s="261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306</v>
      </c>
      <c r="C11" s="210"/>
      <c r="D11" s="217">
        <v>3.3</v>
      </c>
      <c r="E11" s="226">
        <f>J11*K11*L11</f>
        <v>0.60726200595727309</v>
      </c>
      <c r="F11" s="216" t="s">
        <v>78</v>
      </c>
      <c r="G11" s="216"/>
      <c r="H11" s="224"/>
      <c r="I11" s="225" t="s">
        <v>307</v>
      </c>
      <c r="J11" s="225">
        <f>PI()*82.5*82.5/1000000</f>
        <v>2.138246499849553E-2</v>
      </c>
      <c r="K11" s="221">
        <v>0.02</v>
      </c>
      <c r="L11" s="220">
        <v>1420</v>
      </c>
      <c r="M11" s="220">
        <v>1</v>
      </c>
      <c r="N11" s="217">
        <f>E11*D11</f>
        <v>2.0039646196590013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2.0039646196590013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36">
        <v>10</v>
      </c>
      <c r="B16" s="241" t="s">
        <v>45</v>
      </c>
      <c r="C16" s="240" t="s">
        <v>304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6" ht="30" x14ac:dyDescent="0.25">
      <c r="A17" s="236">
        <v>20</v>
      </c>
      <c r="B17" s="187" t="s">
        <v>79</v>
      </c>
      <c r="C17" s="210" t="s">
        <v>303</v>
      </c>
      <c r="D17" s="235">
        <v>0.04</v>
      </c>
      <c r="E17" s="234" t="s">
        <v>81</v>
      </c>
      <c r="F17" s="233">
        <v>261.75</v>
      </c>
      <c r="G17" s="187" t="s">
        <v>302</v>
      </c>
      <c r="H17" s="232">
        <v>0.5</v>
      </c>
      <c r="I17" s="231">
        <f>IF(H17="",D17*F17,D17*F17*H17)</f>
        <v>5.2350000000000003</v>
      </c>
      <c r="J17" s="43"/>
      <c r="K17" s="43"/>
      <c r="L17" s="43"/>
      <c r="M17" s="43"/>
      <c r="N17" s="43"/>
      <c r="O17" s="188"/>
    </row>
    <row r="18" spans="1:16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7"/>
    </row>
    <row r="19" spans="1:16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6" x14ac:dyDescent="0.25">
      <c r="A21" s="174"/>
      <c r="B21" s="41"/>
      <c r="C21" s="41"/>
      <c r="D21" s="41"/>
      <c r="E21" s="229"/>
      <c r="F21" s="41"/>
      <c r="G21" s="229"/>
      <c r="H21" s="230"/>
      <c r="I21" s="41"/>
      <c r="J21" s="41"/>
      <c r="K21" s="41"/>
      <c r="L21" s="41"/>
      <c r="M21" s="41"/>
      <c r="N21" s="41"/>
      <c r="O21" s="167"/>
    </row>
    <row r="22" spans="1:16" x14ac:dyDescent="0.25">
      <c r="A22" s="174"/>
      <c r="B22" s="41"/>
      <c r="C22" s="41"/>
      <c r="D22" s="41"/>
      <c r="E22" s="229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6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6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  <c r="P26" s="41"/>
    </row>
    <row r="27" spans="1:16" ht="15.75" thickBot="1" x14ac:dyDescent="0.3">
      <c r="A27" s="166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4"/>
      <c r="P27" s="41"/>
    </row>
    <row r="28" spans="1:16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7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EN_0900_003</f>
        <v>EN 09003</v>
      </c>
    </row>
  </sheetData>
  <hyperlinks>
    <hyperlink ref="A1" location="EN_0900_003" display="EN_0900_003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26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6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7"/>
    </row>
    <row r="3" spans="1:16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6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6" x14ac:dyDescent="0.25">
      <c r="A5" s="242" t="s">
        <v>15</v>
      </c>
      <c r="B5" s="41" t="s">
        <v>313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7"/>
    </row>
    <row r="6" spans="1:16" x14ac:dyDescent="0.25">
      <c r="A6" s="242" t="s">
        <v>7</v>
      </c>
      <c r="B6" s="261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6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  <c r="P7">
        <f>341.663+32</f>
        <v>373.66300000000001</v>
      </c>
    </row>
    <row r="8" spans="1:16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6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6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6" x14ac:dyDescent="0.25">
      <c r="A11" s="273">
        <v>10</v>
      </c>
      <c r="B11" s="272" t="s">
        <v>300</v>
      </c>
      <c r="C11" s="271" t="s">
        <v>312</v>
      </c>
      <c r="D11" s="179">
        <v>4.2</v>
      </c>
      <c r="E11" s="270">
        <f>J11*K11*L11</f>
        <v>1.8460041599999997</v>
      </c>
      <c r="F11" s="237" t="s">
        <v>78</v>
      </c>
      <c r="G11" s="237"/>
      <c r="H11" s="192"/>
      <c r="I11" s="269" t="s">
        <v>311</v>
      </c>
      <c r="J11" s="268">
        <f>374*130/1000000</f>
        <v>4.8619999999999997E-2</v>
      </c>
      <c r="K11" s="267">
        <f>14/1000</f>
        <v>1.4E-2</v>
      </c>
      <c r="L11" s="190">
        <v>2712</v>
      </c>
      <c r="M11" s="190">
        <v>1</v>
      </c>
      <c r="N11" s="264">
        <f>IF(J11="",D11*M11,D11*J11*K11*L11*M11)</f>
        <v>7.7532174719999993</v>
      </c>
      <c r="O11" s="196"/>
    </row>
    <row r="12" spans="1:16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6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7.7532174719999993</v>
      </c>
      <c r="O13" s="167"/>
    </row>
    <row r="14" spans="1:16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6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6" ht="45" x14ac:dyDescent="0.25">
      <c r="A16" s="255">
        <v>10</v>
      </c>
      <c r="B16" s="265" t="s">
        <v>45</v>
      </c>
      <c r="C16" s="265" t="s">
        <v>310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309</v>
      </c>
      <c r="D17" s="179">
        <v>0.04</v>
      </c>
      <c r="E17" s="237" t="s">
        <v>81</v>
      </c>
      <c r="F17" s="233">
        <v>372.58</v>
      </c>
      <c r="G17" s="241" t="s">
        <v>308</v>
      </c>
      <c r="H17" s="232">
        <v>1</v>
      </c>
      <c r="I17" s="264">
        <f>IF(H17="",D17*F17,D17*F17*H17)</f>
        <v>14.9032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229"/>
      <c r="G21" s="230"/>
      <c r="H21" s="230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229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4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5" x14ac:dyDescent="0.25"/>
  <sheetData>
    <row r="1" spans="1:1" x14ac:dyDescent="0.25">
      <c r="A1" s="274" t="str">
        <f>EN_0900_004</f>
        <v>EN 09004</v>
      </c>
    </row>
  </sheetData>
  <hyperlinks>
    <hyperlink ref="A1" location="EN_0900_004" display="EN_0900_004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8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315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7"/>
    </row>
    <row r="6" spans="1:15" x14ac:dyDescent="0.25">
      <c r="A6" s="242" t="s">
        <v>7</v>
      </c>
      <c r="B6" s="261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73">
        <v>10</v>
      </c>
      <c r="B11" s="272" t="s">
        <v>300</v>
      </c>
      <c r="C11" s="271" t="s">
        <v>312</v>
      </c>
      <c r="D11" s="179">
        <v>4.2</v>
      </c>
      <c r="E11" s="270">
        <f>J11*K11*L11</f>
        <v>1.3388601600000001</v>
      </c>
      <c r="F11" s="237" t="s">
        <v>78</v>
      </c>
      <c r="G11" s="237"/>
      <c r="H11" s="192"/>
      <c r="I11" s="269" t="s">
        <v>314</v>
      </c>
      <c r="J11" s="268">
        <f>374*120/1000000</f>
        <v>4.4880000000000003E-2</v>
      </c>
      <c r="K11" s="267">
        <f>11/1000</f>
        <v>1.0999999999999999E-2</v>
      </c>
      <c r="L11" s="190">
        <v>2712</v>
      </c>
      <c r="M11" s="190">
        <v>1</v>
      </c>
      <c r="N11" s="264">
        <f>IF(J11="",D11*M11,D11*J11*K11*L11*M11)</f>
        <v>5.6232126720000002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5.6232126720000002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65" t="s">
        <v>45</v>
      </c>
      <c r="C16" s="265" t="s">
        <v>310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309</v>
      </c>
      <c r="D17" s="179">
        <v>0.04</v>
      </c>
      <c r="E17" s="237" t="s">
        <v>81</v>
      </c>
      <c r="F17" s="233">
        <v>256.88</v>
      </c>
      <c r="G17" s="241" t="s">
        <v>308</v>
      </c>
      <c r="H17" s="232">
        <v>1</v>
      </c>
      <c r="I17" s="264">
        <f>IF(H17="",D17*F17,D17*F17*H17)</f>
        <v>10.2752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229"/>
      <c r="F22" s="275"/>
      <c r="G22" s="275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275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ht="15.75" thickBot="1" x14ac:dyDescent="0.3">
      <c r="A28" s="166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4"/>
    </row>
  </sheetData>
  <hyperlinks>
    <hyperlink ref="D3" location="'EN_0900_005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EN_0900_005</f>
        <v>EN 09005</v>
      </c>
    </row>
  </sheetData>
  <hyperlinks>
    <hyperlink ref="A1" location="EN_0900_005" display="EN_0900_005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25">
      <c r="A6" s="100" t="s">
        <v>7</v>
      </c>
      <c r="B6" s="17" t="s">
        <v>474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482" t="s">
        <v>469</v>
      </c>
      <c r="C11" s="481" t="s">
        <v>468</v>
      </c>
      <c r="D11" s="473">
        <v>2.25</v>
      </c>
      <c r="E11" s="480">
        <f>PRODUCT(L11,J11,K11)</f>
        <v>0.157</v>
      </c>
      <c r="F11" s="479" t="s">
        <v>78</v>
      </c>
      <c r="G11" s="479"/>
      <c r="H11" s="478"/>
      <c r="I11" s="487" t="s">
        <v>473</v>
      </c>
      <c r="J11" s="486">
        <f>0.08*0.05</f>
        <v>4.0000000000000001E-3</v>
      </c>
      <c r="K11" s="475">
        <v>5.0000000000000001E-3</v>
      </c>
      <c r="L11" s="474">
        <v>7850</v>
      </c>
      <c r="M11" s="474">
        <v>1</v>
      </c>
      <c r="N11" s="473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52" t="s">
        <v>45</v>
      </c>
      <c r="C15" s="467"/>
      <c r="D15" s="433">
        <v>1.3</v>
      </c>
      <c r="E15" s="468" t="s">
        <v>35</v>
      </c>
      <c r="F15" s="467">
        <v>0.25</v>
      </c>
      <c r="G15" s="458" t="s">
        <v>466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x14ac:dyDescent="0.25">
      <c r="A16" s="457">
        <v>20</v>
      </c>
      <c r="B16" s="452" t="s">
        <v>83</v>
      </c>
      <c r="C16" s="412" t="s">
        <v>472</v>
      </c>
      <c r="D16" s="433">
        <v>0.01</v>
      </c>
      <c r="E16" s="412" t="s">
        <v>46</v>
      </c>
      <c r="F16" s="485">
        <v>35.75</v>
      </c>
      <c r="G16" s="452" t="s">
        <v>82</v>
      </c>
      <c r="H16" s="451">
        <v>3</v>
      </c>
      <c r="I16" s="433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/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topLeftCell="A6" workbookViewId="0">
      <selection activeCell="G19" sqref="G19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7"/>
    </row>
    <row r="6" spans="1:15" x14ac:dyDescent="0.25">
      <c r="A6" s="242" t="s">
        <v>7</v>
      </c>
      <c r="B6" s="261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3.6832200000000002E-2</v>
      </c>
      <c r="F11" s="216" t="s">
        <v>78</v>
      </c>
      <c r="G11" s="216"/>
      <c r="H11" s="224"/>
      <c r="I11" s="225" t="s">
        <v>319</v>
      </c>
      <c r="J11" s="225">
        <f>46*34/1000000</f>
        <v>1.5640000000000001E-3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8.287245E-2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8.287245E-2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 t="s">
        <v>318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v>19.600000000000001</v>
      </c>
      <c r="G16" s="237" t="s">
        <v>316</v>
      </c>
      <c r="H16" s="237">
        <v>3</v>
      </c>
      <c r="I16" s="217">
        <f>IF(H16="",D16*F16,D16*F16*H16)</f>
        <v>0.58800000000000008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229"/>
      <c r="E21" s="229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6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EN_0900_006</f>
        <v>EN 09006</v>
      </c>
    </row>
  </sheetData>
  <hyperlinks>
    <hyperlink ref="A1" location="EN_0900_006" display="EN_0900_006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zoomScale="85" zoomScaleNormal="85"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7"/>
    </row>
    <row r="6" spans="1:15" x14ac:dyDescent="0.25">
      <c r="A6" s="242" t="s">
        <v>7</v>
      </c>
      <c r="B6" s="261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3.1415699999999998E-2</v>
      </c>
      <c r="F11" s="216" t="s">
        <v>78</v>
      </c>
      <c r="G11" s="216"/>
      <c r="H11" s="224"/>
      <c r="I11" s="225" t="s">
        <v>321</v>
      </c>
      <c r="J11" s="225">
        <f>46*29/1000000</f>
        <v>1.3339999999999999E-3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7.0685324999999993E-2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7.0685324999999993E-2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 t="s">
        <v>318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ht="30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v>19.12</v>
      </c>
      <c r="G16" s="237" t="s">
        <v>316</v>
      </c>
      <c r="H16" s="237">
        <v>3</v>
      </c>
      <c r="I16" s="217">
        <f>IF(H16="",D16*F16,D16*F16*H16)</f>
        <v>0.5736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7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EN_0900_007</f>
        <v>EN 09007</v>
      </c>
    </row>
  </sheetData>
  <hyperlinks>
    <hyperlink ref="A1" location="EN_0900_007" display="EN_0900_007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workbookViewId="0">
      <selection activeCell="B7" sqref="B7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7"/>
    </row>
    <row r="6" spans="1:15" x14ac:dyDescent="0.25">
      <c r="A6" s="242" t="s">
        <v>7</v>
      </c>
      <c r="B6" s="261" t="s">
        <v>543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6.6410999999999998E-2</v>
      </c>
      <c r="F11" s="216" t="s">
        <v>78</v>
      </c>
      <c r="G11" s="216"/>
      <c r="H11" s="224"/>
      <c r="I11" s="225" t="s">
        <v>322</v>
      </c>
      <c r="J11" s="225">
        <f>60*47/1000000</f>
        <v>2.82E-3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0.14942475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0.14942475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77" t="s">
        <v>45</v>
      </c>
      <c r="C16" s="240" t="s">
        <v>304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317</v>
      </c>
      <c r="D17" s="276">
        <v>0.01</v>
      </c>
      <c r="E17" s="237" t="s">
        <v>46</v>
      </c>
      <c r="F17" s="237">
        <v>25.09</v>
      </c>
      <c r="G17" s="237" t="s">
        <v>316</v>
      </c>
      <c r="H17" s="237">
        <v>3</v>
      </c>
      <c r="I17" s="217">
        <f>IF(H17="",D17*F17,D17*F17*H17)</f>
        <v>0.75270000000000004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8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EN_0900_008</f>
        <v>EN 09008</v>
      </c>
    </row>
  </sheetData>
  <hyperlinks>
    <hyperlink ref="A1" location="EN_0900_008" display="EN_0900_008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5"/>
  <sheetViews>
    <sheetView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268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7"/>
    </row>
    <row r="6" spans="1:15" x14ac:dyDescent="0.25">
      <c r="A6" s="242" t="s">
        <v>7</v>
      </c>
      <c r="B6" s="261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6.7517850000000004E-2</v>
      </c>
      <c r="F11" s="216" t="s">
        <v>78</v>
      </c>
      <c r="G11" s="216"/>
      <c r="H11" s="224"/>
      <c r="I11" s="225" t="s">
        <v>323</v>
      </c>
      <c r="J11" s="225">
        <f>61*47/1000000</f>
        <v>2.8670000000000002E-3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0.15191516250000001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0.15191516250000001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255">
        <v>10</v>
      </c>
      <c r="B16" s="277" t="s">
        <v>45</v>
      </c>
      <c r="C16" s="240" t="s">
        <v>304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317</v>
      </c>
      <c r="D17" s="276">
        <v>0.01</v>
      </c>
      <c r="E17" s="237" t="s">
        <v>46</v>
      </c>
      <c r="F17" s="237">
        <v>25.37</v>
      </c>
      <c r="G17" s="237" t="s">
        <v>316</v>
      </c>
      <c r="H17" s="237">
        <v>3</v>
      </c>
      <c r="I17" s="217">
        <f>IF(H17="",D17*F17,D17*F17*H17)</f>
        <v>0.76110000000000011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9 Drawing'!A1" display="FileLink1"/>
    <hyperlink ref="B4" location="EN_A0900!A1" display="Differential"/>
    <hyperlink ref="G2" location="EN_A0900_BOM" display="Back to BOM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">
        <v>544</v>
      </c>
    </row>
  </sheetData>
  <hyperlinks>
    <hyperlink ref="A1" location="EN_0900_009" display="EN_0900_009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44"/>
  <sheetViews>
    <sheetView zoomScaleNormal="10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EN_A1000_pa+EN_A1000_m+EN_A1000_p+EN_A1000_f</f>
        <v>534.45240754550855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350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545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534.45240754550855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349</v>
      </c>
      <c r="C10" s="283">
        <f>EN_10001!N$2</f>
        <v>66.549787154500507</v>
      </c>
      <c r="D10" s="181">
        <f>EN_1000_001_q</f>
        <v>2</v>
      </c>
      <c r="E10" s="282">
        <f>C10*D10</f>
        <v>133.09957430900101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4" t="s">
        <v>348</v>
      </c>
      <c r="C11" s="283">
        <f>EN_10002!N$2</f>
        <v>72.275200595774251</v>
      </c>
      <c r="D11" s="181">
        <f>EN_1000_002_q</f>
        <v>2</v>
      </c>
      <c r="E11" s="282">
        <f>C11*D11</f>
        <v>144.5504011915485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622" t="s">
        <v>347</v>
      </c>
      <c r="C12" s="283">
        <f>EN_10003!N$2</f>
        <v>16.43313830045987</v>
      </c>
      <c r="D12" s="181">
        <f>EN_1000_003_q</f>
        <v>1</v>
      </c>
      <c r="E12" s="282">
        <f>C12*D12</f>
        <v>16.43313830045987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346</v>
      </c>
      <c r="C13" s="283">
        <f>EN_10004!N$2</f>
        <v>17.337133082722115</v>
      </c>
      <c r="D13" s="181">
        <f>EN_1000_004_q</f>
        <v>1</v>
      </c>
      <c r="E13" s="282">
        <f>C13*D13</f>
        <v>17.337133082722115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74"/>
      <c r="B14" s="41"/>
      <c r="C14" s="41"/>
      <c r="D14" s="169" t="s">
        <v>18</v>
      </c>
      <c r="E14" s="168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74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6"/>
    </row>
    <row r="16" spans="1:15" x14ac:dyDescent="0.25">
      <c r="A16" s="173" t="s">
        <v>14</v>
      </c>
      <c r="B16" s="172" t="s">
        <v>19</v>
      </c>
      <c r="C16" s="172" t="s">
        <v>20</v>
      </c>
      <c r="D16" s="172" t="s">
        <v>21</v>
      </c>
      <c r="E16" s="172" t="s">
        <v>22</v>
      </c>
      <c r="F16" s="172" t="s">
        <v>23</v>
      </c>
      <c r="G16" s="172" t="s">
        <v>24</v>
      </c>
      <c r="H16" s="172" t="s">
        <v>25</v>
      </c>
      <c r="I16" s="172" t="s">
        <v>26</v>
      </c>
      <c r="J16" s="172" t="s">
        <v>27</v>
      </c>
      <c r="K16" s="172" t="s">
        <v>28</v>
      </c>
      <c r="L16" s="172" t="s">
        <v>29</v>
      </c>
      <c r="M16" s="172" t="s">
        <v>17</v>
      </c>
      <c r="N16" s="172" t="s">
        <v>18</v>
      </c>
      <c r="O16" s="196"/>
    </row>
    <row r="17" spans="1:15" x14ac:dyDescent="0.25">
      <c r="A17" s="185">
        <v>10</v>
      </c>
      <c r="B17" s="182" t="s">
        <v>345</v>
      </c>
      <c r="C17" s="182" t="s">
        <v>344</v>
      </c>
      <c r="D17" s="276">
        <v>45</v>
      </c>
      <c r="E17" s="182"/>
      <c r="F17" s="182" t="s">
        <v>35</v>
      </c>
      <c r="G17" s="182"/>
      <c r="H17" s="192"/>
      <c r="I17" s="197"/>
      <c r="J17" s="193"/>
      <c r="K17" s="192"/>
      <c r="L17" s="192"/>
      <c r="M17" s="193">
        <v>4</v>
      </c>
      <c r="N17" s="281">
        <f>IF(J17="",D17*M17,D17*J17*K17*L17*M17)</f>
        <v>180</v>
      </c>
      <c r="O17" s="186"/>
    </row>
    <row r="18" spans="1:15" x14ac:dyDescent="0.25">
      <c r="A18" s="185">
        <v>20</v>
      </c>
      <c r="B18" s="182" t="s">
        <v>343</v>
      </c>
      <c r="C18" s="182" t="s">
        <v>342</v>
      </c>
      <c r="D18" s="276">
        <v>5</v>
      </c>
      <c r="E18" s="182"/>
      <c r="F18" s="182" t="s">
        <v>35</v>
      </c>
      <c r="G18" s="182"/>
      <c r="H18" s="192"/>
      <c r="I18" s="197"/>
      <c r="J18" s="193"/>
      <c r="K18" s="192"/>
      <c r="L18" s="192"/>
      <c r="M18" s="193">
        <v>4</v>
      </c>
      <c r="N18" s="281">
        <f>IF(J18="",D18*M18,D18*J18*K18*L18*M18)</f>
        <v>20</v>
      </c>
      <c r="O18" s="167"/>
    </row>
    <row r="19" spans="1:15" x14ac:dyDescent="0.25">
      <c r="A19" s="17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2" t="s">
        <v>18</v>
      </c>
      <c r="N19" s="175">
        <f>SUM(N17:N18)</f>
        <v>200</v>
      </c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31</v>
      </c>
      <c r="C21" s="172" t="s">
        <v>20</v>
      </c>
      <c r="D21" s="172" t="s">
        <v>21</v>
      </c>
      <c r="E21" s="172" t="s">
        <v>32</v>
      </c>
      <c r="F21" s="172" t="s">
        <v>17</v>
      </c>
      <c r="G21" s="172" t="s">
        <v>33</v>
      </c>
      <c r="H21" s="172" t="s">
        <v>34</v>
      </c>
      <c r="I21" s="172" t="s">
        <v>18</v>
      </c>
      <c r="J21" s="15"/>
      <c r="K21" s="15"/>
      <c r="L21" s="15"/>
      <c r="M21" s="15"/>
      <c r="N21" s="15"/>
      <c r="O21" s="167"/>
    </row>
    <row r="22" spans="1:15" x14ac:dyDescent="0.25">
      <c r="A22" s="185">
        <v>10</v>
      </c>
      <c r="B22" s="181" t="s">
        <v>256</v>
      </c>
      <c r="C22" s="181" t="s">
        <v>341</v>
      </c>
      <c r="D22" s="276">
        <v>0.56000000000000005</v>
      </c>
      <c r="E22" s="182" t="s">
        <v>35</v>
      </c>
      <c r="F22" s="182">
        <v>2</v>
      </c>
      <c r="G22" s="182"/>
      <c r="H22" s="182">
        <v>1</v>
      </c>
      <c r="I22" s="276">
        <f t="shared" ref="I22:I33" si="0">D22*F22*H22</f>
        <v>1.1200000000000001</v>
      </c>
      <c r="J22" s="177"/>
      <c r="K22" s="177"/>
      <c r="L22" s="177"/>
      <c r="M22" s="42"/>
      <c r="N22" s="42"/>
      <c r="O22" s="167"/>
    </row>
    <row r="23" spans="1:15" x14ac:dyDescent="0.25">
      <c r="A23" s="185">
        <v>20</v>
      </c>
      <c r="B23" s="181" t="s">
        <v>98</v>
      </c>
      <c r="C23" s="181" t="s">
        <v>340</v>
      </c>
      <c r="D23" s="276">
        <v>1.5</v>
      </c>
      <c r="E23" s="182" t="s">
        <v>35</v>
      </c>
      <c r="F23" s="182">
        <v>2</v>
      </c>
      <c r="G23" s="182"/>
      <c r="H23" s="182">
        <v>1</v>
      </c>
      <c r="I23" s="276">
        <f t="shared" si="0"/>
        <v>3</v>
      </c>
      <c r="J23" s="177"/>
      <c r="K23" s="177"/>
      <c r="L23" s="177"/>
      <c r="M23" s="42"/>
      <c r="N23" s="42"/>
      <c r="O23" s="167"/>
    </row>
    <row r="24" spans="1:15" x14ac:dyDescent="0.25">
      <c r="A24" s="185">
        <v>30</v>
      </c>
      <c r="B24" s="181" t="s">
        <v>252</v>
      </c>
      <c r="C24" s="181" t="s">
        <v>339</v>
      </c>
      <c r="D24" s="276">
        <v>0.19</v>
      </c>
      <c r="E24" s="182" t="s">
        <v>35</v>
      </c>
      <c r="F24" s="182">
        <v>4</v>
      </c>
      <c r="G24" s="182"/>
      <c r="H24" s="182">
        <v>1</v>
      </c>
      <c r="I24" s="276">
        <f t="shared" si="0"/>
        <v>0.76</v>
      </c>
      <c r="J24" s="177"/>
      <c r="K24" s="177"/>
      <c r="L24" s="177"/>
      <c r="M24" s="41"/>
      <c r="N24" s="41"/>
      <c r="O24" s="167"/>
    </row>
    <row r="25" spans="1:15" x14ac:dyDescent="0.25">
      <c r="A25" s="185">
        <v>40</v>
      </c>
      <c r="B25" s="181" t="s">
        <v>252</v>
      </c>
      <c r="C25" s="181" t="s">
        <v>337</v>
      </c>
      <c r="D25" s="276">
        <v>0.19</v>
      </c>
      <c r="E25" s="182" t="s">
        <v>35</v>
      </c>
      <c r="F25" s="182">
        <v>4</v>
      </c>
      <c r="G25" s="182"/>
      <c r="H25" s="182">
        <v>1</v>
      </c>
      <c r="I25" s="276">
        <f t="shared" si="0"/>
        <v>0.76</v>
      </c>
      <c r="J25" s="177"/>
      <c r="K25" s="177"/>
      <c r="L25" s="177"/>
      <c r="M25" s="41"/>
      <c r="N25" s="41"/>
      <c r="O25" s="167"/>
    </row>
    <row r="26" spans="1:15" x14ac:dyDescent="0.25">
      <c r="A26" s="185">
        <v>50</v>
      </c>
      <c r="B26" s="181" t="s">
        <v>88</v>
      </c>
      <c r="C26" s="181" t="s">
        <v>338</v>
      </c>
      <c r="D26" s="276">
        <v>0.13</v>
      </c>
      <c r="E26" s="182" t="s">
        <v>35</v>
      </c>
      <c r="F26" s="182">
        <v>4</v>
      </c>
      <c r="G26" s="182"/>
      <c r="H26" s="182">
        <v>1</v>
      </c>
      <c r="I26" s="276">
        <f t="shared" si="0"/>
        <v>0.52</v>
      </c>
      <c r="J26" s="177"/>
      <c r="K26" s="177"/>
      <c r="L26" s="177"/>
      <c r="M26" s="41"/>
      <c r="N26" s="41"/>
      <c r="O26" s="186"/>
    </row>
    <row r="27" spans="1:15" x14ac:dyDescent="0.25">
      <c r="A27" s="185">
        <v>60</v>
      </c>
      <c r="B27" s="181" t="s">
        <v>252</v>
      </c>
      <c r="C27" s="181" t="s">
        <v>337</v>
      </c>
      <c r="D27" s="276">
        <v>0.19</v>
      </c>
      <c r="E27" s="182" t="s">
        <v>35</v>
      </c>
      <c r="F27" s="182">
        <v>4</v>
      </c>
      <c r="G27" s="182"/>
      <c r="H27" s="182">
        <v>1</v>
      </c>
      <c r="I27" s="276">
        <f t="shared" si="0"/>
        <v>0.76</v>
      </c>
      <c r="J27" s="177"/>
      <c r="K27" s="177"/>
      <c r="L27" s="177"/>
      <c r="M27" s="41"/>
      <c r="N27" s="41"/>
      <c r="O27" s="167"/>
    </row>
    <row r="28" spans="1:15" x14ac:dyDescent="0.25">
      <c r="A28" s="185">
        <v>70</v>
      </c>
      <c r="B28" s="181" t="s">
        <v>336</v>
      </c>
      <c r="C28" s="181" t="s">
        <v>335</v>
      </c>
      <c r="D28" s="276">
        <v>0.19</v>
      </c>
      <c r="E28" s="182" t="s">
        <v>35</v>
      </c>
      <c r="F28" s="182">
        <v>4</v>
      </c>
      <c r="G28" s="182"/>
      <c r="H28" s="182">
        <v>1</v>
      </c>
      <c r="I28" s="276">
        <f t="shared" si="0"/>
        <v>0.76</v>
      </c>
      <c r="J28" s="177"/>
      <c r="K28" s="177"/>
      <c r="L28" s="177"/>
      <c r="M28" s="41"/>
      <c r="N28" s="41"/>
      <c r="O28" s="167"/>
    </row>
    <row r="29" spans="1:15" x14ac:dyDescent="0.25">
      <c r="A29" s="185">
        <v>80</v>
      </c>
      <c r="B29" s="181" t="s">
        <v>252</v>
      </c>
      <c r="C29" s="181" t="s">
        <v>334</v>
      </c>
      <c r="D29" s="276">
        <v>0.19</v>
      </c>
      <c r="E29" s="182" t="s">
        <v>35</v>
      </c>
      <c r="F29" s="182">
        <v>4</v>
      </c>
      <c r="G29" s="182"/>
      <c r="H29" s="182">
        <v>1</v>
      </c>
      <c r="I29" s="276">
        <f t="shared" si="0"/>
        <v>0.76</v>
      </c>
      <c r="J29" s="177"/>
      <c r="K29" s="177"/>
      <c r="L29" s="177"/>
      <c r="M29" s="41"/>
      <c r="N29" s="41"/>
      <c r="O29" s="167"/>
    </row>
    <row r="30" spans="1:15" x14ac:dyDescent="0.25">
      <c r="A30" s="185">
        <v>90</v>
      </c>
      <c r="B30" s="181" t="s">
        <v>256</v>
      </c>
      <c r="C30" s="181" t="s">
        <v>333</v>
      </c>
      <c r="D30" s="276">
        <v>0.56000000000000005</v>
      </c>
      <c r="E30" s="182" t="s">
        <v>35</v>
      </c>
      <c r="F30" s="182">
        <v>2</v>
      </c>
      <c r="G30" s="182"/>
      <c r="H30" s="182">
        <v>1</v>
      </c>
      <c r="I30" s="276">
        <f t="shared" si="0"/>
        <v>1.1200000000000001</v>
      </c>
      <c r="J30" s="177"/>
      <c r="K30" s="178"/>
      <c r="L30" s="178"/>
      <c r="M30" s="43"/>
      <c r="N30" s="43"/>
      <c r="O30" s="167"/>
    </row>
    <row r="31" spans="1:15" x14ac:dyDescent="0.25">
      <c r="A31" s="185">
        <v>100</v>
      </c>
      <c r="B31" s="181" t="s">
        <v>256</v>
      </c>
      <c r="C31" s="181" t="s">
        <v>332</v>
      </c>
      <c r="D31" s="276">
        <v>0.56000000000000005</v>
      </c>
      <c r="E31" s="182" t="s">
        <v>35</v>
      </c>
      <c r="F31" s="182">
        <v>4</v>
      </c>
      <c r="G31" s="182"/>
      <c r="H31" s="182">
        <v>1</v>
      </c>
      <c r="I31" s="276">
        <f t="shared" si="0"/>
        <v>2.2400000000000002</v>
      </c>
      <c r="J31" s="177"/>
      <c r="K31" s="177"/>
      <c r="L31" s="178"/>
      <c r="M31" s="42"/>
      <c r="N31" s="42"/>
      <c r="O31" s="167"/>
    </row>
    <row r="32" spans="1:15" x14ac:dyDescent="0.25">
      <c r="A32" s="185">
        <v>110</v>
      </c>
      <c r="B32" s="181" t="s">
        <v>256</v>
      </c>
      <c r="C32" s="181" t="s">
        <v>331</v>
      </c>
      <c r="D32" s="276">
        <v>0.56000000000000005</v>
      </c>
      <c r="E32" s="182" t="s">
        <v>35</v>
      </c>
      <c r="F32" s="182">
        <v>4</v>
      </c>
      <c r="G32" s="182"/>
      <c r="H32" s="182">
        <v>1</v>
      </c>
      <c r="I32" s="276">
        <f t="shared" si="0"/>
        <v>2.2400000000000002</v>
      </c>
      <c r="J32" s="177"/>
      <c r="K32" s="177"/>
      <c r="L32" s="177"/>
      <c r="M32" s="43"/>
      <c r="N32" s="43"/>
      <c r="O32" s="167"/>
    </row>
    <row r="33" spans="1:15" x14ac:dyDescent="0.25">
      <c r="A33" s="185">
        <v>120</v>
      </c>
      <c r="B33" s="181" t="s">
        <v>330</v>
      </c>
      <c r="C33" s="181" t="s">
        <v>329</v>
      </c>
      <c r="D33" s="276">
        <v>0.75</v>
      </c>
      <c r="E33" s="182" t="s">
        <v>35</v>
      </c>
      <c r="F33" s="182">
        <v>2</v>
      </c>
      <c r="G33" s="182"/>
      <c r="H33" s="182">
        <v>1</v>
      </c>
      <c r="I33" s="276">
        <f t="shared" si="0"/>
        <v>1.5</v>
      </c>
      <c r="J33" s="177"/>
      <c r="K33" s="177"/>
      <c r="L33" s="177"/>
      <c r="M33" s="41"/>
      <c r="N33" s="41"/>
      <c r="O33" s="167"/>
    </row>
    <row r="34" spans="1:15" x14ac:dyDescent="0.25">
      <c r="A34" s="170"/>
      <c r="B34" s="15"/>
      <c r="C34" s="15"/>
      <c r="D34" s="15"/>
      <c r="E34" s="15"/>
      <c r="F34" s="15"/>
      <c r="G34" s="15"/>
      <c r="H34" s="176" t="s">
        <v>18</v>
      </c>
      <c r="I34" s="175">
        <f>SUM(I22:I33)</f>
        <v>15.54</v>
      </c>
      <c r="J34" s="41"/>
      <c r="K34" s="41"/>
      <c r="L34" s="41"/>
      <c r="M34" s="41"/>
      <c r="N34" s="41"/>
      <c r="O34" s="167"/>
    </row>
    <row r="35" spans="1:15" x14ac:dyDescent="0.25">
      <c r="A35" s="174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7"/>
    </row>
    <row r="36" spans="1:15" x14ac:dyDescent="0.25">
      <c r="A36" s="173" t="s">
        <v>14</v>
      </c>
      <c r="B36" s="172" t="s">
        <v>36</v>
      </c>
      <c r="C36" s="172" t="s">
        <v>20</v>
      </c>
      <c r="D36" s="172" t="s">
        <v>21</v>
      </c>
      <c r="E36" s="172" t="s">
        <v>22</v>
      </c>
      <c r="F36" s="172" t="s">
        <v>23</v>
      </c>
      <c r="G36" s="172" t="s">
        <v>24</v>
      </c>
      <c r="H36" s="172" t="s">
        <v>25</v>
      </c>
      <c r="I36" s="172" t="s">
        <v>17</v>
      </c>
      <c r="J36" s="172" t="s">
        <v>18</v>
      </c>
      <c r="K36" s="41"/>
      <c r="L36" s="41"/>
      <c r="M36" s="41"/>
      <c r="N36" s="41"/>
      <c r="O36" s="167"/>
    </row>
    <row r="37" spans="1:15" x14ac:dyDescent="0.25">
      <c r="A37" s="185">
        <v>10</v>
      </c>
      <c r="B37" s="182" t="s">
        <v>328</v>
      </c>
      <c r="C37" s="182" t="s">
        <v>327</v>
      </c>
      <c r="D37" s="184">
        <f>0.0002*E37*E37+0.013</f>
        <v>9.2999999999999999E-2</v>
      </c>
      <c r="E37" s="182">
        <v>20</v>
      </c>
      <c r="F37" s="279" t="s">
        <v>30</v>
      </c>
      <c r="G37" s="182"/>
      <c r="H37" s="181"/>
      <c r="I37" s="278">
        <v>8</v>
      </c>
      <c r="J37" s="276">
        <f>D37*I37</f>
        <v>0.74399999999999999</v>
      </c>
      <c r="K37" s="41"/>
      <c r="L37" s="41"/>
      <c r="M37" s="41"/>
      <c r="N37" s="41"/>
      <c r="O37" s="167"/>
    </row>
    <row r="38" spans="1:15" x14ac:dyDescent="0.25">
      <c r="A38" s="185">
        <v>20</v>
      </c>
      <c r="B38" s="195" t="s">
        <v>95</v>
      </c>
      <c r="C38" s="182" t="s">
        <v>326</v>
      </c>
      <c r="D38" s="184">
        <f>0.004*E38+0.5</f>
        <v>0.7898639999999999</v>
      </c>
      <c r="E38" s="182">
        <f>36.233*2</f>
        <v>72.465999999999994</v>
      </c>
      <c r="F38" s="279" t="s">
        <v>30</v>
      </c>
      <c r="G38" s="182"/>
      <c r="H38" s="181"/>
      <c r="I38" s="278">
        <v>4</v>
      </c>
      <c r="J38" s="276">
        <f>D38*I38</f>
        <v>3.1594559999999996</v>
      </c>
      <c r="K38" s="41"/>
      <c r="L38" s="41"/>
      <c r="M38" s="41"/>
      <c r="N38" s="41"/>
      <c r="O38" s="167"/>
    </row>
    <row r="39" spans="1:15" x14ac:dyDescent="0.25">
      <c r="A39" s="185">
        <v>30</v>
      </c>
      <c r="B39" s="195" t="s">
        <v>95</v>
      </c>
      <c r="C39" s="182" t="s">
        <v>326</v>
      </c>
      <c r="D39" s="184">
        <f>0.004*E39+0.5</f>
        <v>0.61115200000000003</v>
      </c>
      <c r="E39" s="182">
        <f>13.894*2</f>
        <v>27.788</v>
      </c>
      <c r="F39" s="279" t="s">
        <v>30</v>
      </c>
      <c r="G39" s="182"/>
      <c r="H39" s="181"/>
      <c r="I39" s="278">
        <v>4</v>
      </c>
      <c r="J39" s="276">
        <f>D39*I39</f>
        <v>2.4446080000000001</v>
      </c>
      <c r="K39" s="41"/>
      <c r="L39" s="41"/>
      <c r="M39" s="41"/>
      <c r="N39" s="41"/>
      <c r="O39" s="167"/>
    </row>
    <row r="40" spans="1:15" x14ac:dyDescent="0.25">
      <c r="A40" s="185">
        <v>40</v>
      </c>
      <c r="B40" s="182" t="s">
        <v>239</v>
      </c>
      <c r="C40" s="182" t="s">
        <v>325</v>
      </c>
      <c r="D40" s="184">
        <f>0.8/105154*E40*E40*G40*SQRT(G40)+(0.003*EXP(0.319*E40))</f>
        <v>8.2048330888522564E-2</v>
      </c>
      <c r="E40" s="182">
        <v>8</v>
      </c>
      <c r="F40" s="279" t="s">
        <v>30</v>
      </c>
      <c r="G40" s="182">
        <v>20</v>
      </c>
      <c r="H40" s="181" t="s">
        <v>30</v>
      </c>
      <c r="I40" s="278">
        <v>2</v>
      </c>
      <c r="J40" s="276">
        <f>D40*I40</f>
        <v>0.16409666177704513</v>
      </c>
      <c r="K40" s="41"/>
      <c r="L40" s="41"/>
      <c r="M40" s="41"/>
      <c r="N40" s="41"/>
      <c r="O40" s="167"/>
    </row>
    <row r="41" spans="1:15" x14ac:dyDescent="0.25">
      <c r="A41" s="185">
        <v>50</v>
      </c>
      <c r="B41" s="280" t="s">
        <v>38</v>
      </c>
      <c r="C41" s="182" t="s">
        <v>324</v>
      </c>
      <c r="D41" s="184">
        <v>0.49</v>
      </c>
      <c r="E41" s="182">
        <v>20</v>
      </c>
      <c r="F41" s="279" t="s">
        <v>30</v>
      </c>
      <c r="G41" s="182"/>
      <c r="H41" s="181"/>
      <c r="I41" s="278">
        <v>2</v>
      </c>
      <c r="J41" s="276">
        <f>D41*I41</f>
        <v>0.98</v>
      </c>
      <c r="K41" s="41"/>
      <c r="L41" s="41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5"/>
      <c r="I42" s="176" t="s">
        <v>18</v>
      </c>
      <c r="J42" s="175">
        <f>SUM(J37:J41)</f>
        <v>7.492160661777044</v>
      </c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ht="15.75" thickBot="1" x14ac:dyDescent="0.3">
      <c r="A44" s="166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4"/>
    </row>
  </sheetData>
  <hyperlinks>
    <hyperlink ref="B10" location="EN_1000_001!A1" display="Inboard tripod housing"/>
    <hyperlink ref="B11" location="EN_1000_002!A1" display="Outboard tripod housing"/>
    <hyperlink ref="B13" location="EN_1000_004!A1" display="Right axle"/>
    <hyperlink ref="B12" location="EN_1000_003!A1" display="Left axle"/>
    <hyperlink ref="E2" location="EN_A1000_BOM" display="Back to BOM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45.42578125" customWidth="1"/>
    <col min="3" max="3" width="54" customWidth="1"/>
    <col min="4" max="4" width="9.140625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6" t="s">
        <v>349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7"/>
    </row>
    <row r="6" spans="1:15" x14ac:dyDescent="0.25">
      <c r="A6" s="242" t="s">
        <v>7</v>
      </c>
      <c r="B6" s="261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358</v>
      </c>
      <c r="D11" s="217">
        <v>2.25</v>
      </c>
      <c r="E11" s="226">
        <f>J11*K11*L11</f>
        <v>4.0999054020002239</v>
      </c>
      <c r="F11" s="216" t="s">
        <v>78</v>
      </c>
      <c r="G11" s="216"/>
      <c r="H11" s="224"/>
      <c r="I11" s="225" t="s">
        <v>357</v>
      </c>
      <c r="J11" s="225">
        <f>PI()*65.5*65.5/4/1000000</f>
        <v>3.3695544705159026E-3</v>
      </c>
      <c r="K11" s="221">
        <v>0.155</v>
      </c>
      <c r="L11" s="220">
        <v>7850</v>
      </c>
      <c r="M11" s="220">
        <v>1</v>
      </c>
      <c r="N11" s="217">
        <f>D11*J11*K11*L11*M11</f>
        <v>9.224787154500504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9.224787154500504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303">
        <v>10</v>
      </c>
      <c r="B16" s="241" t="s">
        <v>45</v>
      </c>
      <c r="C16" s="265" t="s">
        <v>356</v>
      </c>
      <c r="D16" s="295">
        <v>1.3</v>
      </c>
      <c r="E16" s="241" t="s">
        <v>32</v>
      </c>
      <c r="F16" s="296">
        <v>1</v>
      </c>
      <c r="G16" s="296"/>
      <c r="H16" s="296"/>
      <c r="I16" s="264">
        <f t="shared" ref="I16:I21" si="0">IF(H16="",D16*F16,D16*F16*H16)</f>
        <v>1.3</v>
      </c>
      <c r="J16" s="15"/>
      <c r="K16" s="15"/>
      <c r="L16" s="15"/>
      <c r="M16" s="15"/>
      <c r="N16" s="15"/>
      <c r="O16" s="167"/>
    </row>
    <row r="17" spans="1:15" x14ac:dyDescent="0.25">
      <c r="A17" s="273">
        <v>20</v>
      </c>
      <c r="B17" s="265" t="s">
        <v>79</v>
      </c>
      <c r="C17" s="265" t="s">
        <v>355</v>
      </c>
      <c r="D17" s="295">
        <v>0.04</v>
      </c>
      <c r="E17" s="305" t="s">
        <v>81</v>
      </c>
      <c r="F17" s="233">
        <v>269.89999999999998</v>
      </c>
      <c r="G17" s="298" t="s">
        <v>82</v>
      </c>
      <c r="H17" s="304">
        <v>3</v>
      </c>
      <c r="I17" s="264">
        <f t="shared" si="0"/>
        <v>32.387999999999998</v>
      </c>
      <c r="J17" s="41"/>
      <c r="K17" s="41"/>
      <c r="L17" s="41"/>
      <c r="M17" s="41"/>
      <c r="N17" s="41"/>
      <c r="O17" s="167"/>
    </row>
    <row r="18" spans="1:15" x14ac:dyDescent="0.25">
      <c r="A18" s="303">
        <v>30</v>
      </c>
      <c r="B18" s="241" t="s">
        <v>80</v>
      </c>
      <c r="C18" s="265" t="s">
        <v>354</v>
      </c>
      <c r="D18" s="295">
        <v>0.65</v>
      </c>
      <c r="E18" s="241" t="s">
        <v>32</v>
      </c>
      <c r="F18" s="296">
        <v>1</v>
      </c>
      <c r="G18" s="296"/>
      <c r="H18" s="296"/>
      <c r="I18" s="264">
        <f t="shared" si="0"/>
        <v>0.65</v>
      </c>
      <c r="J18" s="41"/>
      <c r="K18" s="41"/>
      <c r="L18" s="41"/>
      <c r="M18" s="41"/>
      <c r="N18" s="41"/>
      <c r="O18" s="167"/>
    </row>
    <row r="19" spans="1:15" x14ac:dyDescent="0.25">
      <c r="A19" s="302">
        <v>40</v>
      </c>
      <c r="B19" s="301" t="s">
        <v>79</v>
      </c>
      <c r="C19" s="301" t="s">
        <v>353</v>
      </c>
      <c r="D19" s="295">
        <v>0.04</v>
      </c>
      <c r="E19" s="300" t="s">
        <v>81</v>
      </c>
      <c r="F19" s="299">
        <v>175.85</v>
      </c>
      <c r="G19" s="298" t="s">
        <v>82</v>
      </c>
      <c r="H19" s="297">
        <v>3</v>
      </c>
      <c r="I19" s="293">
        <f t="shared" si="0"/>
        <v>21.102</v>
      </c>
      <c r="J19" s="41"/>
      <c r="K19" s="41"/>
      <c r="L19" s="41"/>
      <c r="M19" s="41"/>
      <c r="N19" s="41"/>
      <c r="O19" s="167"/>
    </row>
    <row r="20" spans="1:15" x14ac:dyDescent="0.25">
      <c r="A20" s="237">
        <v>50</v>
      </c>
      <c r="B20" s="241" t="s">
        <v>80</v>
      </c>
      <c r="C20" s="265" t="s">
        <v>352</v>
      </c>
      <c r="D20" s="295">
        <v>0.65</v>
      </c>
      <c r="E20" s="241" t="s">
        <v>32</v>
      </c>
      <c r="F20" s="296">
        <v>1</v>
      </c>
      <c r="G20" s="187"/>
      <c r="H20" s="294"/>
      <c r="I20" s="293">
        <f t="shared" si="0"/>
        <v>0.65</v>
      </c>
      <c r="J20" s="41"/>
      <c r="K20" s="41"/>
      <c r="L20" s="41"/>
      <c r="M20" s="41"/>
      <c r="N20" s="41"/>
      <c r="O20" s="167"/>
    </row>
    <row r="21" spans="1:15" x14ac:dyDescent="0.25">
      <c r="A21" s="237">
        <v>60</v>
      </c>
      <c r="B21" s="265" t="s">
        <v>293</v>
      </c>
      <c r="C21" s="265" t="s">
        <v>351</v>
      </c>
      <c r="D21" s="295">
        <v>0.5</v>
      </c>
      <c r="E21" s="187" t="s">
        <v>46</v>
      </c>
      <c r="F21" s="233">
        <v>2.4700000000000002</v>
      </c>
      <c r="G21" s="187"/>
      <c r="H21" s="294"/>
      <c r="I21" s="293">
        <f t="shared" si="0"/>
        <v>1.2350000000000001</v>
      </c>
      <c r="J21" s="41"/>
      <c r="K21" s="41"/>
      <c r="L21" s="41"/>
      <c r="M21" s="41"/>
      <c r="N21" s="41"/>
      <c r="O21" s="167"/>
    </row>
    <row r="22" spans="1:15" x14ac:dyDescent="0.25">
      <c r="A22" s="170"/>
      <c r="B22" s="15"/>
      <c r="C22" s="15"/>
      <c r="D22" s="15"/>
      <c r="E22" s="15"/>
      <c r="F22" s="15"/>
      <c r="G22" s="15"/>
      <c r="H22" s="106" t="s">
        <v>18</v>
      </c>
      <c r="I22" s="292">
        <f>SUM(I16:I21)</f>
        <v>57.324999999999996</v>
      </c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229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ht="15.75" thickBot="1" x14ac:dyDescent="0.3">
      <c r="A29" s="166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4"/>
    </row>
    <row r="31" spans="1:15" x14ac:dyDescent="0.25">
      <c r="I31" s="291"/>
    </row>
    <row r="32" spans="1:15" x14ac:dyDescent="0.25">
      <c r="H32" s="108"/>
      <c r="J32" s="108"/>
    </row>
    <row r="33" spans="6:11" x14ac:dyDescent="0.25">
      <c r="K33" s="108"/>
    </row>
    <row r="34" spans="6:11" x14ac:dyDescent="0.25">
      <c r="F34" s="291"/>
      <c r="G34" s="108"/>
      <c r="H34" s="108"/>
      <c r="J34" s="290"/>
      <c r="K34" s="290"/>
    </row>
  </sheetData>
  <hyperlinks>
    <hyperlink ref="B4" location="EN_A1000!A1" display="Driveshaft"/>
    <hyperlink ref="G2" location="EN_A1000_BOM" display="Back to BOM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69" t="s">
        <v>66</v>
      </c>
      <c r="B1" s="69" t="str">
        <f>EN_02002</f>
        <v>EN 02002</v>
      </c>
    </row>
  </sheetData>
  <hyperlinks>
    <hyperlink ref="A1:B1" location="EN_02002" display="Drawing part :"/>
  </hyperlink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347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7" t="s">
        <v>15</v>
      </c>
      <c r="B5" s="308" t="s">
        <v>348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7"/>
    </row>
    <row r="6" spans="1:15" x14ac:dyDescent="0.25">
      <c r="A6" s="347" t="s">
        <v>7</v>
      </c>
      <c r="B6" s="261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167"/>
    </row>
    <row r="11" spans="1:15" x14ac:dyDescent="0.25">
      <c r="A11" s="255">
        <v>10</v>
      </c>
      <c r="B11" s="431" t="s">
        <v>359</v>
      </c>
      <c r="C11" s="216" t="s">
        <v>358</v>
      </c>
      <c r="D11" s="217">
        <v>2.25</v>
      </c>
      <c r="E11" s="226">
        <f>J11*K11*L11</f>
        <v>4.2790580425663371</v>
      </c>
      <c r="F11" s="216" t="s">
        <v>78</v>
      </c>
      <c r="G11" s="216"/>
      <c r="H11" s="224"/>
      <c r="I11" s="225" t="s">
        <v>357</v>
      </c>
      <c r="J11" s="225">
        <f>PI()*65.5*65.5/4/1000000</f>
        <v>3.3695544705159026E-3</v>
      </c>
      <c r="K11" s="221">
        <v>0.161773</v>
      </c>
      <c r="L11" s="220">
        <v>7850</v>
      </c>
      <c r="M11" s="220">
        <v>1</v>
      </c>
      <c r="N11" s="217">
        <f>D11*J11*K11*L11*M11</f>
        <v>9.6278805957742595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9.6278805957742595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623">
        <v>10</v>
      </c>
      <c r="B15" s="410" t="s">
        <v>45</v>
      </c>
      <c r="C15" s="624" t="s">
        <v>356</v>
      </c>
      <c r="D15" s="625">
        <v>1.3</v>
      </c>
      <c r="E15" s="410" t="s">
        <v>32</v>
      </c>
      <c r="F15" s="626">
        <v>1</v>
      </c>
      <c r="G15" s="626"/>
      <c r="H15" s="626"/>
      <c r="I15" s="627">
        <f t="shared" ref="I15:I22" si="0">IF(H15="",D15*F15,D15*F15*H15)</f>
        <v>1.3</v>
      </c>
      <c r="J15" s="15"/>
      <c r="K15" s="15"/>
      <c r="L15" s="15"/>
      <c r="M15" s="15"/>
      <c r="N15" s="15"/>
      <c r="O15" s="167"/>
    </row>
    <row r="16" spans="1:15" ht="30" x14ac:dyDescent="0.25">
      <c r="A16" s="628">
        <v>20</v>
      </c>
      <c r="B16" s="624" t="s">
        <v>79</v>
      </c>
      <c r="C16" s="624" t="s">
        <v>355</v>
      </c>
      <c r="D16" s="625">
        <v>0.04</v>
      </c>
      <c r="E16" s="629" t="s">
        <v>81</v>
      </c>
      <c r="F16" s="630">
        <v>313.90100000000001</v>
      </c>
      <c r="G16" s="298" t="s">
        <v>82</v>
      </c>
      <c r="H16" s="631">
        <v>3</v>
      </c>
      <c r="I16" s="627">
        <f t="shared" si="0"/>
        <v>37.668120000000002</v>
      </c>
      <c r="J16" s="41"/>
      <c r="K16" s="41"/>
      <c r="L16" s="41"/>
      <c r="M16" s="41"/>
      <c r="N16" s="41"/>
      <c r="O16" s="167"/>
    </row>
    <row r="17" spans="1:15" x14ac:dyDescent="0.25">
      <c r="A17" s="623">
        <v>30</v>
      </c>
      <c r="B17" s="410" t="s">
        <v>80</v>
      </c>
      <c r="C17" s="624" t="s">
        <v>354</v>
      </c>
      <c r="D17" s="625">
        <v>0.65</v>
      </c>
      <c r="E17" s="410" t="s">
        <v>32</v>
      </c>
      <c r="F17" s="626">
        <v>1</v>
      </c>
      <c r="G17" s="626"/>
      <c r="H17" s="626"/>
      <c r="I17" s="627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02">
        <v>40</v>
      </c>
      <c r="B18" s="301" t="s">
        <v>79</v>
      </c>
      <c r="C18" s="301" t="s">
        <v>353</v>
      </c>
      <c r="D18" s="625">
        <v>0.04</v>
      </c>
      <c r="E18" s="632" t="s">
        <v>81</v>
      </c>
      <c r="F18" s="299">
        <v>161.94</v>
      </c>
      <c r="G18" s="298" t="s">
        <v>82</v>
      </c>
      <c r="H18" s="633">
        <v>3</v>
      </c>
      <c r="I18" s="293">
        <f t="shared" si="0"/>
        <v>19.4328</v>
      </c>
      <c r="J18" s="41"/>
      <c r="K18" s="41"/>
      <c r="L18" s="41"/>
      <c r="M18" s="41"/>
      <c r="N18" s="41"/>
      <c r="O18" s="167"/>
    </row>
    <row r="19" spans="1:15" x14ac:dyDescent="0.25">
      <c r="A19" s="628">
        <v>50</v>
      </c>
      <c r="B19" s="410" t="s">
        <v>80</v>
      </c>
      <c r="C19" s="624" t="s">
        <v>352</v>
      </c>
      <c r="D19" s="625">
        <v>0.65</v>
      </c>
      <c r="E19" s="410" t="s">
        <v>32</v>
      </c>
      <c r="F19" s="626">
        <v>1</v>
      </c>
      <c r="G19" s="634"/>
      <c r="H19" s="451"/>
      <c r="I19" s="293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628">
        <v>60</v>
      </c>
      <c r="B20" s="624" t="s">
        <v>293</v>
      </c>
      <c r="C20" s="624" t="s">
        <v>351</v>
      </c>
      <c r="D20" s="625">
        <v>0.5</v>
      </c>
      <c r="E20" s="634" t="s">
        <v>46</v>
      </c>
      <c r="F20" s="630">
        <v>5.8928000000000003</v>
      </c>
      <c r="G20" s="634"/>
      <c r="H20" s="451"/>
      <c r="I20" s="293">
        <f t="shared" si="0"/>
        <v>2.9464000000000001</v>
      </c>
      <c r="J20" s="41"/>
      <c r="K20" s="41"/>
      <c r="L20" s="41"/>
      <c r="M20" s="41"/>
      <c r="N20" s="41"/>
      <c r="O20" s="167"/>
    </row>
    <row r="21" spans="1:15" ht="30" x14ac:dyDescent="0.25">
      <c r="A21" s="635">
        <v>70</v>
      </c>
      <c r="B21" s="624" t="s">
        <v>80</v>
      </c>
      <c r="C21" s="624" t="s">
        <v>362</v>
      </c>
      <c r="D21" s="636">
        <v>0.65</v>
      </c>
      <c r="E21" s="637" t="s">
        <v>32</v>
      </c>
      <c r="F21" s="638">
        <v>1</v>
      </c>
      <c r="G21" s="639"/>
      <c r="H21" s="639"/>
      <c r="I21" s="627">
        <f t="shared" si="0"/>
        <v>0.65</v>
      </c>
      <c r="J21" s="41"/>
      <c r="K21" s="41"/>
      <c r="L21" s="41"/>
      <c r="M21" s="41"/>
      <c r="N21" s="41"/>
      <c r="O21" s="167"/>
    </row>
    <row r="22" spans="1:15" x14ac:dyDescent="0.25">
      <c r="A22" s="302">
        <v>80</v>
      </c>
      <c r="B22" s="624" t="s">
        <v>361</v>
      </c>
      <c r="C22" s="624" t="s">
        <v>360</v>
      </c>
      <c r="D22" s="636">
        <v>0.1</v>
      </c>
      <c r="E22" s="637" t="s">
        <v>46</v>
      </c>
      <c r="F22" s="638">
        <v>1.8452999999999999</v>
      </c>
      <c r="G22" s="639"/>
      <c r="H22" s="639"/>
      <c r="I22" s="627">
        <f t="shared" si="0"/>
        <v>0.18453</v>
      </c>
      <c r="J22" s="41"/>
      <c r="K22" s="41"/>
      <c r="L22" s="229"/>
      <c r="M22" s="275"/>
      <c r="N22" s="41"/>
      <c r="O22" s="167"/>
    </row>
    <row r="23" spans="1:15" x14ac:dyDescent="0.25">
      <c r="A23" s="641"/>
      <c r="B23" s="15"/>
      <c r="C23" s="15"/>
      <c r="D23" s="15"/>
      <c r="E23" s="15"/>
      <c r="F23" s="15"/>
      <c r="G23" s="15"/>
      <c r="H23" s="106" t="s">
        <v>18</v>
      </c>
      <c r="I23" s="640">
        <f>SUM(I15:I20)</f>
        <v>62.647319999999993</v>
      </c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000!A1" display="Driveshaft"/>
    <hyperlink ref="G2" location="EN_A1000_BOM" display="Back to BOM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0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7"/>
    </row>
    <row r="6" spans="1:15" x14ac:dyDescent="0.25">
      <c r="A6" s="242" t="s">
        <v>7</v>
      </c>
      <c r="B6" s="261" t="s">
        <v>548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370</v>
      </c>
      <c r="D11" s="217">
        <v>2.25</v>
      </c>
      <c r="E11" s="226">
        <f>J11*K11*L11</f>
        <v>1.1472790446544314</v>
      </c>
      <c r="F11" s="216" t="s">
        <v>78</v>
      </c>
      <c r="G11" s="216"/>
      <c r="H11" s="224"/>
      <c r="I11" s="225" t="s">
        <v>369</v>
      </c>
      <c r="J11" s="225">
        <f>PI()*22.1*22.1/4/1000000</f>
        <v>3.8359631698494783E-4</v>
      </c>
      <c r="K11" s="221">
        <v>0.38100000000000001</v>
      </c>
      <c r="L11" s="220">
        <v>7850</v>
      </c>
      <c r="M11" s="220">
        <v>1</v>
      </c>
      <c r="N11" s="217">
        <f>D11*J11*K11*L11*M11</f>
        <v>2.58137785047247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2.58137785047247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12">
        <v>10</v>
      </c>
      <c r="B15" s="265" t="s">
        <v>45</v>
      </c>
      <c r="C15" s="265" t="s">
        <v>368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12">
        <v>20</v>
      </c>
      <c r="B16" s="265" t="s">
        <v>79</v>
      </c>
      <c r="C16" s="265" t="s">
        <v>367</v>
      </c>
      <c r="D16" s="311">
        <v>0.04</v>
      </c>
      <c r="E16" s="234" t="s">
        <v>81</v>
      </c>
      <c r="F16" s="314">
        <f>J11*0.009896*2*1000000</f>
        <v>7.5921383057660883</v>
      </c>
      <c r="G16" s="313" t="s">
        <v>365</v>
      </c>
      <c r="H16" s="309">
        <v>3</v>
      </c>
      <c r="I16" s="264">
        <f t="shared" si="0"/>
        <v>0.91105659669193062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364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12">
        <v>40</v>
      </c>
      <c r="B18" s="265" t="s">
        <v>79</v>
      </c>
      <c r="C18" s="265" t="s">
        <v>366</v>
      </c>
      <c r="D18" s="311">
        <v>0.04</v>
      </c>
      <c r="E18" s="234" t="s">
        <v>81</v>
      </c>
      <c r="F18" s="314">
        <f>(K11-2*0.009896)*PI()*0.00635*0.00635*1000000</f>
        <v>45.756698777462248</v>
      </c>
      <c r="G18" s="313" t="s">
        <v>365</v>
      </c>
      <c r="H18" s="309">
        <v>3</v>
      </c>
      <c r="I18" s="264">
        <f t="shared" si="0"/>
        <v>5.4908038532954695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364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293</v>
      </c>
      <c r="C20" s="265" t="s">
        <v>363</v>
      </c>
      <c r="D20" s="311">
        <v>0.5</v>
      </c>
      <c r="E20" s="234" t="s">
        <v>46</v>
      </c>
      <c r="F20" s="310">
        <f>(58.395-9.896)*2/10</f>
        <v>9.6997999999999998</v>
      </c>
      <c r="G20" s="238"/>
      <c r="H20" s="238"/>
      <c r="I20" s="264">
        <f t="shared" si="0"/>
        <v>4.8498999999999999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13.851760449987401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/>
    <hyperlink ref="E3" location="dEN_10003!A1" display="Drawing of the cut"/>
    <hyperlink ref="G2" location="EN_A1000_BOM" display="Back to BOM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cols>
    <col min="1" max="1" width="13.5703125" customWidth="1"/>
  </cols>
  <sheetData>
    <row r="1" spans="1:1" x14ac:dyDescent="0.25">
      <c r="A1" s="286" t="str">
        <f>EN_1000_003</f>
        <v>EN 10003</v>
      </c>
    </row>
  </sheetData>
  <hyperlinks>
    <hyperlink ref="A1" location="EN_1000_003" display="EN_1000_003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7"/>
    </row>
    <row r="6" spans="1:15" x14ac:dyDescent="0.25">
      <c r="A6" s="242" t="s">
        <v>7</v>
      </c>
      <c r="B6" s="261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370</v>
      </c>
      <c r="D11" s="217">
        <v>2.25</v>
      </c>
      <c r="E11" s="226">
        <f>J11*K11*L11</f>
        <v>1.3002495839416888</v>
      </c>
      <c r="F11" s="216" t="s">
        <v>78</v>
      </c>
      <c r="G11" s="216"/>
      <c r="H11" s="224"/>
      <c r="I11" s="225" t="s">
        <v>369</v>
      </c>
      <c r="J11" s="225">
        <f>PI()*22.1*22.1/4/1000000</f>
        <v>3.8359631698494783E-4</v>
      </c>
      <c r="K11" s="221">
        <v>0.43180000000000002</v>
      </c>
      <c r="L11" s="220">
        <v>7850</v>
      </c>
      <c r="M11" s="220">
        <v>1</v>
      </c>
      <c r="N11" s="217">
        <f>D11*J11*K11*L11*M11</f>
        <v>2.9255615638687997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2.9255615638687997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12">
        <v>10</v>
      </c>
      <c r="B15" s="265" t="s">
        <v>45</v>
      </c>
      <c r="C15" s="265" t="s">
        <v>368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12">
        <v>20</v>
      </c>
      <c r="B16" s="265" t="s">
        <v>79</v>
      </c>
      <c r="C16" s="265" t="s">
        <v>367</v>
      </c>
      <c r="D16" s="311">
        <v>0.04</v>
      </c>
      <c r="E16" s="234" t="s">
        <v>81</v>
      </c>
      <c r="F16" s="314">
        <f>J11*0.0155015*2*1000000</f>
        <v>11.892636615484337</v>
      </c>
      <c r="G16" s="313" t="s">
        <v>365</v>
      </c>
      <c r="H16" s="309">
        <v>3</v>
      </c>
      <c r="I16" s="264">
        <f t="shared" si="0"/>
        <v>1.4271163938581204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364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12">
        <v>40</v>
      </c>
      <c r="B18" s="265" t="s">
        <v>79</v>
      </c>
      <c r="C18" s="265" t="s">
        <v>366</v>
      </c>
      <c r="D18" s="311">
        <v>0.04</v>
      </c>
      <c r="E18" s="234" t="s">
        <v>81</v>
      </c>
      <c r="F18" s="314">
        <f>(K11-2*0.0155015)*PI()*0.00635*0.00635*1000000</f>
        <v>50.771709374959947</v>
      </c>
      <c r="G18" s="313" t="s">
        <v>365</v>
      </c>
      <c r="H18" s="309">
        <v>3</v>
      </c>
      <c r="I18" s="264">
        <f t="shared" si="0"/>
        <v>6.0926051249951936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364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293</v>
      </c>
      <c r="C20" s="265" t="s">
        <v>363</v>
      </c>
      <c r="D20" s="311">
        <v>0.5</v>
      </c>
      <c r="E20" s="234" t="s">
        <v>46</v>
      </c>
      <c r="F20" s="310">
        <f>(58.42-15.5015)*2/10</f>
        <v>8.5837000000000003</v>
      </c>
      <c r="G20" s="238"/>
      <c r="H20" s="238"/>
      <c r="I20" s="264">
        <f t="shared" si="0"/>
        <v>4.2918500000000002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14.411571518853314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/>
    <hyperlink ref="E3" location="dEN_10004!A1" display="Drawing of the cut"/>
    <hyperlink ref="G2" location="EN_A1000_BOM" display="Back to BOM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">
        <v>549</v>
      </c>
    </row>
  </sheetData>
  <hyperlinks>
    <hyperlink ref="A1" location="EN_1000_004" display="EN_1000_004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61"/>
  <sheetViews>
    <sheetView topLeftCell="A31" zoomScale="70" zoomScaleNormal="7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EN_A1100_pa+EN_A1100_m+EN_A1100_p+EN_A1100_f+EN_A1100_t</f>
        <v>133.38135203617514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402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550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133.38135203617514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401</v>
      </c>
      <c r="C10" s="283">
        <f>EN_11001!N$2</f>
        <v>24.754258243942196</v>
      </c>
      <c r="D10" s="181">
        <f>EN_1100_001_q</f>
        <v>1</v>
      </c>
      <c r="E10" s="282">
        <f t="shared" ref="E10:E15" si="0">C10*D10</f>
        <v>24.754258243942196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6" t="s">
        <v>400</v>
      </c>
      <c r="C11" s="283">
        <f>EN_11002!N$2</f>
        <v>41.802269960952131</v>
      </c>
      <c r="D11" s="181">
        <f>EN_1100_002_q</f>
        <v>1</v>
      </c>
      <c r="E11" s="282">
        <f t="shared" si="0"/>
        <v>41.802269960952131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284" t="s">
        <v>399</v>
      </c>
      <c r="C12" s="283">
        <f>EN_11003!N$2</f>
        <v>29.160865459581132</v>
      </c>
      <c r="D12" s="181">
        <f>EN_1100_003_q</f>
        <v>1</v>
      </c>
      <c r="E12" s="282">
        <f t="shared" si="0"/>
        <v>29.160865459581132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398</v>
      </c>
      <c r="C13" s="283">
        <f>EN_11004!N$2</f>
        <v>9.0978820921659498</v>
      </c>
      <c r="D13" s="181">
        <f>EN_1100_004_q</f>
        <v>1</v>
      </c>
      <c r="E13" s="282">
        <f t="shared" si="0"/>
        <v>9.0978820921659498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85">
        <v>50</v>
      </c>
      <c r="B14" s="284" t="s">
        <v>397</v>
      </c>
      <c r="C14" s="283">
        <f>EN_11005!N$2</f>
        <v>1.7144014375000001</v>
      </c>
      <c r="D14" s="181">
        <f>EN_1100_005_q</f>
        <v>1</v>
      </c>
      <c r="E14" s="282">
        <f t="shared" si="0"/>
        <v>1.7144014375000001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67"/>
    </row>
    <row r="15" spans="1:15" x14ac:dyDescent="0.25">
      <c r="A15" s="185">
        <v>60</v>
      </c>
      <c r="B15" s="284" t="s">
        <v>396</v>
      </c>
      <c r="C15" s="283">
        <f>EN_11006!N$2</f>
        <v>1.7139456024999999</v>
      </c>
      <c r="D15" s="181">
        <f>EN_1100_006_q</f>
        <v>1</v>
      </c>
      <c r="E15" s="282">
        <f t="shared" si="0"/>
        <v>1.7139456024999999</v>
      </c>
      <c r="F15" s="177"/>
      <c r="G15" s="177"/>
      <c r="H15" s="177"/>
      <c r="I15" s="177"/>
      <c r="J15" s="177"/>
      <c r="K15" s="177"/>
      <c r="L15" s="177"/>
      <c r="M15" s="177"/>
      <c r="N15" s="177"/>
      <c r="O15" s="167"/>
    </row>
    <row r="16" spans="1:15" x14ac:dyDescent="0.25">
      <c r="A16" s="174"/>
      <c r="B16" s="41"/>
      <c r="C16" s="41"/>
      <c r="D16" s="169" t="s">
        <v>18</v>
      </c>
      <c r="E16" s="168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7"/>
    </row>
    <row r="17" spans="1:15" x14ac:dyDescent="0.25">
      <c r="A17" s="17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6"/>
    </row>
    <row r="18" spans="1:15" x14ac:dyDescent="0.25">
      <c r="A18" s="173" t="s">
        <v>14</v>
      </c>
      <c r="B18" s="172" t="s">
        <v>19</v>
      </c>
      <c r="C18" s="172" t="s">
        <v>20</v>
      </c>
      <c r="D18" s="172" t="s">
        <v>21</v>
      </c>
      <c r="E18" s="172" t="s">
        <v>22</v>
      </c>
      <c r="F18" s="172" t="s">
        <v>23</v>
      </c>
      <c r="G18" s="172" t="s">
        <v>24</v>
      </c>
      <c r="H18" s="172" t="s">
        <v>25</v>
      </c>
      <c r="I18" s="172" t="s">
        <v>26</v>
      </c>
      <c r="J18" s="172" t="s">
        <v>27</v>
      </c>
      <c r="K18" s="172" t="s">
        <v>28</v>
      </c>
      <c r="L18" s="172" t="s">
        <v>29</v>
      </c>
      <c r="M18" s="172" t="s">
        <v>17</v>
      </c>
      <c r="N18" s="172" t="s">
        <v>18</v>
      </c>
      <c r="O18" s="196"/>
    </row>
    <row r="19" spans="1:15" x14ac:dyDescent="0.25">
      <c r="A19" s="185">
        <v>10</v>
      </c>
      <c r="B19" s="182" t="s">
        <v>395</v>
      </c>
      <c r="C19" s="182"/>
      <c r="D19" s="276">
        <v>0.05</v>
      </c>
      <c r="E19" s="182">
        <v>20</v>
      </c>
      <c r="F19" s="182" t="s">
        <v>30</v>
      </c>
      <c r="G19" s="182"/>
      <c r="H19" s="192"/>
      <c r="I19" s="197"/>
      <c r="J19" s="193"/>
      <c r="K19" s="192"/>
      <c r="L19" s="192"/>
      <c r="M19" s="193">
        <v>1</v>
      </c>
      <c r="N19" s="281">
        <f>IF(J19="",D19*M19*E19,D19*J19*K19*L19*M19)</f>
        <v>1</v>
      </c>
      <c r="O19" s="186"/>
    </row>
    <row r="20" spans="1:15" x14ac:dyDescent="0.25">
      <c r="A20" s="185">
        <v>20</v>
      </c>
      <c r="B20" s="182" t="s">
        <v>264</v>
      </c>
      <c r="C20" s="182" t="s">
        <v>394</v>
      </c>
      <c r="D20" s="276">
        <v>10</v>
      </c>
      <c r="E20" s="182">
        <f>0.001*2+0.116</f>
        <v>0.11800000000000001</v>
      </c>
      <c r="F20" s="182" t="s">
        <v>89</v>
      </c>
      <c r="G20" s="182"/>
      <c r="H20" s="192"/>
      <c r="I20" s="197"/>
      <c r="J20" s="193"/>
      <c r="K20" s="192"/>
      <c r="L20" s="192"/>
      <c r="M20" s="193">
        <v>1</v>
      </c>
      <c r="N20" s="281">
        <f>IF(J20="",D20*M20*E20,D20*J20*K20*L20*M20)</f>
        <v>1.1800000000000002</v>
      </c>
      <c r="O20" s="167"/>
    </row>
    <row r="21" spans="1:15" x14ac:dyDescent="0.25">
      <c r="A21" s="17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2" t="s">
        <v>18</v>
      </c>
      <c r="N21" s="175">
        <f>SUM(N19:N20)</f>
        <v>2.1800000000000002</v>
      </c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3" t="s">
        <v>14</v>
      </c>
      <c r="B23" s="172" t="s">
        <v>31</v>
      </c>
      <c r="C23" s="172" t="s">
        <v>20</v>
      </c>
      <c r="D23" s="172" t="s">
        <v>21</v>
      </c>
      <c r="E23" s="172" t="s">
        <v>32</v>
      </c>
      <c r="F23" s="172" t="s">
        <v>17</v>
      </c>
      <c r="G23" s="172" t="s">
        <v>33</v>
      </c>
      <c r="H23" s="172" t="s">
        <v>34</v>
      </c>
      <c r="I23" s="172" t="s">
        <v>18</v>
      </c>
      <c r="J23" s="15"/>
      <c r="K23" s="15"/>
      <c r="L23" s="15"/>
      <c r="M23" s="15"/>
      <c r="N23" s="15"/>
      <c r="O23" s="167"/>
    </row>
    <row r="24" spans="1:15" x14ac:dyDescent="0.25">
      <c r="A24" s="312">
        <v>10</v>
      </c>
      <c r="B24" s="265" t="s">
        <v>72</v>
      </c>
      <c r="C24" s="265" t="s">
        <v>393</v>
      </c>
      <c r="D24" s="311">
        <v>0.15</v>
      </c>
      <c r="E24" s="234" t="s">
        <v>46</v>
      </c>
      <c r="F24" s="324">
        <v>2</v>
      </c>
      <c r="G24" s="232"/>
      <c r="H24" s="232"/>
      <c r="I24" s="317">
        <f t="shared" ref="I24:I41" si="1">IF(H24="",D24*F24,D24*F24*H24)</f>
        <v>0.3</v>
      </c>
      <c r="J24" s="177"/>
      <c r="K24" s="177"/>
      <c r="L24" s="177"/>
      <c r="M24" s="41"/>
      <c r="N24" s="41"/>
      <c r="O24" s="167"/>
    </row>
    <row r="25" spans="1:15" x14ac:dyDescent="0.25">
      <c r="A25" s="312">
        <v>20</v>
      </c>
      <c r="B25" s="265" t="s">
        <v>258</v>
      </c>
      <c r="C25" s="182" t="s">
        <v>392</v>
      </c>
      <c r="D25" s="311">
        <v>5.25</v>
      </c>
      <c r="E25" s="234" t="s">
        <v>89</v>
      </c>
      <c r="F25" s="182">
        <f>0.001*2+0.116</f>
        <v>0.11800000000000001</v>
      </c>
      <c r="G25" s="232"/>
      <c r="H25" s="232"/>
      <c r="I25" s="317">
        <f t="shared" si="1"/>
        <v>0.61950000000000005</v>
      </c>
      <c r="J25" s="177"/>
      <c r="K25" s="177"/>
      <c r="L25" s="177"/>
      <c r="M25" s="41"/>
      <c r="N25" s="41"/>
      <c r="O25" s="167"/>
    </row>
    <row r="26" spans="1:15" ht="30" x14ac:dyDescent="0.25">
      <c r="A26" s="312">
        <v>30</v>
      </c>
      <c r="B26" s="265" t="s">
        <v>252</v>
      </c>
      <c r="C26" s="265" t="s">
        <v>391</v>
      </c>
      <c r="D26" s="311">
        <v>0.19</v>
      </c>
      <c r="E26" s="234" t="s">
        <v>32</v>
      </c>
      <c r="F26" s="324">
        <v>1</v>
      </c>
      <c r="G26" s="237"/>
      <c r="H26" s="237"/>
      <c r="I26" s="317">
        <f t="shared" si="1"/>
        <v>0.19</v>
      </c>
      <c r="J26" s="177"/>
      <c r="K26" s="177"/>
      <c r="L26" s="177"/>
      <c r="M26" s="41"/>
      <c r="N26" s="41"/>
      <c r="O26" s="167"/>
    </row>
    <row r="27" spans="1:15" ht="30" x14ac:dyDescent="0.25">
      <c r="A27" s="312">
        <v>40</v>
      </c>
      <c r="B27" s="265" t="s">
        <v>252</v>
      </c>
      <c r="C27" s="265" t="s">
        <v>390</v>
      </c>
      <c r="D27" s="311">
        <v>0.19</v>
      </c>
      <c r="E27" s="234" t="s">
        <v>32</v>
      </c>
      <c r="F27" s="324">
        <v>6</v>
      </c>
      <c r="G27" s="237"/>
      <c r="H27" s="237"/>
      <c r="I27" s="317">
        <f t="shared" si="1"/>
        <v>1.1400000000000001</v>
      </c>
      <c r="J27" s="177"/>
      <c r="K27" s="177"/>
      <c r="L27" s="177"/>
      <c r="M27" s="41"/>
      <c r="N27" s="41"/>
      <c r="O27" s="167"/>
    </row>
    <row r="28" spans="1:15" x14ac:dyDescent="0.25">
      <c r="A28" s="312">
        <v>50</v>
      </c>
      <c r="B28" s="265" t="s">
        <v>88</v>
      </c>
      <c r="C28" s="265" t="s">
        <v>389</v>
      </c>
      <c r="D28" s="311">
        <v>0.13</v>
      </c>
      <c r="E28" s="234" t="s">
        <v>32</v>
      </c>
      <c r="F28" s="324">
        <v>1</v>
      </c>
      <c r="G28" s="237"/>
      <c r="H28" s="237"/>
      <c r="I28" s="317">
        <f t="shared" si="1"/>
        <v>0.13</v>
      </c>
      <c r="J28" s="177"/>
      <c r="K28" s="177"/>
      <c r="L28" s="177"/>
      <c r="M28" s="41"/>
      <c r="N28" s="41"/>
      <c r="O28" s="167"/>
    </row>
    <row r="29" spans="1:15" x14ac:dyDescent="0.25">
      <c r="A29" s="312">
        <v>60</v>
      </c>
      <c r="B29" s="265" t="s">
        <v>73</v>
      </c>
      <c r="C29" s="265" t="s">
        <v>381</v>
      </c>
      <c r="D29" s="311">
        <v>0.06</v>
      </c>
      <c r="E29" s="234" t="s">
        <v>32</v>
      </c>
      <c r="F29" s="324">
        <v>15</v>
      </c>
      <c r="G29" s="237"/>
      <c r="H29" s="237"/>
      <c r="I29" s="317">
        <f t="shared" si="1"/>
        <v>0.89999999999999991</v>
      </c>
      <c r="J29" s="177"/>
      <c r="K29" s="177"/>
      <c r="L29" s="177"/>
      <c r="M29" s="41"/>
      <c r="N29" s="41"/>
      <c r="O29" s="167"/>
    </row>
    <row r="30" spans="1:15" x14ac:dyDescent="0.25">
      <c r="A30" s="312">
        <v>70</v>
      </c>
      <c r="B30" s="265" t="s">
        <v>286</v>
      </c>
      <c r="C30" s="265" t="s">
        <v>388</v>
      </c>
      <c r="D30" s="311">
        <v>0.75</v>
      </c>
      <c r="E30" s="234" t="s">
        <v>32</v>
      </c>
      <c r="F30" s="324">
        <v>6</v>
      </c>
      <c r="G30" s="237"/>
      <c r="H30" s="237"/>
      <c r="I30" s="317">
        <f t="shared" si="1"/>
        <v>4.5</v>
      </c>
      <c r="J30" s="177"/>
      <c r="K30" s="177"/>
      <c r="L30" s="177"/>
      <c r="M30" s="41"/>
      <c r="N30" s="41"/>
      <c r="O30" s="167"/>
    </row>
    <row r="31" spans="1:15" x14ac:dyDescent="0.25">
      <c r="A31" s="312">
        <v>80</v>
      </c>
      <c r="B31" s="265" t="s">
        <v>380</v>
      </c>
      <c r="C31" s="265" t="s">
        <v>388</v>
      </c>
      <c r="D31" s="311">
        <v>0.25</v>
      </c>
      <c r="E31" s="234" t="s">
        <v>32</v>
      </c>
      <c r="F31" s="324">
        <v>6</v>
      </c>
      <c r="G31" s="237"/>
      <c r="H31" s="237"/>
      <c r="I31" s="317">
        <f t="shared" si="1"/>
        <v>1.5</v>
      </c>
      <c r="J31" s="177"/>
      <c r="K31" s="177"/>
      <c r="L31" s="177"/>
      <c r="M31" s="41"/>
      <c r="N31" s="41"/>
      <c r="O31" s="167"/>
    </row>
    <row r="32" spans="1:15" x14ac:dyDescent="0.25">
      <c r="A32" s="312">
        <v>90</v>
      </c>
      <c r="B32" s="265" t="s">
        <v>252</v>
      </c>
      <c r="C32" s="265" t="s">
        <v>387</v>
      </c>
      <c r="D32" s="311">
        <v>0.19</v>
      </c>
      <c r="E32" s="234" t="s">
        <v>32</v>
      </c>
      <c r="F32" s="324">
        <v>1</v>
      </c>
      <c r="G32" s="237"/>
      <c r="H32" s="237"/>
      <c r="I32" s="317">
        <f t="shared" si="1"/>
        <v>0.19</v>
      </c>
      <c r="J32" s="177"/>
      <c r="K32" s="177"/>
      <c r="L32" s="177"/>
      <c r="M32" s="41"/>
      <c r="N32" s="41"/>
      <c r="O32" s="167"/>
    </row>
    <row r="33" spans="1:15" x14ac:dyDescent="0.25">
      <c r="A33" s="312">
        <v>100</v>
      </c>
      <c r="B33" s="265" t="s">
        <v>286</v>
      </c>
      <c r="C33" s="265" t="s">
        <v>386</v>
      </c>
      <c r="D33" s="311">
        <v>0.75</v>
      </c>
      <c r="E33" s="234" t="s">
        <v>32</v>
      </c>
      <c r="F33" s="324">
        <v>1</v>
      </c>
      <c r="G33" s="237"/>
      <c r="H33" s="237"/>
      <c r="I33" s="317">
        <f t="shared" si="1"/>
        <v>0.75</v>
      </c>
      <c r="J33" s="178"/>
      <c r="K33" s="178"/>
      <c r="L33" s="178"/>
      <c r="M33" s="41"/>
      <c r="N33" s="41"/>
      <c r="O33" s="167"/>
    </row>
    <row r="34" spans="1:15" x14ac:dyDescent="0.25">
      <c r="A34" s="312">
        <v>110</v>
      </c>
      <c r="B34" s="265" t="s">
        <v>88</v>
      </c>
      <c r="C34" s="265" t="s">
        <v>385</v>
      </c>
      <c r="D34" s="311">
        <v>0.13</v>
      </c>
      <c r="E34" s="234" t="s">
        <v>32</v>
      </c>
      <c r="F34" s="324">
        <v>1</v>
      </c>
      <c r="G34" s="237"/>
      <c r="H34" s="237"/>
      <c r="I34" s="317">
        <f t="shared" si="1"/>
        <v>0.13</v>
      </c>
      <c r="J34" s="177"/>
      <c r="K34" s="177"/>
      <c r="L34" s="177"/>
      <c r="M34" s="41"/>
      <c r="N34" s="41"/>
      <c r="O34" s="167"/>
    </row>
    <row r="35" spans="1:15" x14ac:dyDescent="0.25">
      <c r="A35" s="312">
        <v>120</v>
      </c>
      <c r="B35" s="265" t="s">
        <v>384</v>
      </c>
      <c r="C35" s="265" t="s">
        <v>383</v>
      </c>
      <c r="D35" s="311">
        <v>5</v>
      </c>
      <c r="E35" s="234" t="s">
        <v>32</v>
      </c>
      <c r="F35" s="324">
        <v>1</v>
      </c>
      <c r="G35" s="237"/>
      <c r="H35" s="237"/>
      <c r="I35" s="317">
        <f t="shared" si="1"/>
        <v>5</v>
      </c>
      <c r="J35" s="178"/>
      <c r="K35" s="178"/>
      <c r="L35" s="178"/>
      <c r="M35" s="41"/>
      <c r="N35" s="41"/>
      <c r="O35" s="167"/>
    </row>
    <row r="36" spans="1:15" x14ac:dyDescent="0.25">
      <c r="A36" s="312">
        <v>130</v>
      </c>
      <c r="B36" s="265" t="s">
        <v>73</v>
      </c>
      <c r="C36" s="265" t="s">
        <v>381</v>
      </c>
      <c r="D36" s="311">
        <v>0.06</v>
      </c>
      <c r="E36" s="234" t="s">
        <v>32</v>
      </c>
      <c r="F36" s="324">
        <v>3</v>
      </c>
      <c r="G36" s="237"/>
      <c r="H36" s="237"/>
      <c r="I36" s="317">
        <f t="shared" si="1"/>
        <v>0.18</v>
      </c>
      <c r="J36" s="177"/>
      <c r="K36" s="177"/>
      <c r="L36" s="177"/>
      <c r="M36" s="41"/>
      <c r="N36" s="41"/>
      <c r="O36" s="167"/>
    </row>
    <row r="37" spans="1:15" x14ac:dyDescent="0.25">
      <c r="A37" s="312">
        <v>140</v>
      </c>
      <c r="B37" s="265" t="s">
        <v>286</v>
      </c>
      <c r="C37" s="265" t="s">
        <v>382</v>
      </c>
      <c r="D37" s="311">
        <v>0.75</v>
      </c>
      <c r="E37" s="234" t="s">
        <v>32</v>
      </c>
      <c r="F37" s="324">
        <v>1</v>
      </c>
      <c r="G37" s="237"/>
      <c r="H37" s="237"/>
      <c r="I37" s="317">
        <f t="shared" si="1"/>
        <v>0.75</v>
      </c>
      <c r="J37" s="177"/>
      <c r="K37" s="177"/>
      <c r="L37" s="177"/>
      <c r="M37" s="41"/>
      <c r="N37" s="41"/>
      <c r="O37" s="167"/>
    </row>
    <row r="38" spans="1:15" x14ac:dyDescent="0.25">
      <c r="A38" s="312">
        <v>150</v>
      </c>
      <c r="B38" s="265" t="s">
        <v>380</v>
      </c>
      <c r="C38" s="265" t="s">
        <v>382</v>
      </c>
      <c r="D38" s="311">
        <v>0.25</v>
      </c>
      <c r="E38" s="234" t="s">
        <v>32</v>
      </c>
      <c r="F38" s="324">
        <v>1</v>
      </c>
      <c r="G38" s="237"/>
      <c r="H38" s="237"/>
      <c r="I38" s="317">
        <f t="shared" si="1"/>
        <v>0.25</v>
      </c>
      <c r="J38" s="177"/>
      <c r="K38" s="177"/>
      <c r="L38" s="177"/>
      <c r="M38" s="41"/>
      <c r="N38" s="41"/>
      <c r="O38" s="167"/>
    </row>
    <row r="39" spans="1:15" x14ac:dyDescent="0.25">
      <c r="A39" s="312">
        <v>160</v>
      </c>
      <c r="B39" s="265" t="s">
        <v>73</v>
      </c>
      <c r="C39" s="265" t="s">
        <v>381</v>
      </c>
      <c r="D39" s="311">
        <v>0.06</v>
      </c>
      <c r="E39" s="234" t="s">
        <v>32</v>
      </c>
      <c r="F39" s="324">
        <v>3</v>
      </c>
      <c r="G39" s="237"/>
      <c r="H39" s="237"/>
      <c r="I39" s="317">
        <f t="shared" si="1"/>
        <v>0.18</v>
      </c>
      <c r="J39" s="177"/>
      <c r="K39" s="177"/>
      <c r="L39" s="177"/>
      <c r="M39" s="41"/>
      <c r="N39" s="41"/>
      <c r="O39" s="167"/>
    </row>
    <row r="40" spans="1:15" x14ac:dyDescent="0.25">
      <c r="A40" s="312">
        <v>170</v>
      </c>
      <c r="B40" s="265" t="s">
        <v>286</v>
      </c>
      <c r="C40" s="265" t="s">
        <v>379</v>
      </c>
      <c r="D40" s="311">
        <v>0.75</v>
      </c>
      <c r="E40" s="234" t="s">
        <v>32</v>
      </c>
      <c r="F40" s="324">
        <v>1</v>
      </c>
      <c r="G40" s="237"/>
      <c r="H40" s="237"/>
      <c r="I40" s="317">
        <f t="shared" si="1"/>
        <v>0.75</v>
      </c>
      <c r="J40" s="177"/>
      <c r="K40" s="177"/>
      <c r="L40" s="177"/>
      <c r="M40" s="41"/>
      <c r="N40" s="41"/>
      <c r="O40" s="167"/>
    </row>
    <row r="41" spans="1:15" x14ac:dyDescent="0.25">
      <c r="A41" s="312">
        <v>180</v>
      </c>
      <c r="B41" s="265" t="s">
        <v>380</v>
      </c>
      <c r="C41" s="265" t="s">
        <v>379</v>
      </c>
      <c r="D41" s="311">
        <v>0.25</v>
      </c>
      <c r="E41" s="234" t="s">
        <v>32</v>
      </c>
      <c r="F41" s="324">
        <v>1</v>
      </c>
      <c r="G41" s="237"/>
      <c r="H41" s="237"/>
      <c r="I41" s="317">
        <f t="shared" si="1"/>
        <v>0.25</v>
      </c>
      <c r="J41" s="177"/>
      <c r="K41" s="177"/>
      <c r="L41" s="177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76" t="s">
        <v>18</v>
      </c>
      <c r="I42" s="175">
        <f>SUM(I24:I41)</f>
        <v>17.709499999999998</v>
      </c>
      <c r="J42" s="41"/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x14ac:dyDescent="0.25">
      <c r="A44" s="173" t="s">
        <v>14</v>
      </c>
      <c r="B44" s="172" t="s">
        <v>36</v>
      </c>
      <c r="C44" s="172" t="s">
        <v>20</v>
      </c>
      <c r="D44" s="172" t="s">
        <v>21</v>
      </c>
      <c r="E44" s="172" t="s">
        <v>22</v>
      </c>
      <c r="F44" s="172" t="s">
        <v>23</v>
      </c>
      <c r="G44" s="172" t="s">
        <v>24</v>
      </c>
      <c r="H44" s="172" t="s">
        <v>25</v>
      </c>
      <c r="I44" s="172" t="s">
        <v>17</v>
      </c>
      <c r="J44" s="172" t="s">
        <v>18</v>
      </c>
      <c r="K44" s="41"/>
      <c r="L44" s="41"/>
      <c r="M44" s="41"/>
      <c r="N44" s="41"/>
      <c r="O44" s="167"/>
    </row>
    <row r="45" spans="1:15" x14ac:dyDescent="0.25">
      <c r="A45" s="185">
        <v>10</v>
      </c>
      <c r="B45" s="182" t="s">
        <v>239</v>
      </c>
      <c r="C45" s="182" t="s">
        <v>378</v>
      </c>
      <c r="D45" s="321">
        <f>0.8/105154*E45*E45*G45*SQRT(G45)+(0.003*EXP(0.319*E45))</f>
        <v>0.19787566120335398</v>
      </c>
      <c r="E45" s="310">
        <v>10</v>
      </c>
      <c r="F45" s="320" t="s">
        <v>30</v>
      </c>
      <c r="G45" s="310">
        <v>30</v>
      </c>
      <c r="H45" s="319" t="s">
        <v>30</v>
      </c>
      <c r="I45" s="318">
        <v>6</v>
      </c>
      <c r="J45" s="317">
        <f t="shared" ref="J45:J55" si="2">I45*D45</f>
        <v>1.1872539672201239</v>
      </c>
      <c r="K45" s="41"/>
      <c r="L45" s="41"/>
      <c r="M45" s="41"/>
      <c r="N45" s="41"/>
      <c r="O45" s="167"/>
    </row>
    <row r="46" spans="1:15" x14ac:dyDescent="0.25">
      <c r="A46" s="185">
        <v>20</v>
      </c>
      <c r="B46" s="182" t="s">
        <v>238</v>
      </c>
      <c r="C46" s="182" t="s">
        <v>378</v>
      </c>
      <c r="D46" s="321">
        <f>0.009*EXP(0.2*E46)</f>
        <v>6.6501504890375845E-2</v>
      </c>
      <c r="E46" s="310">
        <v>10</v>
      </c>
      <c r="F46" s="320" t="s">
        <v>30</v>
      </c>
      <c r="G46" s="310"/>
      <c r="H46" s="319"/>
      <c r="I46" s="318">
        <v>6</v>
      </c>
      <c r="J46" s="317">
        <f t="shared" si="2"/>
        <v>0.39900902934225507</v>
      </c>
      <c r="K46" s="41"/>
      <c r="L46" s="41"/>
      <c r="M46" s="41"/>
      <c r="N46" s="41"/>
      <c r="O46" s="167"/>
    </row>
    <row r="47" spans="1:15" x14ac:dyDescent="0.25">
      <c r="A47" s="185">
        <v>30</v>
      </c>
      <c r="B47" s="182" t="s">
        <v>93</v>
      </c>
      <c r="C47" s="182" t="s">
        <v>378</v>
      </c>
      <c r="D47" s="321">
        <v>0.01</v>
      </c>
      <c r="E47" s="310"/>
      <c r="F47" s="320" t="s">
        <v>32</v>
      </c>
      <c r="G47" s="310"/>
      <c r="H47" s="319"/>
      <c r="I47" s="318">
        <v>12</v>
      </c>
      <c r="J47" s="323">
        <f t="shared" si="2"/>
        <v>0.12</v>
      </c>
      <c r="K47" s="41"/>
      <c r="L47" s="41"/>
      <c r="M47" s="41"/>
      <c r="N47" s="41"/>
      <c r="O47" s="167"/>
    </row>
    <row r="48" spans="1:15" x14ac:dyDescent="0.25">
      <c r="A48" s="185">
        <v>40</v>
      </c>
      <c r="B48" s="182" t="s">
        <v>239</v>
      </c>
      <c r="C48" s="182" t="s">
        <v>377</v>
      </c>
      <c r="D48" s="321">
        <f>0.8/105154*E48*E48*G48*SQRT(G48)+(0.003*EXP(0.319*E48))</f>
        <v>8.2048330888522564E-2</v>
      </c>
      <c r="E48" s="310">
        <v>8</v>
      </c>
      <c r="F48" s="320" t="s">
        <v>30</v>
      </c>
      <c r="G48" s="310">
        <v>20</v>
      </c>
      <c r="H48" s="319" t="s">
        <v>30</v>
      </c>
      <c r="I48" s="318">
        <v>1</v>
      </c>
      <c r="J48" s="264">
        <f t="shared" si="2"/>
        <v>8.2048330888522564E-2</v>
      </c>
      <c r="K48" s="41"/>
      <c r="L48" s="41"/>
      <c r="M48" s="41"/>
      <c r="N48" s="41"/>
      <c r="O48" s="167"/>
    </row>
    <row r="49" spans="1:15" x14ac:dyDescent="0.25">
      <c r="A49" s="185">
        <v>50</v>
      </c>
      <c r="B49" s="182" t="s">
        <v>238</v>
      </c>
      <c r="C49" s="182" t="s">
        <v>377</v>
      </c>
      <c r="D49" s="321">
        <f>0.009*EXP(0.2*E49)</f>
        <v>4.4577291819556032E-2</v>
      </c>
      <c r="E49" s="310">
        <v>8</v>
      </c>
      <c r="F49" s="320" t="s">
        <v>30</v>
      </c>
      <c r="G49" s="310"/>
      <c r="H49" s="319"/>
      <c r="I49" s="318">
        <v>1</v>
      </c>
      <c r="J49" s="322">
        <f t="shared" si="2"/>
        <v>4.4577291819556032E-2</v>
      </c>
      <c r="K49" s="41"/>
      <c r="L49" s="41"/>
      <c r="M49" s="41"/>
      <c r="N49" s="41"/>
      <c r="O49" s="167"/>
    </row>
    <row r="50" spans="1:15" x14ac:dyDescent="0.25">
      <c r="A50" s="185">
        <v>60</v>
      </c>
      <c r="B50" s="182" t="s">
        <v>93</v>
      </c>
      <c r="C50" s="182" t="s">
        <v>377</v>
      </c>
      <c r="D50" s="321">
        <v>0.01</v>
      </c>
      <c r="E50" s="310"/>
      <c r="F50" s="320" t="s">
        <v>32</v>
      </c>
      <c r="G50" s="310"/>
      <c r="H50" s="319"/>
      <c r="I50" s="318">
        <v>2</v>
      </c>
      <c r="J50" s="317">
        <f t="shared" si="2"/>
        <v>0.02</v>
      </c>
      <c r="K50" s="41"/>
      <c r="L50" s="41"/>
      <c r="M50" s="41"/>
      <c r="N50" s="41"/>
      <c r="O50" s="167"/>
    </row>
    <row r="51" spans="1:15" x14ac:dyDescent="0.25">
      <c r="A51" s="185">
        <v>70</v>
      </c>
      <c r="B51" s="182" t="s">
        <v>239</v>
      </c>
      <c r="C51" s="182" t="s">
        <v>377</v>
      </c>
      <c r="D51" s="321">
        <f>0.8/105154*E51*E51*G51*SQRT(G51)+(0.003*EXP(0.319*E51))</f>
        <v>8.2048330888522564E-2</v>
      </c>
      <c r="E51" s="310">
        <v>8</v>
      </c>
      <c r="F51" s="320" t="s">
        <v>30</v>
      </c>
      <c r="G51" s="310">
        <v>20</v>
      </c>
      <c r="H51" s="319" t="s">
        <v>30</v>
      </c>
      <c r="I51" s="318">
        <v>1</v>
      </c>
      <c r="J51" s="317">
        <f t="shared" si="2"/>
        <v>8.2048330888522564E-2</v>
      </c>
      <c r="K51" s="41"/>
      <c r="L51" s="41"/>
      <c r="M51" s="41"/>
      <c r="N51" s="41"/>
      <c r="O51" s="167"/>
    </row>
    <row r="52" spans="1:15" x14ac:dyDescent="0.25">
      <c r="A52" s="185">
        <v>80</v>
      </c>
      <c r="B52" s="182" t="s">
        <v>238</v>
      </c>
      <c r="C52" s="182" t="s">
        <v>377</v>
      </c>
      <c r="D52" s="321">
        <f>0.009*EXP(0.2*E52)</f>
        <v>4.4577291819556032E-2</v>
      </c>
      <c r="E52" s="310">
        <v>8</v>
      </c>
      <c r="F52" s="320" t="s">
        <v>30</v>
      </c>
      <c r="G52" s="310"/>
      <c r="H52" s="319"/>
      <c r="I52" s="318">
        <v>1</v>
      </c>
      <c r="J52" s="317">
        <f t="shared" si="2"/>
        <v>4.4577291819556032E-2</v>
      </c>
      <c r="K52" s="41"/>
      <c r="L52" s="41"/>
      <c r="M52" s="41"/>
      <c r="N52" s="41"/>
      <c r="O52" s="167"/>
    </row>
    <row r="53" spans="1:15" x14ac:dyDescent="0.25">
      <c r="A53" s="185">
        <v>90</v>
      </c>
      <c r="B53" s="182" t="s">
        <v>93</v>
      </c>
      <c r="C53" s="182" t="s">
        <v>377</v>
      </c>
      <c r="D53" s="321">
        <v>0.01</v>
      </c>
      <c r="E53" s="310"/>
      <c r="F53" s="320" t="s">
        <v>32</v>
      </c>
      <c r="G53" s="310"/>
      <c r="H53" s="319"/>
      <c r="I53" s="318">
        <v>2</v>
      </c>
      <c r="J53" s="317">
        <f t="shared" si="2"/>
        <v>0.02</v>
      </c>
      <c r="K53" s="41"/>
      <c r="L53" s="41"/>
      <c r="M53" s="41"/>
      <c r="N53" s="41"/>
      <c r="O53" s="167"/>
    </row>
    <row r="54" spans="1:15" x14ac:dyDescent="0.25">
      <c r="A54" s="185">
        <v>100</v>
      </c>
      <c r="B54" s="182" t="s">
        <v>239</v>
      </c>
      <c r="C54" s="182" t="s">
        <v>376</v>
      </c>
      <c r="D54" s="321">
        <f>0.8/105154*E54*E54*G54*SQRT(G54)+(0.003*EXP(0.319*E54))</f>
        <v>8.2048330888522564E-2</v>
      </c>
      <c r="E54" s="310">
        <v>8</v>
      </c>
      <c r="F54" s="320" t="s">
        <v>30</v>
      </c>
      <c r="G54" s="310">
        <v>20</v>
      </c>
      <c r="H54" s="319" t="s">
        <v>30</v>
      </c>
      <c r="I54" s="318">
        <v>1</v>
      </c>
      <c r="J54" s="317">
        <f t="shared" si="2"/>
        <v>8.2048330888522564E-2</v>
      </c>
      <c r="K54" s="41"/>
      <c r="L54" s="41"/>
      <c r="M54" s="41"/>
      <c r="N54" s="41"/>
      <c r="O54" s="167"/>
    </row>
    <row r="55" spans="1:15" x14ac:dyDescent="0.25">
      <c r="A55" s="185">
        <v>110</v>
      </c>
      <c r="B55" s="182" t="s">
        <v>375</v>
      </c>
      <c r="C55" s="182" t="s">
        <v>374</v>
      </c>
      <c r="D55" s="321">
        <v>0.5</v>
      </c>
      <c r="E55" s="310">
        <v>52</v>
      </c>
      <c r="F55" s="320" t="s">
        <v>30</v>
      </c>
      <c r="G55" s="310"/>
      <c r="H55" s="319"/>
      <c r="I55" s="318">
        <v>1</v>
      </c>
      <c r="J55" s="317">
        <f t="shared" si="2"/>
        <v>0.5</v>
      </c>
      <c r="K55" s="41"/>
      <c r="L55" s="41"/>
      <c r="M55" s="41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SUM(J45:J55)</f>
        <v>2.5815625728670586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316" t="s">
        <v>41</v>
      </c>
      <c r="I58" s="288" t="s">
        <v>18</v>
      </c>
      <c r="J58" s="41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5">
        <f>D59*F59/G59*H59</f>
        <v>2.6666666666666665</v>
      </c>
      <c r="J59" s="41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41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</sheetData>
  <hyperlinks>
    <hyperlink ref="B10" location="EN_1100_001" display="Front sprocket"/>
    <hyperlink ref="B11" location="EN_1100_002!A1" display="rear sprocket"/>
    <hyperlink ref="B12" location="EN_1100_003!A1" display="Rear sprocket adaptor"/>
    <hyperlink ref="B13" location="EN_1100_004!A1" display="Chain shield"/>
    <hyperlink ref="B14" location="EN_1100_005!A1" display="Upper chainshield bracket"/>
    <hyperlink ref="B15" location="EN_1100_006!A1" display="Lower chainshield bracket"/>
    <hyperlink ref="E2" location="EN_A1100_BOM" display="Back to BOM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28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401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7"/>
    </row>
    <row r="6" spans="1:15" x14ac:dyDescent="0.25">
      <c r="A6" s="344" t="s">
        <v>7</v>
      </c>
      <c r="B6" s="261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ht="30" x14ac:dyDescent="0.25">
      <c r="A11" s="359">
        <v>10</v>
      </c>
      <c r="B11" s="379" t="s">
        <v>163</v>
      </c>
      <c r="C11" s="378" t="s">
        <v>430</v>
      </c>
      <c r="D11" s="357">
        <v>2.25</v>
      </c>
      <c r="E11" s="377">
        <f>J11*K11*L11</f>
        <v>0.67553218760489098</v>
      </c>
      <c r="F11" s="376" t="s">
        <v>78</v>
      </c>
      <c r="G11" s="376"/>
      <c r="H11" s="375"/>
      <c r="I11" s="374" t="s">
        <v>429</v>
      </c>
      <c r="J11" s="373">
        <f>PI()*(0.081/2)^2</f>
        <v>5.152997350050658E-3</v>
      </c>
      <c r="K11" s="372">
        <v>1.67E-2</v>
      </c>
      <c r="L11" s="371">
        <v>7850</v>
      </c>
      <c r="M11" s="370">
        <v>1</v>
      </c>
      <c r="N11" s="352">
        <f>IF(J11="",D11*M11,D11*J11*K11*L11*M11)</f>
        <v>1.519947422111005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4" t="s">
        <v>14</v>
      </c>
      <c r="B14" s="369" t="s">
        <v>31</v>
      </c>
      <c r="C14" s="369" t="s">
        <v>20</v>
      </c>
      <c r="D14" s="369" t="s">
        <v>21</v>
      </c>
      <c r="E14" s="369" t="s">
        <v>32</v>
      </c>
      <c r="F14" s="369" t="s">
        <v>17</v>
      </c>
      <c r="G14" s="369" t="s">
        <v>33</v>
      </c>
      <c r="H14" s="369" t="s">
        <v>34</v>
      </c>
      <c r="I14" s="369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60">
        <v>10</v>
      </c>
      <c r="B15" s="365" t="s">
        <v>45</v>
      </c>
      <c r="C15" s="365" t="s">
        <v>407</v>
      </c>
      <c r="D15" s="364">
        <v>1.3</v>
      </c>
      <c r="E15" s="363" t="s">
        <v>32</v>
      </c>
      <c r="F15" s="362">
        <v>1</v>
      </c>
      <c r="G15" s="362"/>
      <c r="H15" s="362"/>
      <c r="I15" s="361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60">
        <v>20</v>
      </c>
      <c r="B16" s="365" t="s">
        <v>79</v>
      </c>
      <c r="C16" s="365" t="s">
        <v>428</v>
      </c>
      <c r="D16" s="364">
        <v>0.04</v>
      </c>
      <c r="E16" s="363" t="s">
        <v>81</v>
      </c>
      <c r="F16" s="368">
        <f>PI()*((0.081/2)^2-(0.034/2)^2)*0.0048*2*100^3+PI()*0.013^2*0.0167*100^3</f>
        <v>49.61925684859326</v>
      </c>
      <c r="G16" s="367" t="s">
        <v>405</v>
      </c>
      <c r="H16" s="366">
        <v>3</v>
      </c>
      <c r="I16" s="361">
        <f t="shared" si="0"/>
        <v>5.9543108218311911</v>
      </c>
      <c r="J16" s="41"/>
      <c r="K16" s="41"/>
      <c r="L16" s="41"/>
      <c r="M16" s="41"/>
      <c r="N16" s="41"/>
      <c r="O16" s="167"/>
    </row>
    <row r="17" spans="1:15" x14ac:dyDescent="0.25">
      <c r="A17" s="360">
        <v>30</v>
      </c>
      <c r="B17" s="365" t="s">
        <v>80</v>
      </c>
      <c r="C17" s="365" t="s">
        <v>427</v>
      </c>
      <c r="D17" s="364">
        <v>0.65</v>
      </c>
      <c r="E17" s="363" t="s">
        <v>32</v>
      </c>
      <c r="F17" s="362">
        <v>1</v>
      </c>
      <c r="G17" s="362"/>
      <c r="H17" s="362"/>
      <c r="I17" s="361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60">
        <v>40</v>
      </c>
      <c r="B18" s="346" t="s">
        <v>406</v>
      </c>
      <c r="C18" s="358" t="s">
        <v>426</v>
      </c>
      <c r="D18" s="357">
        <v>0.5</v>
      </c>
      <c r="E18" s="356" t="s">
        <v>46</v>
      </c>
      <c r="F18" s="355">
        <f>0.71*13</f>
        <v>9.23</v>
      </c>
      <c r="G18" s="354" t="s">
        <v>405</v>
      </c>
      <c r="H18" s="353">
        <v>3</v>
      </c>
      <c r="I18" s="352">
        <f t="shared" si="0"/>
        <v>13.845000000000001</v>
      </c>
      <c r="J18" s="41"/>
      <c r="K18" s="41"/>
      <c r="L18" s="41"/>
      <c r="M18" s="41"/>
      <c r="N18" s="41"/>
      <c r="O18" s="167"/>
    </row>
    <row r="19" spans="1:15" x14ac:dyDescent="0.25">
      <c r="A19" s="359">
        <v>50</v>
      </c>
      <c r="B19" s="358" t="s">
        <v>80</v>
      </c>
      <c r="C19" s="358" t="s">
        <v>425</v>
      </c>
      <c r="D19" s="357">
        <v>0.65</v>
      </c>
      <c r="E19" s="356" t="s">
        <v>32</v>
      </c>
      <c r="F19" s="353">
        <v>1</v>
      </c>
      <c r="G19" s="353"/>
      <c r="H19" s="353"/>
      <c r="I19" s="352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59">
        <v>60</v>
      </c>
      <c r="B20" s="358" t="s">
        <v>412</v>
      </c>
      <c r="C20" s="358" t="s">
        <v>424</v>
      </c>
      <c r="D20" s="357">
        <v>0.5</v>
      </c>
      <c r="E20" s="356" t="s">
        <v>46</v>
      </c>
      <c r="F20" s="355">
        <v>1.67</v>
      </c>
      <c r="G20" s="354"/>
      <c r="H20" s="353"/>
      <c r="I20" s="352">
        <f t="shared" si="0"/>
        <v>0.83499999999999996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351">
        <f>SUM(I15:I20)</f>
        <v>23.23431082183119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B4" location="EN_A1100" display="Driveshaft"/>
    <hyperlink ref="G2" location="EN_A1100_BOM" display="Back to BOM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P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410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7"/>
    </row>
    <row r="6" spans="1:15" x14ac:dyDescent="0.25">
      <c r="A6" s="242" t="s">
        <v>7</v>
      </c>
      <c r="B6" s="261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312">
        <v>10</v>
      </c>
      <c r="B11" s="335" t="s">
        <v>163</v>
      </c>
      <c r="C11" s="271" t="s">
        <v>409</v>
      </c>
      <c r="D11" s="311">
        <v>2.25</v>
      </c>
      <c r="E11" s="334">
        <f>J11*K11*L11</f>
        <v>1.3594653159787282</v>
      </c>
      <c r="F11" s="333" t="s">
        <v>78</v>
      </c>
      <c r="G11" s="333"/>
      <c r="H11" s="332"/>
      <c r="I11" s="269" t="s">
        <v>408</v>
      </c>
      <c r="J11" s="331">
        <f>0.105^2*PI()</f>
        <v>3.4636059005827467E-2</v>
      </c>
      <c r="K11" s="330">
        <v>5.0000000000000001E-3</v>
      </c>
      <c r="L11" s="329">
        <v>7850</v>
      </c>
      <c r="M11" s="328">
        <v>1</v>
      </c>
      <c r="N11" s="264">
        <f>IF(J11="",D11*M11,D11*J11*K11*L11*M11)</f>
        <v>3.0587969609521379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3.0587969609521379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x14ac:dyDescent="0.25">
      <c r="A15" s="312">
        <v>10</v>
      </c>
      <c r="B15" s="265" t="s">
        <v>45</v>
      </c>
      <c r="C15" s="265" t="s">
        <v>407</v>
      </c>
      <c r="D15" s="326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12">
        <v>20</v>
      </c>
      <c r="B16" s="241" t="s">
        <v>406</v>
      </c>
      <c r="C16" s="265"/>
      <c r="D16" s="326">
        <v>0.5</v>
      </c>
      <c r="E16" s="234" t="s">
        <v>46</v>
      </c>
      <c r="F16" s="233">
        <f>44*0.5</f>
        <v>22</v>
      </c>
      <c r="G16" s="241" t="s">
        <v>405</v>
      </c>
      <c r="H16" s="266">
        <v>3</v>
      </c>
      <c r="I16" s="264">
        <f>IF(H16="",D16*F16,D16*F16*H16)</f>
        <v>33</v>
      </c>
      <c r="J16" s="41"/>
      <c r="K16" s="41"/>
      <c r="L16" s="41"/>
      <c r="M16" s="41"/>
      <c r="N16" s="41"/>
      <c r="O16" s="167"/>
    </row>
    <row r="17" spans="1:16" x14ac:dyDescent="0.25">
      <c r="A17" s="312">
        <v>30</v>
      </c>
      <c r="B17" s="265" t="s">
        <v>80</v>
      </c>
      <c r="C17" s="265" t="s">
        <v>404</v>
      </c>
      <c r="D17" s="326">
        <v>0.65</v>
      </c>
      <c r="E17" s="234" t="s">
        <v>32</v>
      </c>
      <c r="F17" s="310">
        <v>1</v>
      </c>
      <c r="G17" s="271"/>
      <c r="H17" s="325">
        <v>1</v>
      </c>
      <c r="I17" s="264">
        <f>IF(H17="",D17*F17,D17*F17*H17)</f>
        <v>0.65</v>
      </c>
      <c r="J17" s="41"/>
      <c r="K17" s="41"/>
      <c r="L17" s="41"/>
      <c r="M17" s="41"/>
      <c r="N17" s="41"/>
      <c r="O17" s="167"/>
    </row>
    <row r="18" spans="1:16" x14ac:dyDescent="0.25">
      <c r="A18" s="327">
        <v>40</v>
      </c>
      <c r="B18" s="265" t="s">
        <v>231</v>
      </c>
      <c r="C18" s="265" t="s">
        <v>403</v>
      </c>
      <c r="D18" s="326">
        <v>0.01</v>
      </c>
      <c r="E18" s="234" t="s">
        <v>46</v>
      </c>
      <c r="F18" s="314">
        <v>126.4491</v>
      </c>
      <c r="G18" s="271" t="s">
        <v>365</v>
      </c>
      <c r="H18" s="325">
        <v>3</v>
      </c>
      <c r="I18" s="264">
        <f>IF(H18="",D18*F18,D18*F18*H18)</f>
        <v>3.7934730000000001</v>
      </c>
      <c r="J18" s="41"/>
      <c r="K18" s="41"/>
      <c r="L18" s="41"/>
      <c r="M18" s="41"/>
      <c r="N18" s="41"/>
      <c r="O18" s="167"/>
    </row>
    <row r="19" spans="1:16" x14ac:dyDescent="0.25">
      <c r="A19" s="174"/>
      <c r="B19" s="15"/>
      <c r="C19" s="15"/>
      <c r="D19" s="15"/>
      <c r="E19" s="15"/>
      <c r="F19" s="15"/>
      <c r="G19" s="15"/>
      <c r="H19" s="106" t="s">
        <v>18</v>
      </c>
      <c r="I19" s="292">
        <f>SUM(I15:I18)</f>
        <v>38.743472999999994</v>
      </c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  <c r="P20" s="41"/>
    </row>
    <row r="21" spans="1:16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  <c r="P21" s="41"/>
    </row>
    <row r="22" spans="1:16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  <c r="P22" s="41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  <c r="P23" s="41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  <c r="P24" s="41"/>
    </row>
    <row r="25" spans="1:16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/>
    <hyperlink ref="G2" location="EN_A1100_BOM" display="Back to BOM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399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7"/>
    </row>
    <row r="6" spans="1:15" x14ac:dyDescent="0.25">
      <c r="A6" s="242" t="s">
        <v>7</v>
      </c>
      <c r="B6" s="261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ht="45" x14ac:dyDescent="0.25">
      <c r="A11" s="309">
        <v>10</v>
      </c>
      <c r="B11" s="335" t="s">
        <v>300</v>
      </c>
      <c r="C11" s="271" t="s">
        <v>416</v>
      </c>
      <c r="D11" s="311">
        <v>4.2</v>
      </c>
      <c r="E11" s="270">
        <f>J11*K11*L11</f>
        <v>2.0761108237097923</v>
      </c>
      <c r="F11" s="237" t="s">
        <v>78</v>
      </c>
      <c r="G11" s="237"/>
      <c r="H11" s="192"/>
      <c r="I11" s="340" t="s">
        <v>415</v>
      </c>
      <c r="J11" s="339">
        <f>PI()*0.19^2/4</f>
        <v>2.8352873698647883E-2</v>
      </c>
      <c r="K11" s="338">
        <v>2.7E-2</v>
      </c>
      <c r="L11" s="337">
        <v>2712</v>
      </c>
      <c r="M11" s="337">
        <v>1</v>
      </c>
      <c r="N11" s="264">
        <f>IF(J11="",D11*M11,D11*J11*K11*L11*M11)</f>
        <v>8.7196654595811296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8.7196654595811296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90" x14ac:dyDescent="0.25">
      <c r="A15" s="232">
        <v>10</v>
      </c>
      <c r="B15" s="265" t="s">
        <v>45</v>
      </c>
      <c r="C15" s="265" t="s">
        <v>414</v>
      </c>
      <c r="D15" s="311">
        <v>1.3</v>
      </c>
      <c r="E15" s="271" t="s">
        <v>32</v>
      </c>
      <c r="F15" s="336">
        <v>1</v>
      </c>
      <c r="G15" s="232"/>
      <c r="H15" s="232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232">
        <v>20</v>
      </c>
      <c r="B16" s="265" t="s">
        <v>79</v>
      </c>
      <c r="C16" s="265" t="s">
        <v>413</v>
      </c>
      <c r="D16" s="311">
        <v>0.04</v>
      </c>
      <c r="E16" s="271" t="s">
        <v>81</v>
      </c>
      <c r="F16" s="336">
        <v>444.78</v>
      </c>
      <c r="G16" s="232"/>
      <c r="H16" s="232"/>
      <c r="I16" s="264">
        <f>IF(H16="",D16*F16,D16*F16*H16)</f>
        <v>17.7912</v>
      </c>
      <c r="J16" s="41"/>
      <c r="K16" s="41"/>
      <c r="L16" s="41"/>
      <c r="M16" s="41"/>
      <c r="N16" s="41"/>
      <c r="O16" s="167"/>
    </row>
    <row r="17" spans="1:15" ht="30" x14ac:dyDescent="0.25">
      <c r="A17" s="232">
        <v>30</v>
      </c>
      <c r="B17" s="265" t="s">
        <v>412</v>
      </c>
      <c r="C17" s="265" t="s">
        <v>411</v>
      </c>
      <c r="D17" s="311">
        <v>0.5</v>
      </c>
      <c r="E17" s="271" t="s">
        <v>46</v>
      </c>
      <c r="F17" s="336">
        <v>2.7</v>
      </c>
      <c r="G17" s="232"/>
      <c r="H17" s="232"/>
      <c r="I17" s="264">
        <f>IF(H17="",D17*F17,D17*F17*H17)</f>
        <v>1.35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20.441200000000002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/>
    <hyperlink ref="E3" location="dEN_11003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tr">
        <f>EN_1100_003</f>
        <v>EN 11003</v>
      </c>
    </row>
  </sheetData>
  <hyperlinks>
    <hyperlink ref="A1" location="EN_1100_003" display="EN_1100_003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25">
      <c r="A6" s="100" t="s">
        <v>7</v>
      </c>
      <c r="B6" s="17" t="s">
        <v>483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503">
        <v>10</v>
      </c>
      <c r="B11" s="507" t="s">
        <v>481</v>
      </c>
      <c r="C11" s="506" t="s">
        <v>480</v>
      </c>
      <c r="D11" s="505">
        <v>2.25</v>
      </c>
      <c r="E11" s="504"/>
      <c r="F11" s="503" t="s">
        <v>78</v>
      </c>
      <c r="G11" s="503"/>
      <c r="H11" s="502"/>
      <c r="I11" s="501" t="s">
        <v>479</v>
      </c>
      <c r="J11" s="500">
        <f>PI()*((0.034+0.0012)*(0.034+0.0012)-0.034*0.034)/4</f>
        <v>6.521946348852405E-5</v>
      </c>
      <c r="K11" s="499">
        <v>1.43</v>
      </c>
      <c r="L11" s="498">
        <v>7850</v>
      </c>
      <c r="M11" s="497">
        <v>1</v>
      </c>
      <c r="N11" s="433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495">
        <v>10</v>
      </c>
      <c r="B15" s="410" t="s">
        <v>478</v>
      </c>
      <c r="C15" s="420"/>
      <c r="D15" s="424">
        <v>0.15</v>
      </c>
      <c r="E15" s="420" t="s">
        <v>46</v>
      </c>
      <c r="F15" s="496">
        <f>27*3.4</f>
        <v>91.8</v>
      </c>
      <c r="G15" s="452"/>
      <c r="H15" s="451"/>
      <c r="I15" s="433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94">
        <v>20</v>
      </c>
      <c r="B16" s="410" t="s">
        <v>477</v>
      </c>
      <c r="C16" s="421"/>
      <c r="D16" s="424">
        <v>0.75</v>
      </c>
      <c r="E16" s="410" t="s">
        <v>84</v>
      </c>
      <c r="F16" s="421">
        <v>17</v>
      </c>
      <c r="G16" s="460"/>
      <c r="H16" s="460"/>
      <c r="I16" s="400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95">
        <v>30</v>
      </c>
      <c r="B17" s="410" t="s">
        <v>451</v>
      </c>
      <c r="C17" s="421"/>
      <c r="D17" s="424">
        <v>0.75</v>
      </c>
      <c r="E17" s="410" t="s">
        <v>449</v>
      </c>
      <c r="F17" s="421">
        <v>46</v>
      </c>
      <c r="G17" s="451"/>
      <c r="H17" s="451"/>
      <c r="I17" s="433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94">
        <v>40</v>
      </c>
      <c r="B18" s="410" t="s">
        <v>448</v>
      </c>
      <c r="C18" s="421"/>
      <c r="D18" s="424">
        <v>0.5</v>
      </c>
      <c r="E18" s="410" t="s">
        <v>46</v>
      </c>
      <c r="F18" s="421">
        <f>23*3.4</f>
        <v>78.2</v>
      </c>
      <c r="G18" s="452"/>
      <c r="H18" s="451"/>
      <c r="I18" s="433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93"/>
      <c r="B21" s="42"/>
      <c r="C21" s="42"/>
      <c r="D21" s="42"/>
      <c r="E21" s="42"/>
      <c r="F21" s="42"/>
      <c r="G21" s="42"/>
      <c r="H21" s="492"/>
      <c r="I21" s="491"/>
      <c r="J21" s="42"/>
      <c r="K21" s="41"/>
      <c r="L21" s="41"/>
      <c r="M21" s="41"/>
      <c r="N21" s="41"/>
      <c r="O21" s="47"/>
    </row>
    <row r="22" spans="1:15" x14ac:dyDescent="0.25">
      <c r="A22" s="471" t="s">
        <v>14</v>
      </c>
      <c r="B22" s="470" t="s">
        <v>39</v>
      </c>
      <c r="C22" s="470" t="s">
        <v>20</v>
      </c>
      <c r="D22" s="470" t="s">
        <v>21</v>
      </c>
      <c r="E22" s="470" t="s">
        <v>32</v>
      </c>
      <c r="F22" s="470" t="s">
        <v>17</v>
      </c>
      <c r="G22" s="470" t="s">
        <v>40</v>
      </c>
      <c r="H22" s="470" t="s">
        <v>476</v>
      </c>
      <c r="I22" s="470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20">
        <v>10</v>
      </c>
      <c r="B23" s="490" t="s">
        <v>42</v>
      </c>
      <c r="C23" s="420"/>
      <c r="D23" s="489">
        <v>500</v>
      </c>
      <c r="E23" s="420" t="s">
        <v>43</v>
      </c>
      <c r="F23" s="420">
        <v>46</v>
      </c>
      <c r="G23" s="420">
        <v>3000</v>
      </c>
      <c r="H23" s="420">
        <v>1</v>
      </c>
      <c r="I23" s="433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4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7"/>
    </row>
    <row r="6" spans="1:15" x14ac:dyDescent="0.25">
      <c r="A6" s="242" t="s">
        <v>7</v>
      </c>
      <c r="B6" s="261" t="s">
        <v>554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ht="30" x14ac:dyDescent="0.25">
      <c r="A11" s="309">
        <v>10</v>
      </c>
      <c r="B11" s="335" t="s">
        <v>163</v>
      </c>
      <c r="C11" s="271" t="s">
        <v>421</v>
      </c>
      <c r="D11" s="311">
        <v>2.25</v>
      </c>
      <c r="E11" s="343">
        <f>J11*K11*L11</f>
        <v>1.4725155965181997</v>
      </c>
      <c r="F11" s="237" t="s">
        <v>78</v>
      </c>
      <c r="G11" s="237"/>
      <c r="H11" s="192"/>
      <c r="I11" s="342" t="s">
        <v>420</v>
      </c>
      <c r="J11" s="191">
        <f>100.841*930.086/1000000</f>
        <v>9.3790802325999983E-2</v>
      </c>
      <c r="K11" s="267">
        <f>2/1000</f>
        <v>2E-3</v>
      </c>
      <c r="L11" s="190">
        <v>7850</v>
      </c>
      <c r="M11" s="341">
        <v>1</v>
      </c>
      <c r="N11" s="264">
        <f>IF(J11="",D11*M11,D11*J11*K11*L11*M11)</f>
        <v>3.3131600921659494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3.3131600921659494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09">
        <v>10</v>
      </c>
      <c r="B15" s="265" t="s">
        <v>45</v>
      </c>
      <c r="C15" s="265" t="s">
        <v>419</v>
      </c>
      <c r="D15" s="311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09">
        <v>20</v>
      </c>
      <c r="B16" s="265" t="s">
        <v>83</v>
      </c>
      <c r="C16" s="265" t="s">
        <v>418</v>
      </c>
      <c r="D16" s="311">
        <v>0.01</v>
      </c>
      <c r="E16" s="234" t="s">
        <v>46</v>
      </c>
      <c r="F16" s="310">
        <f>(11+7.541*2+13*2+31.416+19+533.083+63.5+7.541*2+27.3*2+31.416+138.488+110.764+14.251+18.85*2+60.192)/10</f>
        <v>116.15740000000001</v>
      </c>
      <c r="G16" s="271" t="s">
        <v>365</v>
      </c>
      <c r="H16" s="336">
        <v>3</v>
      </c>
      <c r="I16" s="264">
        <f>IF(H16="",D16*F16,D16*F16*H16)</f>
        <v>3.4847220000000005</v>
      </c>
      <c r="J16" s="41"/>
      <c r="K16" s="41"/>
      <c r="L16" s="41"/>
      <c r="M16" s="41"/>
      <c r="N16" s="41"/>
      <c r="O16" s="167"/>
    </row>
    <row r="17" spans="1:15" x14ac:dyDescent="0.25">
      <c r="A17" s="309">
        <v>30</v>
      </c>
      <c r="B17" s="265" t="s">
        <v>86</v>
      </c>
      <c r="C17" s="265" t="s">
        <v>417</v>
      </c>
      <c r="D17" s="311">
        <v>0.25</v>
      </c>
      <c r="E17" s="234" t="s">
        <v>84</v>
      </c>
      <c r="F17" s="310">
        <v>4</v>
      </c>
      <c r="G17" s="238"/>
      <c r="H17" s="238"/>
      <c r="I17" s="264">
        <f>IF(H17="",D17*F17,D17*F17*H17)</f>
        <v>1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5.7847220000000004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/>
    <hyperlink ref="E3" location="dEN_11004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EN_1100_004</f>
        <v>EN 11004</v>
      </c>
    </row>
  </sheetData>
  <hyperlinks>
    <hyperlink ref="A1" location="EN_1100_004" display="EN_1100_004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Q23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7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7"/>
    </row>
    <row r="3" spans="1:17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7" x14ac:dyDescent="0.25">
      <c r="A4" s="344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7" x14ac:dyDescent="0.25">
      <c r="A5" s="344" t="s">
        <v>15</v>
      </c>
      <c r="B5" s="308" t="s">
        <v>397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7"/>
    </row>
    <row r="6" spans="1:17" x14ac:dyDescent="0.25">
      <c r="A6" s="344" t="s">
        <v>7</v>
      </c>
      <c r="B6" s="261" t="s">
        <v>555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7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7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7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7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7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1.8015750000000001E-2</v>
      </c>
      <c r="F11" s="216" t="s">
        <v>78</v>
      </c>
      <c r="G11" s="216"/>
      <c r="H11" s="224"/>
      <c r="I11" s="225" t="s">
        <v>422</v>
      </c>
      <c r="J11" s="225">
        <f>30.6*25/1000000</f>
        <v>7.6499999999999995E-4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4.0535437499999993E-2</v>
      </c>
      <c r="O11" s="196"/>
    </row>
    <row r="12" spans="1:17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4.0535437499999993E-2</v>
      </c>
      <c r="O12" s="167"/>
    </row>
    <row r="13" spans="1:17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7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7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  <c r="Q15" s="108"/>
    </row>
    <row r="16" spans="1:17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f>124.622/10</f>
        <v>12.462199999999999</v>
      </c>
      <c r="G16" s="237" t="s">
        <v>316</v>
      </c>
      <c r="H16" s="237">
        <v>3</v>
      </c>
      <c r="I16" s="217">
        <f>IF(H16="",D16*F16,D16*F16*H16)</f>
        <v>0.37386599999999998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/>
    <hyperlink ref="E3" location="dEN_11005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EN_1100_005</f>
        <v>EN 11005</v>
      </c>
    </row>
  </sheetData>
  <hyperlinks>
    <hyperlink ref="A1" location="EN_1100_005" display="EN_1100_005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23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396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7"/>
    </row>
    <row r="6" spans="1:15" x14ac:dyDescent="0.25">
      <c r="A6" s="344" t="s">
        <v>7</v>
      </c>
      <c r="B6" s="261" t="s">
        <v>556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x14ac:dyDescent="0.25">
      <c r="A11" s="350">
        <v>10</v>
      </c>
      <c r="B11" s="349" t="s">
        <v>163</v>
      </c>
      <c r="C11" s="348" t="s">
        <v>320</v>
      </c>
      <c r="D11" s="217">
        <v>2.25</v>
      </c>
      <c r="E11" s="226">
        <f>J11*K11*L11</f>
        <v>1.6574490000000001E-2</v>
      </c>
      <c r="F11" s="216" t="s">
        <v>78</v>
      </c>
      <c r="G11" s="216"/>
      <c r="H11" s="224"/>
      <c r="I11" s="225" t="s">
        <v>423</v>
      </c>
      <c r="J11" s="225">
        <f>30.6*23/1000000</f>
        <v>7.0380000000000009E-4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3.7292602500000001E-2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346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</row>
    <row r="16" spans="1:15" ht="30" x14ac:dyDescent="0.25">
      <c r="A16" s="345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f>125.551/10</f>
        <v>12.555099999999999</v>
      </c>
      <c r="G16" s="237" t="s">
        <v>316</v>
      </c>
      <c r="H16" s="237">
        <v>3</v>
      </c>
      <c r="I16" s="217">
        <f>IF(H16="",D16*F16,D16*F16*H16)</f>
        <v>0.37665300000000002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/>
    <hyperlink ref="E3" location="dEN_11006!A1" display="Drawing"/>
    <hyperlink ref="G2" location="EN_A1100_BOM" display="Back to BOM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EN_1100_006</f>
        <v>EN 11006</v>
      </c>
    </row>
  </sheetData>
  <hyperlinks>
    <hyperlink ref="A1" location="EN_1100_006" display="EN_1100_006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25">
      <c r="A6" s="100" t="s">
        <v>7</v>
      </c>
      <c r="B6" s="17" t="s">
        <v>488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465">
        <v>10</v>
      </c>
      <c r="B11" s="482" t="s">
        <v>481</v>
      </c>
      <c r="C11" s="517" t="s">
        <v>486</v>
      </c>
      <c r="D11" s="516">
        <v>2.25</v>
      </c>
      <c r="E11" s="515"/>
      <c r="F11" s="515" t="s">
        <v>78</v>
      </c>
      <c r="G11" s="515"/>
      <c r="H11" s="514"/>
      <c r="I11" s="513" t="s">
        <v>479</v>
      </c>
      <c r="J11" s="500">
        <f>PI()*((0.034+0.0012)*(0.034+0.0012)-0.034*0.034)/4</f>
        <v>6.521946348852405E-5</v>
      </c>
      <c r="K11" s="518">
        <f>2*(0.0825+0.02)</f>
        <v>0.20500000000000002</v>
      </c>
      <c r="L11" s="511">
        <v>7850</v>
      </c>
      <c r="M11" s="510">
        <v>1</v>
      </c>
      <c r="N11" s="400">
        <f>IF(J11="",D11*M11,D11*J11*K11*L11*M11)</f>
        <v>0.23614744864254153</v>
      </c>
      <c r="O11" s="53"/>
    </row>
    <row r="12" spans="1:15" s="16" customFormat="1" ht="14.25" customHeight="1" x14ac:dyDescent="0.25">
      <c r="A12" s="463">
        <v>20</v>
      </c>
      <c r="B12" s="482" t="s">
        <v>481</v>
      </c>
      <c r="C12" s="517" t="s">
        <v>486</v>
      </c>
      <c r="D12" s="516">
        <v>2.25</v>
      </c>
      <c r="E12" s="515"/>
      <c r="F12" s="515" t="s">
        <v>78</v>
      </c>
      <c r="G12" s="515"/>
      <c r="H12" s="514"/>
      <c r="I12" s="513" t="s">
        <v>485</v>
      </c>
      <c r="J12" s="500">
        <f>PI()*((0.0421+0.0015)*(0.0421+0.0015)-0.0421*0.0421)/4</f>
        <v>1.0096293390474202E-4</v>
      </c>
      <c r="K12" s="512">
        <v>0.03</v>
      </c>
      <c r="L12" s="511">
        <v>7850</v>
      </c>
      <c r="M12" s="510">
        <v>1</v>
      </c>
      <c r="N12" s="400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09">
        <v>10</v>
      </c>
      <c r="B16" s="410" t="s">
        <v>478</v>
      </c>
      <c r="C16" s="420"/>
      <c r="D16" s="424">
        <v>0.15</v>
      </c>
      <c r="E16" s="420" t="s">
        <v>46</v>
      </c>
      <c r="F16" s="496">
        <f>6*3.4+1*4.2</f>
        <v>24.599999999999998</v>
      </c>
      <c r="G16" s="460"/>
      <c r="H16" s="460"/>
      <c r="I16" s="400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451</v>
      </c>
      <c r="C17" s="421"/>
      <c r="D17" s="424">
        <v>0.75</v>
      </c>
      <c r="E17" s="410" t="s">
        <v>449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448</v>
      </c>
      <c r="C18" s="421"/>
      <c r="D18" s="424">
        <v>0.5</v>
      </c>
      <c r="E18" s="410" t="s">
        <v>46</v>
      </c>
      <c r="F18" s="508">
        <f>2*3.4+1*4.2+15.7/PI()</f>
        <v>15.997465213085514</v>
      </c>
      <c r="G18" s="451"/>
      <c r="H18" s="451"/>
      <c r="I18" s="433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25">
      <c r="A6" s="100" t="s">
        <v>7</v>
      </c>
      <c r="B6" s="17" t="s">
        <v>492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26" t="s">
        <v>491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481</v>
      </c>
      <c r="C11" s="506" t="s">
        <v>490</v>
      </c>
      <c r="D11" s="505">
        <v>2.25</v>
      </c>
      <c r="E11" s="503"/>
      <c r="F11" s="503" t="s">
        <v>78</v>
      </c>
      <c r="G11" s="503"/>
      <c r="H11" s="502"/>
      <c r="I11" s="501" t="s">
        <v>485</v>
      </c>
      <c r="J11" s="500">
        <f>PI()*((0.0421+0.0015)*(0.0421+0.0015)-0.0421*0.0421)/4</f>
        <v>1.0096293390474202E-4</v>
      </c>
      <c r="K11" s="502">
        <f>0.331</f>
        <v>0.33100000000000002</v>
      </c>
      <c r="L11" s="524">
        <v>7850</v>
      </c>
      <c r="M11" s="523">
        <v>1</v>
      </c>
      <c r="N11" s="433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478</v>
      </c>
      <c r="C15" s="520"/>
      <c r="D15" s="521">
        <v>0.15</v>
      </c>
      <c r="E15" s="520" t="s">
        <v>46</v>
      </c>
      <c r="F15" s="519">
        <f>4.21</f>
        <v>4.21</v>
      </c>
      <c r="G15" s="452"/>
      <c r="H15" s="451"/>
      <c r="I15" s="433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/>
    <hyperlink ref="G2" location="EN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75</vt:i4>
      </vt:variant>
      <vt:variant>
        <vt:lpstr>Plages nommées</vt:lpstr>
      </vt:variant>
      <vt:variant>
        <vt:i4>286</vt:i4>
      </vt:variant>
    </vt:vector>
  </HeadingPairs>
  <TitlesOfParts>
    <vt:vector size="361" baseType="lpstr">
      <vt:lpstr>BOM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EN_03004</vt:lpstr>
      <vt:lpstr>dEN_03004</vt:lpstr>
      <vt:lpstr>EN_03005</vt:lpstr>
      <vt:lpstr>dEN_03005</vt:lpstr>
      <vt:lpstr>EN_03006</vt:lpstr>
      <vt:lpstr>dEN_03006</vt:lpstr>
      <vt:lpstr>EN_03007</vt:lpstr>
      <vt:lpstr>dEN_03007</vt:lpstr>
      <vt:lpstr>EN_03008</vt:lpstr>
      <vt:lpstr>dEN_03008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EN_0300_004</vt:lpstr>
      <vt:lpstr>EN_0300_004_f</vt:lpstr>
      <vt:lpstr>EN_0300_004_m</vt:lpstr>
      <vt:lpstr>EN_0300_004_p</vt:lpstr>
      <vt:lpstr>EN_0300_004_q</vt:lpstr>
      <vt:lpstr>EN_0300_004_t</vt:lpstr>
      <vt:lpstr>EN_0300_005</vt:lpstr>
      <vt:lpstr>EN_0300_005_f</vt:lpstr>
      <vt:lpstr>EN_0300_005_m</vt:lpstr>
      <vt:lpstr>EN_0300_005_p</vt:lpstr>
      <vt:lpstr>EN_0300_005_q</vt:lpstr>
      <vt:lpstr>EN_0300_005_t</vt:lpstr>
      <vt:lpstr>EN_0300_006</vt:lpstr>
      <vt:lpstr>EN_0300_006_f</vt:lpstr>
      <vt:lpstr>EN_0300_006_m</vt:lpstr>
      <vt:lpstr>EN_0300_006_p</vt:lpstr>
      <vt:lpstr>EN_0300_006_q</vt:lpstr>
      <vt:lpstr>EN_0300_006_t</vt:lpstr>
      <vt:lpstr>EN_0300_007</vt:lpstr>
      <vt:lpstr>EN_0300_007_f</vt:lpstr>
      <vt:lpstr>EN_0300_007_m</vt:lpstr>
      <vt:lpstr>EN_0300_007_p</vt:lpstr>
      <vt:lpstr>EN_0300_007_q</vt:lpstr>
      <vt:lpstr>EN_0300_007_t</vt:lpstr>
      <vt:lpstr>EN_0300_008</vt:lpstr>
      <vt:lpstr>EN_0300_008_f</vt:lpstr>
      <vt:lpstr>EN_0300_008_m</vt:lpstr>
      <vt:lpstr>EN_0300_008_p</vt:lpstr>
      <vt:lpstr>EN_0300_008_q</vt:lpstr>
      <vt:lpstr>EN_0300_008_t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Emilien</cp:lastModifiedBy>
  <cp:revision>0</cp:revision>
  <dcterms:created xsi:type="dcterms:W3CDTF">2015-05-29T18:57:13Z</dcterms:created>
  <dcterms:modified xsi:type="dcterms:W3CDTF">2018-05-01T16:07:05Z</dcterms:modified>
  <dc:language>fr-FR</dc:language>
</cp:coreProperties>
</file>