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4740" yWindow="60" windowWidth="16380" windowHeight="8196" activeTab="9"/>
  </bookViews>
  <sheets>
    <sheet name="Instructions" sheetId="7" r:id="rId1"/>
    <sheet name="BOM" sheetId="8" r:id="rId2"/>
    <sheet name="ST Assembly" sheetId="1" r:id="rId3"/>
    <sheet name="ST_A0100" sheetId="19" r:id="rId4"/>
    <sheet name="ST_01001" sheetId="21" r:id="rId5"/>
    <sheet name="ST_01002" sheetId="22" r:id="rId6"/>
    <sheet name="ST_01003" sheetId="23" r:id="rId7"/>
    <sheet name="ST_01004" sheetId="24" r:id="rId8"/>
    <sheet name="ST_01005" sheetId="26" r:id="rId9"/>
    <sheet name="ST_A0200" sheetId="18" r:id="rId10"/>
    <sheet name="ST_A0300" sheetId="11" r:id="rId11"/>
    <sheet name="ST_03001" sheetId="13" r:id="rId12"/>
    <sheet name="ST_03002" sheetId="14" r:id="rId13"/>
    <sheet name="ST_03003" sheetId="15" r:id="rId14"/>
    <sheet name="ST_0400" sheetId="16" r:id="rId15"/>
    <sheet name="ST_0500" sheetId="17" r:id="rId16"/>
    <sheet name="ST_0600" sheetId="25" r:id="rId17"/>
    <sheet name="ST_ex" sheetId="10" r:id="rId18"/>
    <sheet name="ST_A0" sheetId="12" r:id="rId19"/>
  </sheets>
  <externalReferences>
    <externalReference r:id="rId20"/>
  </externalReference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#REF!</definedName>
    <definedName name="BR_01001_f">#REF!</definedName>
    <definedName name="BR_01001_m">#REF!</definedName>
    <definedName name="BR_01001_p">#REF!</definedName>
    <definedName name="BR_01001_q">#REF!</definedName>
    <definedName name="BR_01001_t">#REF!</definedName>
    <definedName name="BR_A0001">'ST Assembly'!$B$5</definedName>
    <definedName name="BR_A0001_f">'ST Assembly'!$J$44</definedName>
    <definedName name="BR_A0001_m">'ST Assembly'!$N$25</definedName>
    <definedName name="BR_A0001_p">'ST Assembly'!$I$34</definedName>
    <definedName name="BR_A0001_pa">'ST Assembly'!$E$17</definedName>
    <definedName name="BR_A0001_q">'ST Assembly'!$N$3</definedName>
    <definedName name="BR_A0001_t">'ST Assembly'!$I$49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#REF!</definedName>
    <definedName name="dede">#REF!</definedName>
    <definedName name="dEL_01001">#REF!</definedName>
    <definedName name="dqwdqd">#REF!</definedName>
    <definedName name="eded">#REF!</definedName>
    <definedName name="EL_01001">#REF!</definedName>
    <definedName name="EL_01001_f">#REF!</definedName>
    <definedName name="EL_01001_m">#REF!</definedName>
    <definedName name="EL_01001_p">#REF!</definedName>
    <definedName name="EL_01001_q">#REF!</definedName>
    <definedName name="EL_01001_t">#REF!</definedName>
    <definedName name="EL_02001">#REF!</definedName>
    <definedName name="EL_02001_f">#REF!</definedName>
    <definedName name="EL_02001_m">#REF!</definedName>
    <definedName name="EL_02001_p">#REF!</definedName>
    <definedName name="EL_02001_q">#REF!</definedName>
    <definedName name="EL_02001_t">#REF!</definedName>
    <definedName name="EL_02002">#REF!</definedName>
    <definedName name="EL_02002_f">#REF!</definedName>
    <definedName name="EL_02002_m">#REF!</definedName>
    <definedName name="EL_02002_p">#REF!</definedName>
    <definedName name="EL_02002_q">#REF!</definedName>
    <definedName name="EL_02002_t">#REF!</definedName>
    <definedName name="EL_A0001">'ST Assembly'!$B$5</definedName>
    <definedName name="EL_A0001_f">'ST Assembly'!$J$44</definedName>
    <definedName name="El_A0001_m">'ST Assembly'!$N$25</definedName>
    <definedName name="EL_A0001_p">'ST Assembly'!$I$34</definedName>
    <definedName name="EL_A0001_q">'ST Assembly'!$N$3</definedName>
    <definedName name="EL_A0001_t">'ST Assembly'!$I$49</definedName>
    <definedName name="EL_A0002">'ST Assembly'!#REF!</definedName>
    <definedName name="EL_A0002_f">'ST Assembly'!#REF!</definedName>
    <definedName name="EL_A0002_m">'ST Assembly'!#REF!</definedName>
    <definedName name="EL_A0002_p">'ST Assembly'!#REF!</definedName>
    <definedName name="EL_A0002_q">'ST Assembly'!#REF!</definedName>
    <definedName name="EL_A0002_t">'ST Assembly'!#REF!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45621" iterateDelta="1E-4"/>
</workbook>
</file>

<file path=xl/calcChain.xml><?xml version="1.0" encoding="utf-8"?>
<calcChain xmlns="http://schemas.openxmlformats.org/spreadsheetml/2006/main">
  <c r="J11" i="22" l="1"/>
  <c r="C10" i="19" l="1"/>
  <c r="E14" i="1" l="1"/>
  <c r="C14" i="1"/>
  <c r="B3" i="11" l="1"/>
  <c r="E13" i="19"/>
  <c r="I17" i="24"/>
  <c r="F16" i="24"/>
  <c r="I16" i="24" s="1"/>
  <c r="H15" i="24"/>
  <c r="I15" i="24" s="1"/>
  <c r="J11" i="24"/>
  <c r="N11" i="24" s="1"/>
  <c r="N12" i="24" s="1"/>
  <c r="E11" i="24"/>
  <c r="E12" i="19"/>
  <c r="I18" i="23"/>
  <c r="I17" i="23"/>
  <c r="I16" i="23"/>
  <c r="I15" i="23"/>
  <c r="I19" i="23" s="1"/>
  <c r="N11" i="23"/>
  <c r="N12" i="23" s="1"/>
  <c r="N2" i="23" s="1"/>
  <c r="N5" i="23" s="1"/>
  <c r="E10" i="19"/>
  <c r="I19" i="22"/>
  <c r="I15" i="22"/>
  <c r="N11" i="22"/>
  <c r="N12" i="22" s="1"/>
  <c r="E11" i="22"/>
  <c r="I17" i="21"/>
  <c r="I16" i="21"/>
  <c r="I18" i="21" s="1"/>
  <c r="I15" i="21"/>
  <c r="J11" i="21"/>
  <c r="N11" i="21" s="1"/>
  <c r="N12" i="21" s="1"/>
  <c r="I50" i="19"/>
  <c r="I51" i="19" s="1"/>
  <c r="D46" i="19" a="1"/>
  <c r="D46" i="19" s="1"/>
  <c r="J46" i="19" s="1"/>
  <c r="D45" i="19"/>
  <c r="J45" i="19" s="1"/>
  <c r="D44" i="19" a="1"/>
  <c r="D44" i="19" s="1"/>
  <c r="J44" i="19" s="1"/>
  <c r="D43" i="19"/>
  <c r="J43" i="19" s="1"/>
  <c r="D42" i="19"/>
  <c r="J42" i="19" s="1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N22" i="19"/>
  <c r="N21" i="19"/>
  <c r="D20" i="19"/>
  <c r="N20" i="19" s="1"/>
  <c r="C14" i="19"/>
  <c r="E14" i="19" s="1"/>
  <c r="C13" i="19"/>
  <c r="C12" i="19"/>
  <c r="C11" i="19"/>
  <c r="I20" i="18"/>
  <c r="I19" i="18"/>
  <c r="I16" i="18"/>
  <c r="I17" i="18"/>
  <c r="I18" i="18"/>
  <c r="E12" i="18"/>
  <c r="N12" i="18" s="1"/>
  <c r="N11" i="18"/>
  <c r="N23" i="19" l="1"/>
  <c r="I39" i="19"/>
  <c r="I18" i="24"/>
  <c r="N2" i="24" s="1"/>
  <c r="N5" i="24" s="1"/>
  <c r="N2" i="22"/>
  <c r="N5" i="22" s="1"/>
  <c r="E11" i="19" s="1"/>
  <c r="E17" i="19" s="1"/>
  <c r="N2" i="21"/>
  <c r="N5" i="21" s="1"/>
  <c r="E11" i="21"/>
  <c r="J47" i="19"/>
  <c r="I21" i="18"/>
  <c r="N13" i="18"/>
  <c r="E12" i="1"/>
  <c r="I16" i="17"/>
  <c r="I15" i="17"/>
  <c r="I17" i="17" s="1"/>
  <c r="J11" i="17"/>
  <c r="E11" i="17" s="1"/>
  <c r="N2" i="19" l="1"/>
  <c r="N5" i="19" s="1"/>
  <c r="C10" i="1" s="1"/>
  <c r="E10" i="1" s="1"/>
  <c r="N2" i="18"/>
  <c r="N5" i="18" s="1"/>
  <c r="C11" i="1" s="1"/>
  <c r="E11" i="1" s="1"/>
  <c r="N11" i="17"/>
  <c r="N12" i="17" s="1"/>
  <c r="N2" i="17" s="1"/>
  <c r="N5" i="17" s="1"/>
  <c r="C13" i="1" l="1"/>
  <c r="E13" i="1" s="1"/>
  <c r="C12" i="1"/>
  <c r="I23" i="16"/>
  <c r="I22" i="16"/>
  <c r="I21" i="16"/>
  <c r="I20" i="16"/>
  <c r="I19" i="16"/>
  <c r="I18" i="16"/>
  <c r="I24" i="16" s="1"/>
  <c r="N13" i="16"/>
  <c r="N12" i="16"/>
  <c r="N11" i="16"/>
  <c r="N15" i="16" s="1"/>
  <c r="N2" i="16" s="1"/>
  <c r="N5" i="16" s="1"/>
  <c r="J11" i="16"/>
  <c r="E11" i="16"/>
  <c r="I23" i="13"/>
  <c r="C13" i="11"/>
  <c r="C12" i="11"/>
  <c r="E12" i="11" s="1"/>
  <c r="I17" i="15"/>
  <c r="I16" i="15"/>
  <c r="I19" i="15" s="1"/>
  <c r="I15" i="15"/>
  <c r="J11" i="15"/>
  <c r="N11" i="15" s="1"/>
  <c r="N12" i="15" s="1"/>
  <c r="N2" i="15" s="1"/>
  <c r="N5" i="15" s="1"/>
  <c r="I20" i="14"/>
  <c r="I19" i="14"/>
  <c r="I18" i="14"/>
  <c r="I17" i="14"/>
  <c r="I16" i="14"/>
  <c r="I15" i="14"/>
  <c r="I22" i="14" s="1"/>
  <c r="J11" i="14"/>
  <c r="N11" i="14" s="1"/>
  <c r="N12" i="14" s="1"/>
  <c r="N2" i="14" s="1"/>
  <c r="N5" i="14" s="1"/>
  <c r="E11" i="14"/>
  <c r="I22" i="13"/>
  <c r="I21" i="13"/>
  <c r="I20" i="13"/>
  <c r="I19" i="13"/>
  <c r="I18" i="13"/>
  <c r="I17" i="13"/>
  <c r="I16" i="13"/>
  <c r="I15" i="13"/>
  <c r="J11" i="13"/>
  <c r="N11" i="13" s="1"/>
  <c r="N12" i="13" s="1"/>
  <c r="I32" i="11"/>
  <c r="I33" i="11" s="1"/>
  <c r="D28" i="11"/>
  <c r="J28" i="11" s="1"/>
  <c r="J29" i="11" s="1"/>
  <c r="I24" i="11"/>
  <c r="I23" i="11"/>
  <c r="I22" i="11"/>
  <c r="N18" i="11"/>
  <c r="N17" i="11"/>
  <c r="E13" i="11"/>
  <c r="I29" i="12"/>
  <c r="I31" i="12" s="1"/>
  <c r="J26" i="12"/>
  <c r="J25" i="12"/>
  <c r="J24" i="12"/>
  <c r="J23" i="12"/>
  <c r="I19" i="12"/>
  <c r="I18" i="12"/>
  <c r="I17" i="12"/>
  <c r="I16" i="12"/>
  <c r="I20" i="12" s="1"/>
  <c r="I15" i="12"/>
  <c r="I14" i="12"/>
  <c r="N10" i="12"/>
  <c r="N11" i="12" s="1"/>
  <c r="J10" i="12"/>
  <c r="B3" i="12"/>
  <c r="B2" i="12"/>
  <c r="N1" i="12"/>
  <c r="N4" i="12" s="1"/>
  <c r="B4" i="11"/>
  <c r="I25" i="13" l="1"/>
  <c r="N2" i="13"/>
  <c r="E11" i="15"/>
  <c r="E11" i="13"/>
  <c r="N19" i="11"/>
  <c r="I25" i="11"/>
  <c r="N5" i="13" l="1"/>
  <c r="C11" i="11"/>
  <c r="E11" i="11" s="1"/>
  <c r="E14" i="11" s="1"/>
  <c r="N2" i="11" s="1"/>
  <c r="N5" i="11" s="1"/>
  <c r="I30" i="10" l="1"/>
  <c r="I32" i="10" s="1"/>
  <c r="J26" i="10"/>
  <c r="J25" i="10"/>
  <c r="J24" i="10"/>
  <c r="J27" i="10" s="1"/>
  <c r="I21" i="10"/>
  <c r="I20" i="10"/>
  <c r="I19" i="10"/>
  <c r="I18" i="10"/>
  <c r="I17" i="10"/>
  <c r="I16" i="10"/>
  <c r="I15" i="10"/>
  <c r="N11" i="10"/>
  <c r="N12" i="10" s="1"/>
  <c r="J11" i="10"/>
  <c r="B4" i="10"/>
  <c r="B3" i="10"/>
  <c r="B8" i="8" l="1"/>
  <c r="M8" i="8" l="1"/>
  <c r="L8" i="8"/>
  <c r="K8" i="8"/>
  <c r="I8" i="8"/>
  <c r="I7" i="8"/>
  <c r="B18" i="8"/>
  <c r="B9" i="8"/>
  <c r="B10" i="8"/>
  <c r="B11" i="8"/>
  <c r="B12" i="8"/>
  <c r="B13" i="8"/>
  <c r="B14" i="8"/>
  <c r="B15" i="8"/>
  <c r="B16" i="8"/>
  <c r="B17" i="8"/>
  <c r="B7" i="8"/>
  <c r="C7" i="8" l="1"/>
  <c r="C8" i="8"/>
  <c r="F8" i="8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L18" i="8"/>
  <c r="J44" i="1"/>
  <c r="L7" i="8" s="1"/>
  <c r="N20" i="1"/>
  <c r="N2" i="10" l="1"/>
  <c r="N5" i="10" s="1"/>
  <c r="J8" i="8"/>
  <c r="I34" i="1"/>
  <c r="K7" i="8" s="1"/>
  <c r="I49" i="1"/>
  <c r="M7" i="8" s="1"/>
  <c r="K18" i="8"/>
  <c r="M18" i="8"/>
  <c r="N25" i="1"/>
  <c r="J7" i="8" l="1"/>
  <c r="H7" i="8" s="1"/>
  <c r="N7" i="8" s="1"/>
  <c r="H8" i="8"/>
  <c r="N8" i="8" s="1"/>
  <c r="O1" i="8"/>
  <c r="J18" i="8" l="1"/>
  <c r="N18" i="8"/>
  <c r="E17" i="1"/>
  <c r="N2" i="1" s="1"/>
  <c r="N5" i="1" s="1"/>
</calcChain>
</file>

<file path=xl/sharedStrings.xml><?xml version="1.0" encoding="utf-8"?>
<sst xmlns="http://schemas.openxmlformats.org/spreadsheetml/2006/main" count="1296" uniqueCount="320">
  <si>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</si>
  <si>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</si>
  <si>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</si>
  <si>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</si>
  <si>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</si>
  <si>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</si>
  <si>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</si>
  <si>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</si>
  <si>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</si>
  <si>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</si>
  <si>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</si>
  <si>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</si>
  <si>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</si>
  <si>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</si>
  <si>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</si>
  <si>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</si>
  <si>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</si>
  <si>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</si>
  <si>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</si>
  <si>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</si>
  <si>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</si>
  <si>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</si>
  <si>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</si>
  <si>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</si>
  <si>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</si>
  <si>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</si>
  <si>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</si>
  <si>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</si>
  <si>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</si>
  <si>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</si>
  <si>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</si>
  <si>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</si>
  <si>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Steel, Mild (per kg)</t>
  </si>
  <si>
    <t>circle area</t>
  </si>
  <si>
    <t>Process</t>
  </si>
  <si>
    <t>Unit</t>
  </si>
  <si>
    <t>Multiplier</t>
  </si>
  <si>
    <t>Mult. Val.</t>
  </si>
  <si>
    <t>unit</t>
  </si>
  <si>
    <t>Fastener</t>
  </si>
  <si>
    <t>Nut, Grade 8.8 (SAE 5)</t>
  </si>
  <si>
    <t>Retaining Ring, External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</si>
  <si>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</si>
  <si>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</si>
  <si>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</si>
  <si>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</si>
  <si>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</si>
  <si>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</si>
  <si>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</si>
  <si>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</si>
  <si>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</si>
  <si>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</si>
  <si>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</si>
  <si>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</si>
  <si>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</si>
  <si>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</si>
  <si>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</si>
  <si>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</si>
  <si>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</si>
  <si>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</si>
  <si>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</si>
  <si>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</si>
  <si>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</si>
  <si>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</si>
  <si>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</si>
  <si>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</si>
  <si>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</si>
  <si>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</si>
  <si>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</si>
  <si>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</si>
  <si>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</si>
  <si>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</si>
  <si>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</si>
  <si>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</si>
  <si>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</si>
  <si>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</si>
  <si>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</si>
  <si>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Nom de l'assemblage 1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</si>
  <si>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</si>
  <si>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</si>
  <si>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</si>
  <si>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</si>
  <si>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</si>
  <si>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</si>
  <si>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</si>
  <si>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</si>
  <si>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</si>
  <si>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</si>
  <si>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</si>
  <si>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</si>
  <si>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</si>
  <si>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</si>
  <si>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</si>
  <si>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</si>
  <si>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</si>
  <si>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</si>
  <si>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</si>
  <si>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</si>
  <si>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</si>
  <si>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</si>
  <si>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</si>
  <si>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</si>
  <si>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</si>
  <si>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</si>
  <si>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</si>
  <si>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</si>
  <si>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</si>
  <si>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</si>
  <si>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</si>
  <si>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</si>
  <si>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</si>
  <si>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</si>
  <si>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Description brève de l'assemblage</t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</si>
  <si>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</si>
  <si>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</si>
  <si>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</si>
  <si>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</si>
  <si>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</si>
  <si>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</si>
  <si>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</si>
  <si>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</si>
  <si>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</si>
  <si>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</si>
  <si>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</si>
  <si>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</si>
  <si>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</si>
  <si>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</si>
  <si>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</si>
  <si>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</si>
  <si>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</si>
  <si>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</si>
  <si>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</si>
  <si>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</si>
  <si>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</si>
  <si>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</si>
  <si>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</si>
  <si>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</si>
  <si>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</si>
  <si>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</si>
  <si>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</si>
  <si>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</si>
  <si>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</si>
  <si>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</si>
  <si>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</si>
  <si>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</si>
  <si>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</si>
  <si>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</si>
  <si>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</si>
  <si>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d'informations.</t>
  </si>
  <si>
    <t>The cost of assemblies on this chart should not include the cost of the parts in the assembly but only the materials, processes, fasteners and tooling in the assembly level.</t>
  </si>
  <si>
    <t>Steering System</t>
  </si>
  <si>
    <t>ST A0001</t>
  </si>
  <si>
    <t>ST 01001</t>
  </si>
  <si>
    <t>Steering Column Universal Joint</t>
  </si>
  <si>
    <t>Steering Column</t>
  </si>
  <si>
    <t>Steel, alloy (per kg)</t>
  </si>
  <si>
    <t>Stock for First column tube, 20*1.5mm</t>
  </si>
  <si>
    <t>ST_A0300</t>
  </si>
  <si>
    <t>Quick release</t>
  </si>
  <si>
    <t>Quick Release Steel Sleeve</t>
  </si>
  <si>
    <t>Quick Release Fixed Part</t>
  </si>
  <si>
    <t>Quick Release Sliding Part</t>
  </si>
  <si>
    <t>Spring</t>
  </si>
  <si>
    <t>Compression enabled</t>
  </si>
  <si>
    <t>Ball Bearing</t>
  </si>
  <si>
    <t>Quick Release locking</t>
  </si>
  <si>
    <t>Assemble, 1 kg, Interference</t>
  </si>
  <si>
    <t>Assembling of Sliding and Fixed Pard</t>
  </si>
  <si>
    <t>Assemble, 1 kg, Line-on-Line</t>
  </si>
  <si>
    <t>Assembling of the Steel Sleeve and the Fixed part</t>
  </si>
  <si>
    <t>Weld</t>
  </si>
  <si>
    <t>Welding the Steel Sleeve on the First Column Tube</t>
  </si>
  <si>
    <t>Retaining Ring, Internal</t>
  </si>
  <si>
    <t>Locking of the quick release</t>
  </si>
  <si>
    <t>Steel Sleeve welded on First Volumn Tube</t>
  </si>
  <si>
    <t>Bought part, cost as made</t>
  </si>
  <si>
    <t>Quick Release</t>
  </si>
  <si>
    <t>ST 03001</t>
  </si>
  <si>
    <t>Stock for the part</t>
  </si>
  <si>
    <t>kg</t>
  </si>
  <si>
    <t>Circular area, diam. 25mm</t>
  </si>
  <si>
    <t>Setup for machining</t>
  </si>
  <si>
    <t>Machining</t>
  </si>
  <si>
    <t>Material removal, radius</t>
  </si>
  <si>
    <t>cm^3</t>
  </si>
  <si>
    <t>Material : Steel</t>
  </si>
  <si>
    <t>Material removal, lenght</t>
  </si>
  <si>
    <t>Machining Setup, Change</t>
  </si>
  <si>
    <t>Prepare the machine for shoulder 1</t>
  </si>
  <si>
    <t>Shoulder 1</t>
  </si>
  <si>
    <t>Prepare the machine for shoulder 2</t>
  </si>
  <si>
    <t>Shoulder 2</t>
  </si>
  <si>
    <t>Prepare setup broaching machine</t>
  </si>
  <si>
    <t>Broach, External</t>
  </si>
  <si>
    <t>Broaching the splines</t>
  </si>
  <si>
    <t>Anodize</t>
  </si>
  <si>
    <t>Hard Anodizing</t>
  </si>
  <si>
    <t>Aluminium, normal (per kg)</t>
  </si>
  <si>
    <t>Stock</t>
  </si>
  <si>
    <t>Circular area diam. 71mm</t>
  </si>
  <si>
    <t>Material removal</t>
  </si>
  <si>
    <t>Material : Aluminum</t>
  </si>
  <si>
    <t>Driller setup</t>
  </si>
  <si>
    <t>Drilled holes &lt; 25.4 mm dia.</t>
  </si>
  <si>
    <t>Broach, Internal</t>
  </si>
  <si>
    <t>Internal Splines</t>
  </si>
  <si>
    <t>Hard anodizing</t>
  </si>
  <si>
    <t>ST_03002</t>
  </si>
  <si>
    <t>ST 03003</t>
  </si>
  <si>
    <t>Circular area diam. 60mm</t>
  </si>
  <si>
    <t>drill 9 holes</t>
  </si>
  <si>
    <t>Free</t>
  </si>
  <si>
    <t>$              -</t>
  </si>
  <si>
    <t xml:space="preserve">Steering Wheel </t>
  </si>
  <si>
    <t>ST_A400</t>
  </si>
  <si>
    <t>Steering Wheel</t>
  </si>
  <si>
    <t>Bought, cost as made</t>
  </si>
  <si>
    <t>Sheet for the structure 2 mm thickness</t>
  </si>
  <si>
    <t>Rectangular area 250mm x 230mm</t>
  </si>
  <si>
    <t>Foam, Expanding, Non-Structural (per kg)</t>
  </si>
  <si>
    <t>Foam for torus form</t>
  </si>
  <si>
    <t>Fabric (per m^2)</t>
  </si>
  <si>
    <t>steering wheel covering</t>
  </si>
  <si>
    <t>m^2</t>
  </si>
  <si>
    <t>Adhesive</t>
  </si>
  <si>
    <t>Steering wheel covering - Cost included in process</t>
  </si>
  <si>
    <t>Setup for laser cut</t>
  </si>
  <si>
    <t>Outline and holes for sheet</t>
  </si>
  <si>
    <t>Material - Steel</t>
  </si>
  <si>
    <t>Assemble of foam</t>
  </si>
  <si>
    <t>Cut (scissors, knife)</t>
  </si>
  <si>
    <t>Preparation of covering</t>
  </si>
  <si>
    <t>Liquid Applicator Gun</t>
  </si>
  <si>
    <t>Apply of covering</t>
  </si>
  <si>
    <t>Assemble of covering</t>
  </si>
  <si>
    <t>ST_0400</t>
  </si>
  <si>
    <t>Steering Assembly</t>
  </si>
  <si>
    <t xml:space="preserve">Drawing : </t>
  </si>
  <si>
    <t>Aluminium spacer</t>
  </si>
  <si>
    <t>ST 04006</t>
  </si>
  <si>
    <t>Aluminum, Normal (per kg)</t>
  </si>
  <si>
    <t>Sheet of aluminium for the shift plate</t>
  </si>
  <si>
    <t>Rectangular area, 55x55 mm</t>
  </si>
  <si>
    <t xml:space="preserve">Set up </t>
  </si>
  <si>
    <t>Steering Rack</t>
  </si>
  <si>
    <t>Stock for spline coupler</t>
  </si>
  <si>
    <t>The spline coupler is bought</t>
  </si>
  <si>
    <t>Section</t>
  </si>
  <si>
    <t>For the splines in the spline coupler</t>
  </si>
  <si>
    <t>Hole before the Broach</t>
  </si>
  <si>
    <t>hole</t>
  </si>
  <si>
    <t>Setup for tne material 20</t>
  </si>
  <si>
    <t>Welding between The spline coupler and the steering column</t>
  </si>
  <si>
    <t>ST A0002</t>
  </si>
  <si>
    <t>Rack</t>
  </si>
  <si>
    <t>Rack pinion</t>
  </si>
  <si>
    <t>Rack housing</t>
  </si>
  <si>
    <t>Lower Rack mount</t>
  </si>
  <si>
    <t>Rack protection</t>
  </si>
  <si>
    <t>Bearing, Ball, Radial</t>
  </si>
  <si>
    <t>Guide the pinion</t>
  </si>
  <si>
    <t>Paint</t>
  </si>
  <si>
    <t>Paint lower mounts</t>
  </si>
  <si>
    <t>m²</t>
  </si>
  <si>
    <t>Grease Nipple, Straight</t>
  </si>
  <si>
    <t>Grease the rack</t>
  </si>
  <si>
    <t>Welding of lower mounts</t>
  </si>
  <si>
    <t>Aerosol Apply</t>
  </si>
  <si>
    <t>Repeat 2</t>
  </si>
  <si>
    <t>Assemble, 1kg, Line-on-Line</t>
  </si>
  <si>
    <t>Assemble the rack inside the housing</t>
  </si>
  <si>
    <t>Assemble the pinion, the bearing, the grease and the retaining ring inside the housing</t>
  </si>
  <si>
    <t>Assemble, 1kg, Interference</t>
  </si>
  <si>
    <t>Assemble the rack over lower mounts</t>
  </si>
  <si>
    <t>Assemble upper mounts</t>
  </si>
  <si>
    <t>Ratchet &lt;= 6,35 mm</t>
  </si>
  <si>
    <t>Lock the rack</t>
  </si>
  <si>
    <t>Reaction tool &lt;= 6,35 mm</t>
  </si>
  <si>
    <t>Reaction tool for process 70</t>
  </si>
  <si>
    <t>Assemble, 1kg, Loose</t>
  </si>
  <si>
    <t>Assemble rack protection</t>
  </si>
  <si>
    <t>Put the bolts to lock the rack protection</t>
  </si>
  <si>
    <t>Tighten the nut</t>
  </si>
  <si>
    <t>Put the bolts to lock the rack stops</t>
  </si>
  <si>
    <t>Maintain the pinion inside the rack housing</t>
  </si>
  <si>
    <t>Bolt, Grade 8.8 (SAE 5)</t>
  </si>
  <si>
    <t>Process 70 and 100</t>
  </si>
  <si>
    <t xml:space="preserve">Process 70 </t>
  </si>
  <si>
    <t>Process 120</t>
  </si>
  <si>
    <t>Steel, Stainless (per kg)</t>
  </si>
  <si>
    <t>Circular area, 20mm diameter</t>
  </si>
  <si>
    <t>Drilled holes</t>
  </si>
  <si>
    <t>Holes for tie rod assembling</t>
  </si>
  <si>
    <t>Threading, Internal (machining)</t>
  </si>
  <si>
    <t>Teeth machining</t>
  </si>
  <si>
    <t>ST_01001</t>
  </si>
  <si>
    <t>Stock for the pinion</t>
  </si>
  <si>
    <t>Circular area diam. 50mm</t>
  </si>
  <si>
    <t>Broach, external</t>
  </si>
  <si>
    <t xml:space="preserve">Steering Rack </t>
  </si>
  <si>
    <t>ST_01002</t>
  </si>
  <si>
    <t>ST 02003</t>
  </si>
  <si>
    <t>Material for the rack housing</t>
  </si>
  <si>
    <t>Die casting</t>
  </si>
  <si>
    <t>Housing casting</t>
  </si>
  <si>
    <t>Machining making proper surfaces</t>
  </si>
  <si>
    <t>Reamed hole for the rack translation</t>
  </si>
  <si>
    <t>rectangular area, 20x102 mm</t>
  </si>
  <si>
    <t>2 parts cut from a single machine setup</t>
  </si>
  <si>
    <t>Laser cut</t>
  </si>
  <si>
    <t xml:space="preserve">holes </t>
  </si>
  <si>
    <t>Sheet metal bends</t>
  </si>
  <si>
    <t>bend</t>
  </si>
  <si>
    <t>Steering Tie rod holder</t>
  </si>
  <si>
    <t>ST_02004</t>
  </si>
  <si>
    <t>Steering tie rod holder</t>
  </si>
  <si>
    <t>Aluminium Spacer</t>
  </si>
  <si>
    <t>ST A0200</t>
  </si>
  <si>
    <t>Steering Brackets tie</t>
  </si>
  <si>
    <t>Steering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</si>
</sst>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3" formatCode="_-* #,##0.00\ _€_-;\-* #,##0.00\ _€_-;_-* &quot;-&quot;??\ _€_-;_-@_-"/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-[$$-409]* #,##0.00_ ;_-[$$-409]* \-#,##0.00,;_-[$$-409]* \-??_ ;_-@_ 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_-[$$-409]* #,##0.00_ ;_-[$$-409]* \-#,##0.00\ ;_-[$$-409]* &quot;-&quot;??_ ;_-@_ "/>
    <numFmt numFmtId="174" formatCode="0.0000"/>
    <numFmt numFmtId="175" formatCode="0.000"/>
    <numFmt numFmtId="176" formatCode="_(&quot;$&quot;* #,##0.00_);_(&quot;$&quot;* \(#,##0.000\);_(&quot;$&quot;* &quot;-&quot;??_);_(@_)"/>
    <numFmt numFmtId="177" formatCode="_(* #,##0_);_(* \(#,##0\);_(* &quot;-&quot;??_);_(@_)"/>
    <numFmt numFmtId="178" formatCode="_(* #,##0.000_);_(* \(#,##0.000\);_(* &quot;-&quot;??_);_(@_)"/>
    <numFmt numFmtId="179" formatCode="_-* #,##0.000_-;\-* #,##0.000_-;_-* &quot;-&quot;???_-;_-@_-"/>
    <numFmt numFmtId="180" formatCode="#,##0.000"/>
    <numFmt numFmtId="181" formatCode="#,##0.000_ ;\-#,##0.000\ "/>
    <numFmt numFmtId="182" formatCode="0.0"/>
    <numFmt numFmtId="183" formatCode="0.00000E+00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theme="9"/>
        <bgColor rgb="FFFCD5B5"/>
      </patternFill>
    </fill>
    <fill>
      <patternFill patternType="solid">
        <fgColor theme="9" tint="0.39997558519241921"/>
        <bgColor rgb="FFFAC09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F7A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rgb="FF000000"/>
      </patternFill>
    </fill>
  </fills>
  <borders count="3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9" fillId="0" borderId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8" fillId="2" borderId="6">
      <alignment vertical="center" wrapText="1"/>
    </xf>
    <xf numFmtId="172" fontId="9" fillId="0" borderId="0" applyFont="0" applyFill="0" applyBorder="0" applyAlignment="0" applyProtection="0"/>
    <xf numFmtId="0" fontId="3" fillId="0" borderId="0"/>
    <xf numFmtId="166" fontId="7" fillId="0" borderId="1">
      <alignment vertical="center" wrapText="1"/>
    </xf>
    <xf numFmtId="0" fontId="20" fillId="0" borderId="0" applyNumberFormat="0" applyFill="0" applyBorder="0" applyAlignment="0" applyProtection="0"/>
    <xf numFmtId="0" fontId="26" fillId="11" borderId="0" applyNumberFormat="0" applyBorder="0" applyAlignment="0" applyProtection="0"/>
    <xf numFmtId="172" fontId="17" fillId="0" borderId="0" applyFont="0" applyFill="0" applyBorder="0" applyAlignment="0" applyProtection="0"/>
    <xf numFmtId="0" fontId="7" fillId="0" borderId="0"/>
    <xf numFmtId="171" fontId="17" fillId="0" borderId="0" applyFont="0" applyFill="0" applyBorder="0" applyAlignment="0" applyProtection="0"/>
    <xf numFmtId="0" fontId="29" fillId="0" borderId="0"/>
    <xf numFmtId="171" fontId="1" fillId="0" borderId="0" applyFont="0" applyFill="0" applyBorder="0" applyAlignment="0" applyProtection="0"/>
  </cellStyleXfs>
  <cellXfs count="316">
    <xf numFmtId="0" fontId="0" fillId="0" borderId="0" xfId="0"/>
    <xf numFmtId="18" fontId="13" fillId="0" borderId="7" xfId="1" applyNumberFormat="1" applyFont="1" applyFill="1" applyBorder="1" applyAlignment="1" applyProtection="1">
      <protection locked="0"/>
    </xf>
    <xf numFmtId="0" fontId="13" fillId="0" borderId="7" xfId="1" applyFont="1" applyFill="1" applyBorder="1" applyAlignment="1">
      <alignment horizontal="center"/>
    </xf>
    <xf numFmtId="172" fontId="13" fillId="0" borderId="7" xfId="5" applyFont="1" applyFill="1" applyBorder="1" applyProtection="1">
      <protection locked="0"/>
    </xf>
    <xf numFmtId="0" fontId="13" fillId="0" borderId="7" xfId="1" applyFont="1" applyFill="1" applyBorder="1" applyAlignment="1" applyProtection="1">
      <alignment horizontal="center"/>
      <protection locked="0"/>
    </xf>
    <xf numFmtId="0" fontId="13" fillId="0" borderId="7" xfId="1" applyFont="1" applyFill="1" applyBorder="1" applyProtection="1">
      <protection locked="0"/>
    </xf>
    <xf numFmtId="172" fontId="10" fillId="0" borderId="0" xfId="5" applyFont="1"/>
    <xf numFmtId="0" fontId="10" fillId="0" borderId="0" xfId="1" applyFont="1" applyProtection="1">
      <protection locked="0"/>
    </xf>
    <xf numFmtId="172" fontId="9" fillId="0" borderId="0" xfId="5" applyFont="1"/>
    <xf numFmtId="0" fontId="10" fillId="0" borderId="0" xfId="1" applyFont="1"/>
    <xf numFmtId="0" fontId="12" fillId="0" borderId="0" xfId="1" applyFont="1"/>
    <xf numFmtId="0" fontId="9" fillId="0" borderId="0" xfId="1" applyFont="1" applyProtection="1">
      <protection locked="0"/>
    </xf>
    <xf numFmtId="0" fontId="9" fillId="0" borderId="0" xfId="1" applyFont="1" applyFill="1"/>
    <xf numFmtId="0" fontId="9" fillId="0" borderId="0" xfId="1" applyFont="1"/>
    <xf numFmtId="0" fontId="3" fillId="0" borderId="0" xfId="6" applyBorder="1"/>
    <xf numFmtId="0" fontId="3" fillId="0" borderId="0" xfId="6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0" fontId="6" fillId="0" borderId="3" xfId="0" applyFont="1" applyBorder="1"/>
    <xf numFmtId="164" fontId="5" fillId="0" borderId="3" xfId="7" applyNumberFormat="1" applyFont="1" applyBorder="1" applyAlignment="1" applyProtection="1"/>
    <xf numFmtId="0" fontId="5" fillId="0" borderId="3" xfId="0" applyFont="1" applyBorder="1" applyAlignment="1"/>
    <xf numFmtId="11" fontId="5" fillId="0" borderId="3" xfId="0" applyNumberFormat="1" applyFont="1" applyBorder="1" applyAlignment="1"/>
    <xf numFmtId="168" fontId="5" fillId="0" borderId="3" xfId="7" applyNumberFormat="1" applyFont="1" applyBorder="1" applyAlignment="1" applyProtection="1"/>
    <xf numFmtId="0" fontId="0" fillId="0" borderId="0" xfId="0" applyAlignment="1"/>
    <xf numFmtId="2" fontId="5" fillId="0" borderId="3" xfId="7" applyNumberFormat="1" applyFont="1" applyBorder="1" applyAlignment="1" applyProtection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left"/>
    </xf>
    <xf numFmtId="0" fontId="4" fillId="0" borderId="4" xfId="0" applyFont="1" applyBorder="1"/>
    <xf numFmtId="0" fontId="5" fillId="0" borderId="3" xfId="0" applyFont="1" applyBorder="1" applyAlignment="1" applyProtection="1"/>
    <xf numFmtId="3" fontId="0" fillId="0" borderId="3" xfId="0" applyNumberFormat="1" applyBorder="1" applyAlignment="1"/>
    <xf numFmtId="165" fontId="5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5" fillId="0" borderId="3" xfId="7" applyNumberFormat="1" applyFont="1" applyBorder="1" applyAlignment="1" applyProtection="1">
      <alignment wrapText="1"/>
    </xf>
    <xf numFmtId="1" fontId="5" fillId="0" borderId="3" xfId="0" applyNumberFormat="1" applyFont="1" applyBorder="1"/>
    <xf numFmtId="39" fontId="5" fillId="0" borderId="3" xfId="7" applyNumberFormat="1" applyFont="1" applyBorder="1" applyAlignment="1" applyProtection="1"/>
    <xf numFmtId="37" fontId="5" fillId="0" borderId="3" xfId="7" applyNumberFormat="1" applyFont="1" applyBorder="1" applyAlignment="1" applyProtection="1"/>
    <xf numFmtId="165" fontId="5" fillId="0" borderId="0" xfId="0" applyNumberFormat="1" applyFont="1" applyBorder="1"/>
    <xf numFmtId="0" fontId="14" fillId="0" borderId="0" xfId="1" applyFont="1" applyAlignment="1">
      <alignment horizontal="center"/>
    </xf>
    <xf numFmtId="0" fontId="15" fillId="0" borderId="0" xfId="1" applyFont="1"/>
    <xf numFmtId="0" fontId="18" fillId="0" borderId="0" xfId="6" applyFont="1" applyFill="1" applyBorder="1"/>
    <xf numFmtId="0" fontId="3" fillId="0" borderId="0" xfId="6" applyFill="1"/>
    <xf numFmtId="0" fontId="3" fillId="0" borderId="0" xfId="6" applyFill="1" applyBorder="1"/>
    <xf numFmtId="0" fontId="3" fillId="0" borderId="0" xfId="6" applyFont="1"/>
    <xf numFmtId="0" fontId="3" fillId="0" borderId="0" xfId="6" applyFont="1" applyFill="1" applyBorder="1"/>
    <xf numFmtId="0" fontId="3" fillId="0" borderId="0" xfId="6" applyFont="1" applyFill="1"/>
    <xf numFmtId="0" fontId="13" fillId="0" borderId="7" xfId="1" applyFont="1" applyFill="1" applyBorder="1" applyAlignment="1">
      <alignment horizontal="left"/>
    </xf>
    <xf numFmtId="0" fontId="11" fillId="0" borderId="0" xfId="1" applyFont="1"/>
    <xf numFmtId="0" fontId="16" fillId="0" borderId="0" xfId="1" applyFont="1"/>
    <xf numFmtId="0" fontId="18" fillId="3" borderId="0" xfId="6" applyFont="1" applyFill="1" applyBorder="1" applyAlignment="1"/>
    <xf numFmtId="172" fontId="9" fillId="0" borderId="0" xfId="1" applyNumberFormat="1" applyFont="1"/>
    <xf numFmtId="0" fontId="14" fillId="0" borderId="8" xfId="1" applyFont="1" applyBorder="1" applyAlignment="1">
      <alignment horizontal="center" wrapText="1"/>
    </xf>
    <xf numFmtId="2" fontId="14" fillId="0" borderId="8" xfId="1" applyNumberFormat="1" applyFont="1" applyBorder="1" applyAlignment="1">
      <alignment horizontal="center" wrapText="1"/>
    </xf>
    <xf numFmtId="172" fontId="14" fillId="0" borderId="8" xfId="5" applyFont="1" applyBorder="1" applyAlignment="1">
      <alignment horizontal="center" wrapText="1"/>
    </xf>
    <xf numFmtId="0" fontId="19" fillId="4" borderId="9" xfId="6" applyFont="1" applyFill="1" applyBorder="1"/>
    <xf numFmtId="0" fontId="19" fillId="4" borderId="11" xfId="6" applyFont="1" applyFill="1" applyBorder="1"/>
    <xf numFmtId="0" fontId="19" fillId="4" borderId="10" xfId="6" applyFont="1" applyFill="1" applyBorder="1"/>
    <xf numFmtId="0" fontId="19" fillId="4" borderId="12" xfId="6" applyFont="1" applyFill="1" applyBorder="1"/>
    <xf numFmtId="0" fontId="3" fillId="5" borderId="14" xfId="6" quotePrefix="1" applyFill="1" applyBorder="1" applyAlignment="1">
      <alignment horizontal="left"/>
    </xf>
    <xf numFmtId="2" fontId="3" fillId="6" borderId="15" xfId="6" quotePrefix="1" applyNumberFormat="1" applyFill="1" applyBorder="1" applyAlignment="1">
      <alignment horizontal="right"/>
    </xf>
    <xf numFmtId="0" fontId="19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5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4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16" xfId="0" applyFont="1" applyBorder="1"/>
    <xf numFmtId="165" fontId="5" fillId="0" borderId="16" xfId="7" applyNumberFormat="1" applyFont="1" applyBorder="1" applyAlignment="1" applyProtection="1"/>
    <xf numFmtId="0" fontId="6" fillId="0" borderId="16" xfId="0" applyFont="1" applyBorder="1"/>
    <xf numFmtId="164" fontId="5" fillId="0" borderId="16" xfId="7" applyNumberFormat="1" applyFont="1" applyBorder="1" applyAlignment="1" applyProtection="1"/>
    <xf numFmtId="11" fontId="5" fillId="0" borderId="16" xfId="0" applyNumberFormat="1" applyFont="1" applyBorder="1"/>
    <xf numFmtId="167" fontId="5" fillId="0" borderId="16" xfId="7" applyNumberFormat="1" applyFont="1" applyBorder="1" applyAlignment="1" applyProtection="1"/>
    <xf numFmtId="0" fontId="5" fillId="0" borderId="16" xfId="0" applyFont="1" applyBorder="1" applyAlignment="1">
      <alignment wrapText="1"/>
    </xf>
    <xf numFmtId="0" fontId="5" fillId="0" borderId="16" xfId="0" applyFont="1" applyBorder="1" applyAlignment="1"/>
    <xf numFmtId="11" fontId="5" fillId="0" borderId="16" xfId="0" applyNumberFormat="1" applyFont="1" applyBorder="1" applyAlignment="1"/>
    <xf numFmtId="11" fontId="5" fillId="0" borderId="16" xfId="7" applyNumberFormat="1" applyFont="1" applyBorder="1" applyAlignment="1" applyProtection="1"/>
    <xf numFmtId="168" fontId="5" fillId="0" borderId="16" xfId="7" applyNumberFormat="1" applyFont="1" applyBorder="1" applyAlignment="1" applyProtection="1"/>
    <xf numFmtId="0" fontId="0" fillId="0" borderId="16" xfId="0" applyBorder="1" applyAlignment="1"/>
    <xf numFmtId="2" fontId="5" fillId="0" borderId="16" xfId="7" applyNumberFormat="1" applyFont="1" applyBorder="1" applyAlignment="1" applyProtection="1"/>
    <xf numFmtId="169" fontId="5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70" fontId="5" fillId="0" borderId="16" xfId="0" applyNumberFormat="1" applyFont="1" applyBorder="1"/>
    <xf numFmtId="0" fontId="5" fillId="0" borderId="16" xfId="7" applyNumberFormat="1" applyFont="1" applyBorder="1" applyAlignment="1" applyProtection="1">
      <alignment vertical="center" wrapText="1"/>
    </xf>
    <xf numFmtId="37" fontId="5" fillId="0" borderId="16" xfId="7" applyNumberFormat="1" applyFont="1" applyBorder="1" applyAlignment="1" applyProtection="1"/>
    <xf numFmtId="39" fontId="5" fillId="0" borderId="16" xfId="7" applyNumberFormat="1" applyFont="1" applyBorder="1" applyAlignment="1" applyProtection="1"/>
    <xf numFmtId="0" fontId="5" fillId="0" borderId="16" xfId="0" applyFont="1" applyBorder="1" applyAlignment="1" applyProtection="1">
      <alignment wrapText="1"/>
    </xf>
    <xf numFmtId="170" fontId="5" fillId="0" borderId="16" xfId="0" applyNumberFormat="1" applyFont="1" applyBorder="1" applyAlignment="1">
      <alignment wrapText="1"/>
    </xf>
    <xf numFmtId="39" fontId="5" fillId="0" borderId="16" xfId="7" applyNumberFormat="1" applyFont="1" applyBorder="1" applyAlignment="1" applyProtection="1">
      <alignment wrapText="1"/>
    </xf>
    <xf numFmtId="37" fontId="5" fillId="0" borderId="16" xfId="7" applyNumberFormat="1" applyFont="1" applyBorder="1" applyAlignment="1" applyProtection="1">
      <alignment wrapText="1"/>
    </xf>
    <xf numFmtId="0" fontId="5" fillId="0" borderId="16" xfId="0" applyFont="1" applyBorder="1" applyAlignment="1">
      <alignment horizontal="right"/>
    </xf>
    <xf numFmtId="0" fontId="4" fillId="0" borderId="27" xfId="0" applyFont="1" applyBorder="1"/>
    <xf numFmtId="0" fontId="5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0" fontId="20" fillId="0" borderId="16" xfId="8" applyNumberFormat="1" applyBorder="1" applyAlignment="1" applyProtection="1"/>
    <xf numFmtId="0" fontId="21" fillId="0" borderId="0" xfId="0" applyFont="1"/>
    <xf numFmtId="0" fontId="20" fillId="0" borderId="0" xfId="8" applyBorder="1"/>
    <xf numFmtId="0" fontId="20" fillId="0" borderId="0" xfId="8"/>
    <xf numFmtId="0" fontId="23" fillId="0" borderId="0" xfId="0" applyFont="1"/>
    <xf numFmtId="0" fontId="24" fillId="0" borderId="0" xfId="0" applyFont="1"/>
    <xf numFmtId="0" fontId="3" fillId="5" borderId="14" xfId="6" quotePrefix="1" applyFont="1" applyFill="1" applyBorder="1" applyAlignment="1">
      <alignment horizontal="left"/>
    </xf>
    <xf numFmtId="0" fontId="2" fillId="5" borderId="14" xfId="6" applyFont="1" applyFill="1" applyBorder="1"/>
    <xf numFmtId="0" fontId="2" fillId="5" borderId="13" xfId="6" applyFont="1" applyFill="1" applyBorder="1"/>
    <xf numFmtId="173" fontId="5" fillId="0" borderId="16" xfId="7" applyNumberFormat="1" applyFont="1" applyBorder="1" applyAlignment="1" applyProtection="1"/>
    <xf numFmtId="173" fontId="13" fillId="0" borderId="7" xfId="1" applyNumberFormat="1" applyFont="1" applyFill="1" applyBorder="1" applyAlignment="1">
      <alignment horizontal="right"/>
    </xf>
    <xf numFmtId="175" fontId="5" fillId="0" borderId="3" xfId="7" applyNumberFormat="1" applyFont="1" applyBorder="1" applyAlignment="1" applyProtection="1"/>
    <xf numFmtId="174" fontId="5" fillId="0" borderId="16" xfId="7" applyNumberFormat="1" applyFont="1" applyBorder="1" applyAlignment="1" applyProtection="1"/>
    <xf numFmtId="0" fontId="4" fillId="7" borderId="16" xfId="0" applyFont="1" applyFill="1" applyBorder="1"/>
    <xf numFmtId="0" fontId="4" fillId="7" borderId="0" xfId="0" applyFont="1" applyFill="1" applyBorder="1"/>
    <xf numFmtId="0" fontId="4" fillId="7" borderId="16" xfId="0" applyFont="1" applyFill="1" applyBorder="1" applyAlignment="1">
      <alignment horizontal="right"/>
    </xf>
    <xf numFmtId="165" fontId="4" fillId="7" borderId="16" xfId="0" applyNumberFormat="1" applyFont="1" applyFill="1" applyBorder="1"/>
    <xf numFmtId="0" fontId="4" fillId="7" borderId="26" xfId="0" applyFont="1" applyFill="1" applyBorder="1" applyAlignment="1">
      <alignment horizontal="right"/>
    </xf>
    <xf numFmtId="165" fontId="4" fillId="7" borderId="26" xfId="0" applyNumberFormat="1" applyFont="1" applyFill="1" applyBorder="1"/>
    <xf numFmtId="0" fontId="4" fillId="8" borderId="16" xfId="0" applyFont="1" applyFill="1" applyBorder="1"/>
    <xf numFmtId="0" fontId="4" fillId="8" borderId="16" xfId="0" applyFont="1" applyFill="1" applyBorder="1" applyAlignment="1">
      <alignment horizontal="left"/>
    </xf>
    <xf numFmtId="0" fontId="4" fillId="8" borderId="2" xfId="0" applyFont="1" applyFill="1" applyBorder="1"/>
    <xf numFmtId="0" fontId="4" fillId="8" borderId="28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right"/>
    </xf>
    <xf numFmtId="165" fontId="4" fillId="8" borderId="5" xfId="0" applyNumberFormat="1" applyFont="1" applyFill="1" applyBorder="1"/>
    <xf numFmtId="0" fontId="4" fillId="8" borderId="22" xfId="0" applyFont="1" applyFill="1" applyBorder="1"/>
    <xf numFmtId="0" fontId="4" fillId="8" borderId="5" xfId="0" applyFont="1" applyFill="1" applyBorder="1" applyAlignment="1">
      <alignment horizontal="right"/>
    </xf>
    <xf numFmtId="0" fontId="13" fillId="9" borderId="3" xfId="1" applyFont="1" applyFill="1" applyBorder="1" applyProtection="1">
      <protection locked="0"/>
    </xf>
    <xf numFmtId="0" fontId="13" fillId="9" borderId="3" xfId="1" applyFont="1" applyFill="1" applyBorder="1" applyAlignment="1">
      <alignment horizontal="left"/>
    </xf>
    <xf numFmtId="18" fontId="13" fillId="9" borderId="3" xfId="1" applyNumberFormat="1" applyFont="1" applyFill="1" applyBorder="1" applyAlignment="1" applyProtection="1">
      <protection locked="0"/>
    </xf>
    <xf numFmtId="0" fontId="20" fillId="9" borderId="3" xfId="8" applyFill="1" applyBorder="1" applyAlignment="1">
      <alignment horizontal="left"/>
    </xf>
    <xf numFmtId="173" fontId="13" fillId="9" borderId="3" xfId="5" applyNumberFormat="1" applyFont="1" applyFill="1" applyBorder="1" applyProtection="1">
      <protection locked="0"/>
    </xf>
    <xf numFmtId="37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>
      <alignment horizontal="right"/>
    </xf>
    <xf numFmtId="0" fontId="13" fillId="9" borderId="3" xfId="1" applyFont="1" applyFill="1" applyBorder="1" applyAlignment="1">
      <alignment horizontal="center"/>
    </xf>
    <xf numFmtId="0" fontId="13" fillId="10" borderId="3" xfId="1" applyFont="1" applyFill="1" applyBorder="1" applyProtection="1">
      <protection locked="0"/>
    </xf>
    <xf numFmtId="0" fontId="13" fillId="10" borderId="3" xfId="1" applyFont="1" applyFill="1" applyBorder="1" applyAlignment="1">
      <alignment horizontal="left"/>
    </xf>
    <xf numFmtId="18" fontId="13" fillId="10" borderId="3" xfId="1" applyNumberFormat="1" applyFont="1" applyFill="1" applyBorder="1" applyAlignment="1" applyProtection="1">
      <protection locked="0"/>
    </xf>
    <xf numFmtId="0" fontId="20" fillId="10" borderId="3" xfId="8" applyFill="1" applyBorder="1" applyAlignment="1">
      <alignment horizontal="left"/>
    </xf>
    <xf numFmtId="173" fontId="13" fillId="10" borderId="3" xfId="5" applyNumberFormat="1" applyFont="1" applyFill="1" applyBorder="1" applyProtection="1">
      <protection locked="0"/>
    </xf>
    <xf numFmtId="37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>
      <alignment horizontal="right"/>
    </xf>
    <xf numFmtId="0" fontId="13" fillId="10" borderId="3" xfId="1" applyFont="1" applyFill="1" applyBorder="1" applyAlignment="1">
      <alignment horizontal="center"/>
    </xf>
    <xf numFmtId="18" fontId="13" fillId="10" borderId="3" xfId="1" applyNumberFormat="1" applyFont="1" applyFill="1" applyBorder="1" applyAlignment="1" applyProtection="1">
      <alignment horizontal="right"/>
      <protection locked="0"/>
    </xf>
    <xf numFmtId="0" fontId="13" fillId="10" borderId="3" xfId="1" applyFont="1" applyFill="1" applyBorder="1" applyAlignment="1" applyProtection="1">
      <alignment horizontal="center"/>
      <protection locked="0"/>
    </xf>
    <xf numFmtId="11" fontId="13" fillId="10" borderId="3" xfId="1" applyNumberFormat="1" applyFont="1" applyFill="1" applyBorder="1" applyAlignment="1" applyProtection="1">
      <protection locked="0"/>
    </xf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27" fillId="12" borderId="3" xfId="0" applyFont="1" applyFill="1" applyBorder="1"/>
    <xf numFmtId="0" fontId="28" fillId="0" borderId="0" xfId="0" applyFont="1" applyFill="1" applyBorder="1"/>
    <xf numFmtId="0" fontId="28" fillId="0" borderId="3" xfId="0" applyFont="1" applyFill="1" applyBorder="1"/>
    <xf numFmtId="0" fontId="20" fillId="0" borderId="3" xfId="8" applyFill="1" applyBorder="1"/>
    <xf numFmtId="171" fontId="28" fillId="0" borderId="3" xfId="3" applyFont="1" applyFill="1" applyBorder="1"/>
    <xf numFmtId="0" fontId="28" fillId="0" borderId="3" xfId="0" applyNumberFormat="1" applyFont="1" applyFill="1" applyBorder="1"/>
    <xf numFmtId="176" fontId="28" fillId="0" borderId="3" xfId="3" applyNumberFormat="1" applyFont="1" applyFill="1" applyBorder="1"/>
    <xf numFmtId="0" fontId="27" fillId="12" borderId="3" xfId="0" applyFont="1" applyFill="1" applyBorder="1" applyAlignment="1">
      <alignment horizontal="right"/>
    </xf>
    <xf numFmtId="176" fontId="27" fillId="12" borderId="3" xfId="0" applyNumberFormat="1" applyFont="1" applyFill="1" applyBorder="1"/>
    <xf numFmtId="172" fontId="28" fillId="0" borderId="3" xfId="10" applyFont="1" applyFill="1" applyBorder="1"/>
    <xf numFmtId="11" fontId="28" fillId="0" borderId="3" xfId="0" applyNumberFormat="1" applyFont="1" applyFill="1" applyBorder="1"/>
    <xf numFmtId="177" fontId="28" fillId="0" borderId="3" xfId="10" applyNumberFormat="1" applyFont="1" applyFill="1" applyBorder="1"/>
    <xf numFmtId="0" fontId="28" fillId="0" borderId="3" xfId="10" applyNumberFormat="1" applyFont="1" applyFill="1" applyBorder="1"/>
    <xf numFmtId="171" fontId="28" fillId="0" borderId="3" xfId="3" applyNumberFormat="1" applyFont="1" applyFill="1" applyBorder="1"/>
    <xf numFmtId="0" fontId="27" fillId="0" borderId="0" xfId="0" applyFont="1" applyFill="1" applyBorder="1"/>
    <xf numFmtId="172" fontId="27" fillId="0" borderId="0" xfId="10" applyFont="1" applyFill="1" applyBorder="1"/>
    <xf numFmtId="39" fontId="28" fillId="0" borderId="3" xfId="3" applyNumberFormat="1" applyFont="1" applyFill="1" applyBorder="1"/>
    <xf numFmtId="37" fontId="28" fillId="0" borderId="3" xfId="3" applyNumberFormat="1" applyFont="1" applyFill="1" applyBorder="1"/>
    <xf numFmtId="171" fontId="27" fillId="12" borderId="3" xfId="0" applyNumberFormat="1" applyFont="1" applyFill="1" applyBorder="1"/>
    <xf numFmtId="0" fontId="28" fillId="0" borderId="0" xfId="0" applyFont="1" applyFill="1" applyBorder="1" applyAlignment="1">
      <alignment horizontal="right"/>
    </xf>
    <xf numFmtId="171" fontId="28" fillId="0" borderId="0" xfId="0" applyNumberFormat="1" applyFont="1" applyFill="1" applyBorder="1"/>
    <xf numFmtId="0" fontId="27" fillId="13" borderId="29" xfId="0" applyFont="1" applyFill="1" applyBorder="1"/>
    <xf numFmtId="0" fontId="20" fillId="0" borderId="0" xfId="8" applyFill="1" applyBorder="1"/>
    <xf numFmtId="0" fontId="27" fillId="13" borderId="29" xfId="0" applyFont="1" applyFill="1" applyBorder="1" applyAlignment="1">
      <alignment horizontal="left"/>
    </xf>
    <xf numFmtId="0" fontId="28" fillId="0" borderId="0" xfId="0" quotePrefix="1" applyFont="1" applyFill="1" applyBorder="1" applyAlignment="1">
      <alignment horizontal="right"/>
    </xf>
    <xf numFmtId="171" fontId="28" fillId="0" borderId="0" xfId="3" applyNumberFormat="1" applyFont="1" applyFill="1" applyBorder="1"/>
    <xf numFmtId="37" fontId="28" fillId="0" borderId="0" xfId="10" applyNumberFormat="1" applyFont="1" applyFill="1" applyBorder="1"/>
    <xf numFmtId="0" fontId="28" fillId="0" borderId="0" xfId="0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27" fillId="13" borderId="3" xfId="0" applyFont="1" applyFill="1" applyBorder="1"/>
    <xf numFmtId="0" fontId="28" fillId="0" borderId="3" xfId="11" applyFont="1" applyFill="1" applyBorder="1"/>
    <xf numFmtId="0" fontId="28" fillId="0" borderId="3" xfId="11" applyFont="1" applyFill="1" applyBorder="1" applyAlignment="1" applyProtection="1">
      <alignment wrapText="1"/>
    </xf>
    <xf numFmtId="0" fontId="28" fillId="0" borderId="3" xfId="11" applyFont="1" applyFill="1" applyBorder="1" applyAlignment="1">
      <alignment horizontal="left" wrapText="1"/>
    </xf>
    <xf numFmtId="175" fontId="28" fillId="0" borderId="3" xfId="11" applyNumberFormat="1" applyFont="1" applyFill="1" applyBorder="1"/>
    <xf numFmtId="11" fontId="28" fillId="14" borderId="3" xfId="11" applyNumberFormat="1" applyFont="1" applyFill="1" applyBorder="1" applyAlignment="1">
      <alignment wrapText="1"/>
    </xf>
    <xf numFmtId="11" fontId="28" fillId="14" borderId="3" xfId="10" applyNumberFormat="1" applyFont="1" applyFill="1" applyBorder="1"/>
    <xf numFmtId="178" fontId="28" fillId="0" borderId="3" xfId="10" applyNumberFormat="1" applyFont="1" applyFill="1" applyBorder="1"/>
    <xf numFmtId="171" fontId="28" fillId="0" borderId="3" xfId="12" applyNumberFormat="1" applyFont="1" applyFill="1" applyBorder="1"/>
    <xf numFmtId="0" fontId="27" fillId="13" borderId="3" xfId="0" applyFont="1" applyFill="1" applyBorder="1" applyAlignment="1">
      <alignment horizontal="right"/>
    </xf>
    <xf numFmtId="176" fontId="27" fillId="13" borderId="3" xfId="0" applyNumberFormat="1" applyFont="1" applyFill="1" applyBorder="1"/>
    <xf numFmtId="0" fontId="7" fillId="0" borderId="3" xfId="11" applyBorder="1"/>
    <xf numFmtId="0" fontId="28" fillId="0" borderId="3" xfId="13" applyFont="1" applyFill="1" applyBorder="1" applyAlignment="1">
      <alignment wrapText="1"/>
    </xf>
    <xf numFmtId="0" fontId="7" fillId="0" borderId="3" xfId="11" applyBorder="1" applyAlignment="1">
      <alignment wrapText="1"/>
    </xf>
    <xf numFmtId="171" fontId="28" fillId="0" borderId="3" xfId="3" applyNumberFormat="1" applyFont="1" applyFill="1" applyBorder="1" applyAlignment="1"/>
    <xf numFmtId="171" fontId="27" fillId="13" borderId="3" xfId="0" applyNumberFormat="1" applyFont="1" applyFill="1" applyBorder="1"/>
    <xf numFmtId="171" fontId="28" fillId="0" borderId="0" xfId="12" applyNumberFormat="1" applyFont="1" applyFill="1" applyBorder="1"/>
    <xf numFmtId="11" fontId="28" fillId="0" borderId="3" xfId="11" applyNumberFormat="1" applyFont="1" applyFill="1" applyBorder="1" applyAlignment="1">
      <alignment wrapText="1"/>
    </xf>
    <xf numFmtId="11" fontId="28" fillId="0" borderId="3" xfId="10" applyNumberFormat="1" applyFont="1" applyFill="1" applyBorder="1"/>
    <xf numFmtId="171" fontId="28" fillId="0" borderId="3" xfId="12" applyFont="1" applyFill="1" applyBorder="1"/>
    <xf numFmtId="0" fontId="28" fillId="0" borderId="3" xfId="11" applyFont="1" applyFill="1" applyBorder="1" applyAlignment="1">
      <alignment wrapText="1"/>
    </xf>
    <xf numFmtId="179" fontId="28" fillId="0" borderId="3" xfId="11" applyNumberFormat="1" applyFont="1" applyFill="1" applyBorder="1"/>
    <xf numFmtId="1" fontId="28" fillId="0" borderId="3" xfId="11" applyNumberFormat="1" applyFont="1" applyFill="1" applyBorder="1"/>
    <xf numFmtId="0" fontId="17" fillId="0" borderId="3" xfId="13" applyFont="1" applyFill="1" applyBorder="1" applyAlignment="1">
      <alignment wrapText="1"/>
    </xf>
    <xf numFmtId="0" fontId="30" fillId="0" borderId="3" xfId="0" applyFont="1" applyBorder="1"/>
    <xf numFmtId="0" fontId="28" fillId="0" borderId="3" xfId="0" applyFont="1" applyFill="1" applyBorder="1" applyAlignment="1">
      <alignment wrapText="1"/>
    </xf>
    <xf numFmtId="171" fontId="30" fillId="0" borderId="3" xfId="9" applyNumberFormat="1" applyFont="1" applyFill="1" applyBorder="1"/>
    <xf numFmtId="175" fontId="28" fillId="0" borderId="3" xfId="0" applyNumberFormat="1" applyFont="1" applyFill="1" applyBorder="1"/>
    <xf numFmtId="11" fontId="28" fillId="0" borderId="3" xfId="0" applyNumberFormat="1" applyFont="1" applyFill="1" applyBorder="1" applyAlignment="1">
      <alignment wrapText="1"/>
    </xf>
    <xf numFmtId="180" fontId="28" fillId="0" borderId="3" xfId="10" applyNumberFormat="1" applyFont="1" applyFill="1" applyBorder="1"/>
    <xf numFmtId="0" fontId="28" fillId="0" borderId="3" xfId="0" applyFont="1" applyFill="1" applyBorder="1" applyAlignment="1" applyProtection="1">
      <alignment vertical="center" wrapText="1"/>
    </xf>
    <xf numFmtId="172" fontId="30" fillId="0" borderId="3" xfId="0" applyNumberFormat="1" applyFont="1" applyBorder="1"/>
    <xf numFmtId="11" fontId="30" fillId="0" borderId="3" xfId="0" applyNumberFormat="1" applyFont="1" applyBorder="1"/>
    <xf numFmtId="177" fontId="30" fillId="0" borderId="3" xfId="0" applyNumberFormat="1" applyFont="1" applyBorder="1"/>
    <xf numFmtId="171" fontId="30" fillId="0" borderId="3" xfId="0" applyNumberFormat="1" applyFont="1" applyBorder="1"/>
    <xf numFmtId="2" fontId="30" fillId="0" borderId="3" xfId="0" applyNumberFormat="1" applyFont="1" applyBorder="1"/>
    <xf numFmtId="173" fontId="28" fillId="0" borderId="3" xfId="0" applyNumberFormat="1" applyFont="1" applyFill="1" applyBorder="1"/>
    <xf numFmtId="0" fontId="27" fillId="13" borderId="5" xfId="0" applyFont="1" applyFill="1" applyBorder="1" applyAlignment="1">
      <alignment horizontal="right"/>
    </xf>
    <xf numFmtId="173" fontId="27" fillId="13" borderId="5" xfId="12" applyNumberFormat="1" applyFont="1" applyFill="1" applyBorder="1"/>
    <xf numFmtId="171" fontId="1" fillId="0" borderId="3" xfId="12" applyFont="1" applyBorder="1"/>
    <xf numFmtId="0" fontId="1" fillId="0" borderId="3" xfId="14" applyNumberFormat="1" applyFont="1" applyBorder="1"/>
    <xf numFmtId="171" fontId="1" fillId="0" borderId="3" xfId="14" applyFont="1" applyBorder="1"/>
    <xf numFmtId="173" fontId="27" fillId="13" borderId="5" xfId="0" applyNumberFormat="1" applyFont="1" applyFill="1" applyBorder="1"/>
    <xf numFmtId="0" fontId="30" fillId="0" borderId="0" xfId="0" applyFont="1" applyAlignment="1">
      <alignment horizontal="right"/>
    </xf>
    <xf numFmtId="0" fontId="20" fillId="13" borderId="29" xfId="8" applyFill="1" applyBorder="1"/>
    <xf numFmtId="181" fontId="28" fillId="0" borderId="3" xfId="0" applyNumberFormat="1" applyFont="1" applyFill="1" applyBorder="1"/>
    <xf numFmtId="173" fontId="27" fillId="13" borderId="3" xfId="12" applyNumberFormat="1" applyFont="1" applyFill="1" applyBorder="1"/>
    <xf numFmtId="0" fontId="28" fillId="0" borderId="3" xfId="11" applyNumberFormat="1" applyFont="1" applyFill="1" applyBorder="1"/>
    <xf numFmtId="173" fontId="27" fillId="13" borderId="3" xfId="0" applyNumberFormat="1" applyFont="1" applyFill="1" applyBorder="1"/>
    <xf numFmtId="0" fontId="20" fillId="0" borderId="26" xfId="8" applyNumberFormat="1" applyBorder="1" applyAlignment="1" applyProtection="1"/>
    <xf numFmtId="165" fontId="5" fillId="0" borderId="26" xfId="7" applyNumberFormat="1" applyFont="1" applyBorder="1" applyAlignment="1" applyProtection="1"/>
    <xf numFmtId="0" fontId="5" fillId="0" borderId="31" xfId="0" applyFont="1" applyBorder="1"/>
    <xf numFmtId="0" fontId="20" fillId="0" borderId="3" xfId="8" applyBorder="1"/>
    <xf numFmtId="0" fontId="20" fillId="0" borderId="30" xfId="8" applyFill="1" applyBorder="1"/>
    <xf numFmtId="0" fontId="27" fillId="13" borderId="32" xfId="0" applyFont="1" applyFill="1" applyBorder="1" applyAlignment="1">
      <alignment horizontal="right"/>
    </xf>
    <xf numFmtId="171" fontId="27" fillId="13" borderId="32" xfId="0" applyNumberFormat="1" applyFont="1" applyFill="1" applyBorder="1"/>
    <xf numFmtId="171" fontId="28" fillId="0" borderId="0" xfId="3" applyFont="1" applyFill="1" applyBorder="1"/>
    <xf numFmtId="39" fontId="28" fillId="0" borderId="0" xfId="3" applyNumberFormat="1" applyFont="1" applyFill="1" applyBorder="1"/>
    <xf numFmtId="0" fontId="28" fillId="0" borderId="0" xfId="0" applyNumberFormat="1" applyFont="1" applyFill="1" applyBorder="1"/>
    <xf numFmtId="37" fontId="28" fillId="0" borderId="0" xfId="3" applyNumberFormat="1" applyFont="1" applyFill="1" applyBorder="1"/>
    <xf numFmtId="0" fontId="27" fillId="0" borderId="0" xfId="0" applyFont="1" applyFill="1" applyBorder="1" applyAlignment="1">
      <alignment horizontal="right"/>
    </xf>
    <xf numFmtId="171" fontId="27" fillId="0" borderId="0" xfId="0" applyNumberFormat="1" applyFont="1" applyFill="1" applyBorder="1"/>
    <xf numFmtId="176" fontId="27" fillId="13" borderId="5" xfId="0" applyNumberFormat="1" applyFont="1" applyFill="1" applyBorder="1"/>
    <xf numFmtId="0" fontId="0" fillId="0" borderId="3" xfId="11" applyFont="1" applyBorder="1" applyAlignment="1">
      <alignment wrapText="1"/>
    </xf>
    <xf numFmtId="0" fontId="0" fillId="0" borderId="5" xfId="11" applyFont="1" applyBorder="1" applyAlignment="1">
      <alignment wrapText="1"/>
    </xf>
    <xf numFmtId="171" fontId="28" fillId="0" borderId="5" xfId="3" applyFont="1" applyFill="1" applyBorder="1"/>
    <xf numFmtId="0" fontId="28" fillId="0" borderId="5" xfId="13" applyFont="1" applyFill="1" applyBorder="1" applyAlignment="1">
      <alignment wrapText="1"/>
    </xf>
    <xf numFmtId="0" fontId="7" fillId="0" borderId="5" xfId="11" applyBorder="1"/>
    <xf numFmtId="171" fontId="28" fillId="0" borderId="5" xfId="3" applyNumberFormat="1" applyFont="1" applyFill="1" applyBorder="1" applyAlignment="1"/>
    <xf numFmtId="0" fontId="0" fillId="0" borderId="33" xfId="0" applyBorder="1"/>
    <xf numFmtId="0" fontId="28" fillId="0" borderId="34" xfId="13" applyFont="1" applyFill="1" applyBorder="1" applyAlignment="1">
      <alignment wrapText="1"/>
    </xf>
    <xf numFmtId="0" fontId="28" fillId="0" borderId="6" xfId="13" applyFont="1" applyFill="1" applyBorder="1" applyAlignment="1">
      <alignment wrapText="1"/>
    </xf>
    <xf numFmtId="0" fontId="0" fillId="0" borderId="33" xfId="0" applyBorder="1" applyAlignment="1"/>
    <xf numFmtId="0" fontId="28" fillId="0" borderId="33" xfId="11" applyFont="1" applyFill="1" applyBorder="1"/>
    <xf numFmtId="0" fontId="5" fillId="0" borderId="33" xfId="0" applyFont="1" applyBorder="1"/>
    <xf numFmtId="165" fontId="5" fillId="0" borderId="33" xfId="7" applyNumberFormat="1" applyFont="1" applyBorder="1" applyAlignment="1" applyProtection="1"/>
    <xf numFmtId="0" fontId="5" fillId="0" borderId="33" xfId="0" applyFont="1" applyBorder="1" applyAlignment="1"/>
    <xf numFmtId="164" fontId="5" fillId="0" borderId="33" xfId="7" applyNumberFormat="1" applyFont="1" applyBorder="1" applyAlignment="1" applyProtection="1"/>
    <xf numFmtId="11" fontId="5" fillId="0" borderId="33" xfId="0" applyNumberFormat="1" applyFont="1" applyBorder="1" applyAlignment="1"/>
    <xf numFmtId="174" fontId="5" fillId="0" borderId="33" xfId="7" applyNumberFormat="1" applyFont="1" applyBorder="1" applyAlignment="1" applyProtection="1"/>
    <xf numFmtId="168" fontId="5" fillId="0" borderId="33" xfId="7" applyNumberFormat="1" applyFont="1" applyBorder="1" applyAlignment="1" applyProtection="1"/>
    <xf numFmtId="2" fontId="5" fillId="0" borderId="33" xfId="7" applyNumberFormat="1" applyFont="1" applyBorder="1" applyAlignment="1" applyProtection="1"/>
    <xf numFmtId="43" fontId="5" fillId="0" borderId="33" xfId="0" applyNumberFormat="1" applyFont="1" applyBorder="1" applyAlignment="1"/>
    <xf numFmtId="0" fontId="27" fillId="12" borderId="29" xfId="0" applyFont="1" applyFill="1" applyBorder="1"/>
    <xf numFmtId="176" fontId="28" fillId="0" borderId="3" xfId="12" applyNumberFormat="1" applyFont="1" applyFill="1" applyBorder="1"/>
    <xf numFmtId="0" fontId="28" fillId="0" borderId="3" xfId="0" applyNumberFormat="1" applyFont="1" applyFill="1" applyBorder="1" applyAlignment="1">
      <alignment wrapText="1"/>
    </xf>
    <xf numFmtId="37" fontId="28" fillId="0" borderId="3" xfId="12" applyNumberFormat="1" applyFont="1" applyFill="1" applyBorder="1"/>
    <xf numFmtId="39" fontId="28" fillId="0" borderId="3" xfId="12" applyNumberFormat="1" applyFont="1" applyFill="1" applyBorder="1"/>
    <xf numFmtId="171" fontId="28" fillId="0" borderId="3" xfId="12" applyFont="1" applyBorder="1" applyAlignment="1">
      <alignment vertical="center" wrapText="1"/>
    </xf>
    <xf numFmtId="0" fontId="31" fillId="15" borderId="2" xfId="0" applyFont="1" applyFill="1" applyBorder="1"/>
    <xf numFmtId="0" fontId="30" fillId="0" borderId="0" xfId="0" applyFont="1"/>
    <xf numFmtId="0" fontId="31" fillId="15" borderId="2" xfId="0" applyFont="1" applyFill="1" applyBorder="1" applyAlignment="1">
      <alignment horizontal="left"/>
    </xf>
    <xf numFmtId="171" fontId="30" fillId="0" borderId="0" xfId="0" applyNumberFormat="1" applyFont="1"/>
    <xf numFmtId="0" fontId="31" fillId="15" borderId="35" xfId="0" applyFont="1" applyFill="1" applyBorder="1"/>
    <xf numFmtId="0" fontId="20" fillId="15" borderId="2" xfId="8" applyFill="1" applyBorder="1"/>
    <xf numFmtId="37" fontId="30" fillId="0" borderId="0" xfId="0" applyNumberFormat="1" applyFont="1"/>
    <xf numFmtId="0" fontId="30" fillId="0" borderId="0" xfId="0" applyFont="1" applyAlignment="1">
      <alignment horizontal="left"/>
    </xf>
    <xf numFmtId="0" fontId="31" fillId="15" borderId="3" xfId="0" applyFont="1" applyFill="1" applyBorder="1"/>
    <xf numFmtId="0" fontId="31" fillId="15" borderId="36" xfId="0" applyFont="1" applyFill="1" applyBorder="1"/>
    <xf numFmtId="0" fontId="30" fillId="0" borderId="5" xfId="0" applyFont="1" applyBorder="1"/>
    <xf numFmtId="0" fontId="30" fillId="0" borderId="37" xfId="0" applyFont="1" applyBorder="1"/>
    <xf numFmtId="171" fontId="30" fillId="0" borderId="37" xfId="0" applyNumberFormat="1" applyFont="1" applyBorder="1"/>
    <xf numFmtId="175" fontId="30" fillId="0" borderId="37" xfId="0" applyNumberFormat="1" applyFont="1" applyBorder="1"/>
    <xf numFmtId="172" fontId="30" fillId="0" borderId="37" xfId="0" applyNumberFormat="1" applyFont="1" applyBorder="1"/>
    <xf numFmtId="11" fontId="30" fillId="0" borderId="37" xfId="0" applyNumberFormat="1" applyFont="1" applyBorder="1"/>
    <xf numFmtId="0" fontId="30" fillId="0" borderId="37" xfId="0" applyNumberFormat="1" applyFont="1" applyBorder="1"/>
    <xf numFmtId="177" fontId="30" fillId="0" borderId="37" xfId="0" applyNumberFormat="1" applyFont="1" applyBorder="1"/>
    <xf numFmtId="0" fontId="31" fillId="0" borderId="0" xfId="0" applyFont="1"/>
    <xf numFmtId="0" fontId="31" fillId="15" borderId="5" xfId="0" applyFont="1" applyFill="1" applyBorder="1" applyAlignment="1">
      <alignment horizontal="right"/>
    </xf>
    <xf numFmtId="176" fontId="31" fillId="15" borderId="37" xfId="0" applyNumberFormat="1" applyFont="1" applyFill="1" applyBorder="1"/>
    <xf numFmtId="171" fontId="31" fillId="15" borderId="37" xfId="0" applyNumberFormat="1" applyFont="1" applyFill="1" applyBorder="1"/>
    <xf numFmtId="0" fontId="28" fillId="0" borderId="3" xfId="11" applyFont="1" applyFill="1" applyBorder="1" applyAlignment="1">
      <alignment horizontal="left"/>
    </xf>
    <xf numFmtId="182" fontId="28" fillId="0" borderId="3" xfId="11" applyNumberFormat="1" applyFont="1" applyFill="1" applyBorder="1"/>
    <xf numFmtId="183" fontId="28" fillId="0" borderId="3" xfId="10" applyNumberFormat="1" applyFont="1" applyFill="1" applyBorder="1"/>
    <xf numFmtId="0" fontId="7" fillId="0" borderId="3" xfId="11" applyFont="1" applyBorder="1"/>
    <xf numFmtId="181" fontId="30" fillId="0" borderId="37" xfId="0" applyNumberFormat="1" applyFont="1" applyBorder="1"/>
    <xf numFmtId="177" fontId="28" fillId="0" borderId="33" xfId="10" applyNumberFormat="1" applyFont="1" applyFill="1" applyBorder="1"/>
    <xf numFmtId="176" fontId="28" fillId="0" borderId="33" xfId="12" applyNumberFormat="1" applyFont="1" applyFill="1" applyBorder="1"/>
    <xf numFmtId="171" fontId="28" fillId="0" borderId="0" xfId="12" applyFont="1" applyFill="1" applyBorder="1"/>
  </cellXfs>
  <cellStyles count="15">
    <cellStyle name="Comma 2" xfId="5"/>
    <cellStyle name="Cost_Green" xfId="4"/>
    <cellStyle name="Currency 2" xfId="2"/>
    <cellStyle name="Lien hypertexte" xfId="8" builtinId="8"/>
    <cellStyle name="Milliers 2" xfId="10"/>
    <cellStyle name="Monétaire 10" xfId="12"/>
    <cellStyle name="Monétaire 2" xfId="3"/>
    <cellStyle name="Monétaire 4 3" xfId="14"/>
    <cellStyle name="Neutre" xfId="9" builtinId="28"/>
    <cellStyle name="Normal" xfId="0" builtinId="0"/>
    <cellStyle name="Normal 2" xfId="1"/>
    <cellStyle name="Normal 3" xfId="6"/>
    <cellStyle name="Normal 4" xfId="11"/>
    <cellStyle name="Normal_Sheet1" xfId="13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181880</xdr:colOff>
      <xdr:row>6</xdr:row>
      <xdr:rowOff>83820</xdr:rowOff>
    </xdr:from>
    <xdr:to>
      <xdr:col>17</xdr:col>
      <xdr:colOff>381583</xdr:colOff>
      <xdr:row>15</xdr:row>
      <xdr:rowOff>479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3280" y="1181100"/>
          <a:ext cx="2577143" cy="2111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430530</xdr:colOff>
      <xdr:row>13</xdr:row>
      <xdr:rowOff>55245</xdr:rowOff>
    </xdr:from>
    <xdr:to>
      <xdr:col>13</xdr:col>
      <xdr:colOff>142604</xdr:colOff>
      <xdr:row>23</xdr:row>
      <xdr:rowOff>96911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562850" y="2798445"/>
          <a:ext cx="2881994" cy="22362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aume%20Touz&#233;/Downloads/COST-OLYMPIX-MODIF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able of Contents"/>
      <sheetName val="Cost Summary"/>
      <sheetName val="BOM"/>
      <sheetName val="BR"/>
      <sheetName val="BR A0001"/>
      <sheetName val="BR 01001"/>
      <sheetName val="BR 01002"/>
      <sheetName val="BR 01002 Drawing"/>
      <sheetName val="BR 01003"/>
      <sheetName val="BR 01004"/>
      <sheetName val="BR 01004 Drawing"/>
      <sheetName val="BR A0002"/>
      <sheetName val="BR 02001"/>
      <sheetName val="BR 02002"/>
      <sheetName val="BR 02002 Drawing"/>
      <sheetName val="BR 02003"/>
      <sheetName val="BR A0003"/>
      <sheetName val="BR 03001"/>
      <sheetName val="BR 03001 Drawing"/>
      <sheetName val="BR 03002"/>
      <sheetName val="BR 03002 Drawing"/>
      <sheetName val="BR 03003"/>
      <sheetName val="EN"/>
      <sheetName val="EN A0001"/>
      <sheetName val="EN 01001"/>
      <sheetName val="EN 01002"/>
      <sheetName val="EN 01002 Drawing"/>
      <sheetName val="EN 01003"/>
      <sheetName val="EN 01003 Drawing"/>
      <sheetName val="EN A0002"/>
      <sheetName val="EN 02001"/>
      <sheetName val="EN 02001 Drawing"/>
      <sheetName val="EN 02002"/>
      <sheetName val="EN 02002 Drawing"/>
      <sheetName val="EN 02003"/>
      <sheetName val="EN 02004"/>
      <sheetName val="EN 02005"/>
      <sheetName val="EN 02006"/>
      <sheetName val="EN 02007"/>
      <sheetName val="EN 02008"/>
      <sheetName val="EN A0003"/>
      <sheetName val="EN 03001"/>
      <sheetName val="EN 03001 Drawing"/>
      <sheetName val="EN 03001 Drawing 2"/>
      <sheetName val="EN 03002"/>
      <sheetName val="EN 03003"/>
      <sheetName val="EN 03004"/>
      <sheetName val="EN 03005"/>
      <sheetName val="EN 03005 Drawing"/>
      <sheetName val="EN 03006"/>
      <sheetName val="EN 03006 Drawing"/>
      <sheetName val="EN 03007"/>
      <sheetName val="EN 03007 Drawing"/>
      <sheetName val="EN 03008"/>
      <sheetName val="EN 03008 Drawing"/>
      <sheetName val="EN A0004"/>
      <sheetName val="EN 04001"/>
      <sheetName val="EN 04002"/>
      <sheetName val="EN 04003"/>
      <sheetName val="EN 04003 Drawing"/>
      <sheetName val="EN 04004"/>
      <sheetName val="EN 04004 Drawing"/>
      <sheetName val="EN A0005"/>
      <sheetName val="EN 05001"/>
      <sheetName val="EN 05002"/>
      <sheetName val="EN 05003"/>
      <sheetName val="EN 05003 Drawing"/>
      <sheetName val="EN 05004"/>
      <sheetName val="EN 05004 Drawing"/>
      <sheetName val="EN 05005"/>
      <sheetName val="EN 05005 Drawing"/>
      <sheetName val="EN 05006"/>
      <sheetName val="EN A0006"/>
      <sheetName val="EN 06001"/>
      <sheetName val="EN 06002"/>
      <sheetName val="EN 06003"/>
      <sheetName val="EN 06004"/>
      <sheetName val="EN 06005"/>
      <sheetName val="EN 06006"/>
      <sheetName val="EN 06007"/>
      <sheetName val="EN 06008"/>
      <sheetName val="EN 06009"/>
      <sheetName val="EN 06010"/>
      <sheetName val="EN 06010 Drawing"/>
      <sheetName val="EN 06011"/>
      <sheetName val="EN 06011 Drawing"/>
      <sheetName val="EN 06012"/>
      <sheetName val="EN 06012 Drawing"/>
      <sheetName val="EN 06013"/>
      <sheetName val="EN 06013 Drawing"/>
      <sheetName val="EN A0007"/>
      <sheetName val="EN A0008"/>
      <sheetName val="EN 08001"/>
      <sheetName val="EN 08002"/>
      <sheetName val="EN 08002 Drawing"/>
      <sheetName val="EN 08003"/>
      <sheetName val="EN 08003 Drawing"/>
      <sheetName val="EN 08004"/>
      <sheetName val="EN 08004 Drawing"/>
      <sheetName val="EN 08005"/>
      <sheetName val="EN 08006"/>
      <sheetName val="EN 08007"/>
      <sheetName val="EN 08007 Drawing"/>
      <sheetName val="EN 08008"/>
      <sheetName val="EN 08008 Drawing"/>
      <sheetName val="EN 08009"/>
      <sheetName val="EN 08009 Drawing"/>
      <sheetName val="EN 08010"/>
      <sheetName val="EN 08011"/>
      <sheetName val="EN A0009"/>
      <sheetName val="EN 09001"/>
      <sheetName val="EN 09002"/>
      <sheetName val="EN 09002 Drawing"/>
      <sheetName val="EN 09003"/>
      <sheetName val="EN 09003 Drawing"/>
      <sheetName val="EN 09004"/>
      <sheetName val="EN 09004-5-6-7 Drawing"/>
      <sheetName val="EN 09005"/>
      <sheetName val="EN 09006"/>
      <sheetName val="EN 09007"/>
      <sheetName val="EN 09008"/>
      <sheetName val="EN 09008 Drawing"/>
      <sheetName val="EN 09009"/>
      <sheetName val="EN 09009 Drawing"/>
      <sheetName val="EN A0010"/>
      <sheetName val="EN 10001"/>
      <sheetName val="EN 10002"/>
      <sheetName val="EN 10003"/>
      <sheetName val="EN 10004"/>
      <sheetName val="EN A0011"/>
      <sheetName val="EN 11001"/>
      <sheetName val="EN 11002"/>
      <sheetName val="EN 11003"/>
      <sheetName val="EN 11003 Drawing"/>
      <sheetName val="EN 11004"/>
      <sheetName val="EN 11004 Drawing"/>
      <sheetName val="EN 11005"/>
      <sheetName val="EN 11005 Drawing"/>
      <sheetName val="FR"/>
      <sheetName val="FR A0001"/>
      <sheetName val="FR 01001"/>
      <sheetName val="FR 01002"/>
      <sheetName val="FR 01003"/>
      <sheetName val="FR A0002"/>
      <sheetName val="FR 02001"/>
      <sheetName val="FR A0003"/>
      <sheetName val="FR 03001"/>
      <sheetName val="FR 03001 Drawing"/>
      <sheetName val="FR 03002"/>
      <sheetName val="FR 03002 Drawing"/>
      <sheetName val="FR 03003"/>
      <sheetName val="FR 03003 Drawing"/>
      <sheetName val="FR 03004"/>
      <sheetName val="FR 03004 Drawing"/>
      <sheetName val="FR 03005"/>
      <sheetName val="FR 03005 Drawing"/>
      <sheetName val="FR 03006"/>
      <sheetName val="FR 03006 Drawing"/>
      <sheetName val="FR 03007"/>
      <sheetName val="FR 03007 Drawing"/>
      <sheetName val="FR 03008"/>
      <sheetName val="FR 03008 Drawing"/>
      <sheetName val="FR 03009"/>
      <sheetName val="FR 03009 Drawing"/>
      <sheetName val="FR 03010"/>
      <sheetName val="FR 03010 Drawing"/>
      <sheetName val="FR 03011"/>
      <sheetName val="FR 03011 Drawing"/>
      <sheetName val="FR 03012"/>
      <sheetName val="FR 03012 Drawing"/>
      <sheetName val="FR 03013"/>
      <sheetName val="FR 03013 Drawing"/>
      <sheetName val="FR 03014"/>
      <sheetName val="FR 03014 Drawing"/>
      <sheetName val="FR 03015"/>
      <sheetName val="FR 03015 Drawing"/>
      <sheetName val="FR 03016"/>
      <sheetName val="FR 03016 Drawing"/>
      <sheetName val="FR 03017"/>
      <sheetName val="FR 03017 Drawing"/>
      <sheetName val="FR 03018"/>
      <sheetName val="FR 03019"/>
      <sheetName val="FR 03019 Drawing"/>
      <sheetName val="FR 03020"/>
      <sheetName val="FR 03020 Drawing"/>
      <sheetName val="FR A0004"/>
      <sheetName val="FR 04001"/>
      <sheetName val="FR 04002"/>
      <sheetName val="FR 04003"/>
      <sheetName val="FR 04003 Drawing"/>
      <sheetName val="FR 04004"/>
      <sheetName val="FR 04004 Drawing"/>
      <sheetName val="FR 04005"/>
      <sheetName val="FR 04005 Drawing"/>
      <sheetName val="FR A0005"/>
      <sheetName val="FR 05001"/>
      <sheetName val="FR 05001 Drawing"/>
      <sheetName val="FR 05002"/>
      <sheetName val="FR 05003"/>
      <sheetName val="FR 05003 Drawing"/>
      <sheetName val="FR 05004"/>
      <sheetName val="FR 05005"/>
      <sheetName val="FR A0006"/>
      <sheetName val="FR 06001"/>
      <sheetName val="FR 06002"/>
      <sheetName val="FR 06003"/>
      <sheetName val="FR 06003 Drawing"/>
      <sheetName val="FR 06004"/>
      <sheetName val="FR 06004 Drawing"/>
      <sheetName val="FR 06005"/>
      <sheetName val="FR 06005 Drawing"/>
      <sheetName val="FR 06006"/>
      <sheetName val="FR A0007"/>
      <sheetName val="FR 07001"/>
      <sheetName val="FR 07002"/>
      <sheetName val="FR 07003"/>
      <sheetName val="FR 07004"/>
      <sheetName val="FR 07005"/>
      <sheetName val="FR 07005 Drawing"/>
      <sheetName val="FR 07006"/>
      <sheetName val="FR A0008"/>
      <sheetName val="FR 08001"/>
      <sheetName val="FR 08002"/>
      <sheetName val="FR 08003"/>
      <sheetName val="EL"/>
      <sheetName val="EL A0001"/>
      <sheetName val="EL 01001"/>
      <sheetName val="EL 01002"/>
      <sheetName val="EL 01002 Drawing"/>
      <sheetName val="EL A0002"/>
      <sheetName val="EL 02001"/>
      <sheetName val="EL 02001 Drawing"/>
      <sheetName val="EL 02002"/>
      <sheetName val="EL 02002 Drawing"/>
      <sheetName val="EL 02003"/>
      <sheetName val="EL 02003 Drawing"/>
      <sheetName val="EL 02004"/>
      <sheetName val="EL 02004 Drawing"/>
      <sheetName val="EL A0003"/>
      <sheetName val="EL 03001"/>
      <sheetName val="EL A0004"/>
      <sheetName val="EL 04001"/>
      <sheetName val="EL 04001 Drawing"/>
      <sheetName val="EL 04002"/>
      <sheetName val="EL 04002 Drawing"/>
      <sheetName val="EL 04003"/>
      <sheetName val="EL 04003 Drawing"/>
      <sheetName val="EL 04004"/>
      <sheetName val="EL 04004 Drawing"/>
      <sheetName val="EL A0005"/>
      <sheetName val="EL 05001"/>
      <sheetName val="MS"/>
      <sheetName val="MS A0001"/>
      <sheetName val="MS 01001"/>
      <sheetName val="MS 01001 Drawing"/>
      <sheetName val="MS 01002"/>
      <sheetName val="MS 01002 Drawing"/>
      <sheetName val="MS 01003"/>
      <sheetName val="MS 01003 Drawing"/>
      <sheetName val="MS 01004"/>
      <sheetName val="MS 01004-5 Drawing"/>
      <sheetName val="MS 01005"/>
      <sheetName val="MS 01006"/>
      <sheetName val="MS 01006 Drawing"/>
      <sheetName val="MS 01007"/>
      <sheetName val="MS 01007 Drawing"/>
      <sheetName val="MS 01008"/>
      <sheetName val="MS 01008-9 Drawing"/>
      <sheetName val="MS 01009"/>
      <sheetName val="MS 01010"/>
      <sheetName val="MS 01010-11 Drawing"/>
      <sheetName val="MS 01011"/>
      <sheetName val="MS 01012"/>
      <sheetName val="MS01012 Drawing"/>
      <sheetName val="MS 01013"/>
      <sheetName val="MS 01013 Drawing"/>
      <sheetName val="MS 01014"/>
      <sheetName val="MS 01014 Drawing"/>
      <sheetName val="MS A0002"/>
      <sheetName val="MS 02001"/>
      <sheetName val="MS A0003"/>
      <sheetName val="MS 03001"/>
      <sheetName val="MS 03001 Drawing"/>
      <sheetName val="MS 03002"/>
      <sheetName val="MS 03002 Drawing"/>
      <sheetName val="MS 03003"/>
      <sheetName val="MS 03003 Drawing"/>
      <sheetName val="MS A0004"/>
      <sheetName val="MS 04001"/>
      <sheetName val="MS 04002"/>
      <sheetName val="MS 04002 Drawing"/>
      <sheetName val="MS 04003"/>
      <sheetName val="MS 04004"/>
      <sheetName val="MS 04005"/>
      <sheetName val="MS A0005"/>
      <sheetName val="MS 05001"/>
      <sheetName val="MS 05001 Drawing"/>
      <sheetName val="ST"/>
      <sheetName val="ST A0001"/>
      <sheetName val="ST 01001"/>
      <sheetName val="ST 01001 Drawing"/>
      <sheetName val="ST 01002"/>
      <sheetName val="ST 01003"/>
      <sheetName val="ST 01003 Drawing"/>
      <sheetName val="ST 01004"/>
      <sheetName val="ST 01004 Drawing"/>
      <sheetName val="ST A0002"/>
      <sheetName val="ST 02001"/>
      <sheetName val="ST 02001 Drawing"/>
      <sheetName val="ST 02002"/>
      <sheetName val="ST 02003"/>
      <sheetName val="ST 02004"/>
      <sheetName val="ST 02004 Drawing"/>
      <sheetName val="ST 02005"/>
      <sheetName val="ST 02005 Drawing"/>
      <sheetName val="ST 02006"/>
      <sheetName val="ST 02006 Drawing"/>
      <sheetName val="ST 02007"/>
      <sheetName val="ST 02007 Drawing"/>
      <sheetName val="ST A0003"/>
      <sheetName val="ST 03001"/>
      <sheetName val="ST 03002"/>
      <sheetName val="ST 03003"/>
      <sheetName val="ST A0004"/>
      <sheetName val="ST 04001"/>
      <sheetName val="ST 04002"/>
      <sheetName val="ST 04002 Drawing"/>
      <sheetName val="ST 04003"/>
      <sheetName val="ST 04003 Drawing"/>
      <sheetName val="ST 04004"/>
      <sheetName val="ST 04004 Drawing"/>
      <sheetName val="ST 04005"/>
      <sheetName val="ST 04005 Drawing"/>
      <sheetName val="ST 04006"/>
      <sheetName val="ST 04006 Drawing"/>
      <sheetName val="ST A0005"/>
      <sheetName val="ST 05001"/>
      <sheetName val="ST 05002"/>
      <sheetName val="SU"/>
      <sheetName val="SU A0001"/>
      <sheetName val="SU 01001"/>
      <sheetName val="SU 01-2-3-4001 Drawing"/>
      <sheetName val="SU 01002"/>
      <sheetName val="SU 01002 Drawing"/>
      <sheetName val="SU 01003"/>
      <sheetName val="SU tubes drawings"/>
      <sheetName val="SU 01004"/>
      <sheetName val="SU 01005"/>
      <sheetName val="SU 01005 -026-035-046 Drawing"/>
      <sheetName val="SU 01006"/>
      <sheetName val="SU 01-03006 Drawing"/>
      <sheetName val="SU 01007"/>
      <sheetName val="SU 01008"/>
      <sheetName val="SU 01009"/>
      <sheetName val="SU 01010"/>
      <sheetName val="SU A0002"/>
      <sheetName val="SU 02001"/>
      <sheetName val="SU 02002"/>
      <sheetName val="SU 02002 Drawing"/>
      <sheetName val="SU 02003"/>
      <sheetName val="SU 02004"/>
      <sheetName val="SU 02005"/>
      <sheetName val="SU 02005 Drawing"/>
      <sheetName val="SU 02006"/>
      <sheetName val="SU 02007"/>
      <sheetName val="SU 02007-04007 Drawing"/>
      <sheetName val="SU 02008"/>
      <sheetName val="SU 02008 Drawing"/>
      <sheetName val="SU 02009"/>
      <sheetName val="SU 02009 Drawing"/>
      <sheetName val="SU 02010"/>
      <sheetName val="SU 02010 Drawing"/>
      <sheetName val="SU 02011"/>
      <sheetName val="SU 02011 Drawing"/>
      <sheetName val="SU A0003"/>
      <sheetName val="SU 03001"/>
      <sheetName val="SU 03002"/>
      <sheetName val="SU 03002 Drawing"/>
      <sheetName val="SU 03003"/>
      <sheetName val="SU 03004"/>
      <sheetName val="SU 03005"/>
      <sheetName val="SU 03006"/>
      <sheetName val="SU 03007"/>
      <sheetName val="SU 03008"/>
      <sheetName val="SU 03009"/>
      <sheetName val="SU 03010"/>
      <sheetName val="SU A0004"/>
      <sheetName val="SU 04001"/>
      <sheetName val="SU 04002"/>
      <sheetName val="SU 04002 Drawing"/>
      <sheetName val="SU 04003"/>
      <sheetName val="SU 04004"/>
      <sheetName val="SU 04005"/>
      <sheetName val="SU 04005 Drawing"/>
      <sheetName val="SU 04006"/>
      <sheetName val="SU 04007"/>
      <sheetName val="SU 04008"/>
      <sheetName val="SU 04008 Drawing"/>
      <sheetName val="SU 04009"/>
      <sheetName val="SU 04009 Drawing"/>
      <sheetName val="SU 04010"/>
      <sheetName val="SU 04010 Drawing"/>
      <sheetName val="SU 04011"/>
      <sheetName val="SU 04011 Drawing"/>
      <sheetName val="SU A0005"/>
      <sheetName val="SU 05001"/>
      <sheetName val="SU 05001 Drawing"/>
      <sheetName val="SU 05002"/>
      <sheetName val="SU 05003"/>
      <sheetName val="SU A0006"/>
      <sheetName val="SU 06001"/>
      <sheetName val="SU 06001 Drawing"/>
      <sheetName val="SU 06002"/>
      <sheetName val="SU 06002 Drawing"/>
      <sheetName val="SU 06003"/>
      <sheetName val="SU 06004"/>
      <sheetName val="SU 06005"/>
      <sheetName val="SU 06006"/>
      <sheetName val="SU 06007"/>
      <sheetName val="SU 06007 - 08007 Drawing"/>
      <sheetName val="SU A0007"/>
      <sheetName val="SU 07001"/>
      <sheetName val="SU 07001 Drawing"/>
      <sheetName val="SU 07002"/>
      <sheetName val="SU 07003"/>
      <sheetName val="SU A0008"/>
      <sheetName val="SU 08001"/>
      <sheetName val="SU 08001 Drawing"/>
      <sheetName val="SU 08002"/>
      <sheetName val="SU 08002 Drawing"/>
      <sheetName val="SU 08003"/>
      <sheetName val="SU 08004"/>
      <sheetName val="SU 08005"/>
      <sheetName val="SU 08006"/>
      <sheetName val="SU 08007"/>
      <sheetName val="SU A0009"/>
      <sheetName val="SU 09001"/>
      <sheetName val="SU 09002"/>
      <sheetName val="SU A0010"/>
      <sheetName val="SU 10001"/>
      <sheetName val="SU 10001 Drawing"/>
      <sheetName val="SU 10002"/>
      <sheetName val="SU 10002 Drawing"/>
      <sheetName val="SU 10003"/>
      <sheetName val="SU 10003 Drawing"/>
      <sheetName val="SU 10004"/>
      <sheetName val="SU 10004 Drawing"/>
      <sheetName val="SU 10005"/>
      <sheetName val="SU 10005 Drawing"/>
      <sheetName val="SU 10006"/>
      <sheetName val="SU 10006 Drawing"/>
      <sheetName val="SU 10007"/>
      <sheetName val="SU 10007 Drawing"/>
      <sheetName val="SU A0011"/>
      <sheetName val="SU 11001"/>
      <sheetName val="SU 11001 Drawing"/>
      <sheetName val="SU 11002"/>
      <sheetName val="SU 11002 Drawing"/>
      <sheetName val="SU 11003"/>
      <sheetName val="SU 11003 Drawing"/>
      <sheetName val="SU 11004"/>
      <sheetName val="SU 11004 Drawing"/>
      <sheetName val="SU 11005"/>
      <sheetName val="SU 11005 Drawing"/>
      <sheetName val="SU 11006"/>
      <sheetName val="WT"/>
      <sheetName val="WT A0001"/>
      <sheetName val="WT A0002"/>
      <sheetName val="WT 02001"/>
      <sheetName val="WT 02001 Drawing"/>
      <sheetName val="WT 02002"/>
      <sheetName val="WT 02002 Drawing"/>
      <sheetName val="WT 02003"/>
      <sheetName val="WT 02003-03003 Drawing"/>
      <sheetName val="WT A0003"/>
      <sheetName val="WT 03001"/>
      <sheetName val="WT 03001 Drawing"/>
      <sheetName val="WT 03002"/>
      <sheetName val="WT 03002 Drawing"/>
      <sheetName val="WT 03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>
        <row r="1">
          <cell r="N1">
            <v>18.042335139662534</v>
          </cell>
        </row>
        <row r="2">
          <cell r="N2">
            <v>1</v>
          </cell>
        </row>
      </sheetData>
      <sheetData sheetId="309"/>
      <sheetData sheetId="310">
        <row r="1">
          <cell r="N1">
            <v>10.983132812500001</v>
          </cell>
        </row>
        <row r="2">
          <cell r="N2">
            <v>1</v>
          </cell>
        </row>
      </sheetData>
      <sheetData sheetId="311">
        <row r="1">
          <cell r="N1">
            <v>5.18</v>
          </cell>
        </row>
        <row r="2">
          <cell r="N2">
            <v>1</v>
          </cell>
        </row>
      </sheetData>
      <sheetData sheetId="312">
        <row r="1">
          <cell r="N1">
            <v>3.6220204999999996</v>
          </cell>
        </row>
        <row r="2">
          <cell r="N2">
            <v>2</v>
          </cell>
        </row>
      </sheetData>
      <sheetData sheetId="313"/>
      <sheetData sheetId="314"/>
      <sheetData sheetId="315"/>
      <sheetData sheetId="316"/>
      <sheetData sheetId="317"/>
      <sheetData sheetId="318">
        <row r="1">
          <cell r="N1">
            <v>5.4386336000000002</v>
          </cell>
        </row>
        <row r="2">
          <cell r="N2">
            <v>1</v>
          </cell>
        </row>
      </sheetData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topLeftCell="A27" workbookViewId="0">
      <selection activeCell="A14" sqref="A14"/>
    </sheetView>
  </sheetViews>
  <sheetFormatPr baseColWidth="10" defaultRowHeight="14.4" x14ac:dyDescent="0.3"/>
  <sheetData>
    <row r="1" spans="1:2" x14ac:dyDescent="0.3">
      <c r="A1" s="118" t="s">
        <v>147</v>
      </c>
    </row>
    <row r="3" spans="1:2" x14ac:dyDescent="0.3">
      <c r="A3" s="117" t="s">
        <v>78</v>
      </c>
      <c r="B3" s="114" t="s">
        <v>79</v>
      </c>
    </row>
    <row r="5" spans="1:2" x14ac:dyDescent="0.3">
      <c r="A5" t="s">
        <v>114</v>
      </c>
    </row>
    <row r="6" spans="1:2" x14ac:dyDescent="0.3">
      <c r="A6" t="s">
        <v>115</v>
      </c>
    </row>
    <row r="7" spans="1:2" x14ac:dyDescent="0.3">
      <c r="A7" t="s">
        <v>122</v>
      </c>
    </row>
    <row r="8" spans="1:2" x14ac:dyDescent="0.3">
      <c r="A8" t="s">
        <v>119</v>
      </c>
    </row>
    <row r="9" spans="1:2" x14ac:dyDescent="0.3">
      <c r="A9" t="s">
        <v>80</v>
      </c>
    </row>
    <row r="10" spans="1:2" x14ac:dyDescent="0.3">
      <c r="A10" s="114" t="s">
        <v>109</v>
      </c>
    </row>
    <row r="11" spans="1:2" x14ac:dyDescent="0.3">
      <c r="A11" t="s">
        <v>81</v>
      </c>
    </row>
    <row r="12" spans="1:2" x14ac:dyDescent="0.3">
      <c r="A12" t="s">
        <v>82</v>
      </c>
    </row>
    <row r="14" spans="1:2" x14ac:dyDescent="0.3">
      <c r="A14" t="s">
        <v>113</v>
      </c>
    </row>
    <row r="15" spans="1:2" x14ac:dyDescent="0.3">
      <c r="A15" t="s">
        <v>127</v>
      </c>
    </row>
    <row r="16" spans="1:2" x14ac:dyDescent="0.3">
      <c r="A16" t="s">
        <v>132</v>
      </c>
    </row>
    <row r="18" spans="1:3" x14ac:dyDescent="0.3">
      <c r="A18" s="117" t="s">
        <v>83</v>
      </c>
      <c r="B18" s="114" t="s">
        <v>117</v>
      </c>
      <c r="C18" s="114"/>
    </row>
    <row r="20" spans="1:3" x14ac:dyDescent="0.3">
      <c r="A20" t="s">
        <v>128</v>
      </c>
    </row>
    <row r="21" spans="1:3" x14ac:dyDescent="0.3">
      <c r="A21" t="s">
        <v>148</v>
      </c>
    </row>
    <row r="23" spans="1:3" x14ac:dyDescent="0.3">
      <c r="A23" s="117" t="s">
        <v>85</v>
      </c>
      <c r="B23" s="114" t="s">
        <v>86</v>
      </c>
    </row>
    <row r="25" spans="1:3" x14ac:dyDescent="0.3">
      <c r="A25" t="s">
        <v>140</v>
      </c>
    </row>
    <row r="26" spans="1:3" x14ac:dyDescent="0.3">
      <c r="A26" t="s">
        <v>92</v>
      </c>
    </row>
    <row r="27" spans="1:3" x14ac:dyDescent="0.3">
      <c r="A27" t="s">
        <v>87</v>
      </c>
    </row>
    <row r="28" spans="1:3" x14ac:dyDescent="0.3">
      <c r="A28" t="s">
        <v>123</v>
      </c>
    </row>
    <row r="29" spans="1:3" x14ac:dyDescent="0.3">
      <c r="A29" t="s">
        <v>120</v>
      </c>
    </row>
    <row r="30" spans="1:3" x14ac:dyDescent="0.3">
      <c r="A30" t="s">
        <v>88</v>
      </c>
    </row>
    <row r="31" spans="1:3" x14ac:dyDescent="0.3">
      <c r="A31" s="114" t="s">
        <v>109</v>
      </c>
    </row>
    <row r="32" spans="1:3" x14ac:dyDescent="0.3">
      <c r="A32" t="s">
        <v>121</v>
      </c>
    </row>
    <row r="33" spans="1:2" x14ac:dyDescent="0.3">
      <c r="A33" t="s">
        <v>124</v>
      </c>
    </row>
    <row r="35" spans="1:2" x14ac:dyDescent="0.3">
      <c r="A35" t="s">
        <v>125</v>
      </c>
    </row>
    <row r="36" spans="1:2" x14ac:dyDescent="0.3">
      <c r="A36" t="s">
        <v>126</v>
      </c>
    </row>
    <row r="37" spans="1:2" x14ac:dyDescent="0.3">
      <c r="A37" t="s">
        <v>133</v>
      </c>
    </row>
    <row r="39" spans="1:2" x14ac:dyDescent="0.3">
      <c r="A39" s="117" t="s">
        <v>89</v>
      </c>
      <c r="B39" s="114" t="s">
        <v>84</v>
      </c>
    </row>
    <row r="41" spans="1:2" x14ac:dyDescent="0.3">
      <c r="A41" t="s">
        <v>138</v>
      </c>
    </row>
    <row r="42" spans="1:2" x14ac:dyDescent="0.3">
      <c r="A42" t="s">
        <v>139</v>
      </c>
    </row>
    <row r="43" spans="1:2" x14ac:dyDescent="0.3">
      <c r="A43" t="s">
        <v>116</v>
      </c>
    </row>
    <row r="45" spans="1:2" x14ac:dyDescent="0.3">
      <c r="A45" s="117" t="s">
        <v>90</v>
      </c>
      <c r="B45" s="114" t="s">
        <v>106</v>
      </c>
    </row>
    <row r="47" spans="1:2" x14ac:dyDescent="0.3">
      <c r="A47" t="s">
        <v>141</v>
      </c>
    </row>
    <row r="48" spans="1:2" x14ac:dyDescent="0.3">
      <c r="A48" t="s">
        <v>107</v>
      </c>
    </row>
    <row r="49" spans="1:2" x14ac:dyDescent="0.3">
      <c r="A49" t="s">
        <v>108</v>
      </c>
    </row>
    <row r="50" spans="1:2" x14ac:dyDescent="0.3">
      <c r="A50" t="s">
        <v>130</v>
      </c>
    </row>
    <row r="51" spans="1:2" x14ac:dyDescent="0.3">
      <c r="A51" t="s">
        <v>142</v>
      </c>
    </row>
    <row r="52" spans="1:2" x14ac:dyDescent="0.3">
      <c r="A52" t="s">
        <v>143</v>
      </c>
    </row>
    <row r="53" spans="1:2" x14ac:dyDescent="0.3">
      <c r="A53" t="s">
        <v>110</v>
      </c>
    </row>
    <row r="55" spans="1:2" x14ac:dyDescent="0.3">
      <c r="A55" t="s">
        <v>134</v>
      </c>
    </row>
    <row r="57" spans="1:2" x14ac:dyDescent="0.3">
      <c r="A57" s="117" t="s">
        <v>94</v>
      </c>
      <c r="B57" s="114" t="s">
        <v>91</v>
      </c>
    </row>
    <row r="59" spans="1:2" x14ac:dyDescent="0.3">
      <c r="A59" t="s">
        <v>93</v>
      </c>
    </row>
    <row r="60" spans="1:2" x14ac:dyDescent="0.3">
      <c r="A60" t="s">
        <v>135</v>
      </c>
    </row>
    <row r="61" spans="1:2" x14ac:dyDescent="0.3">
      <c r="A61" t="s">
        <v>131</v>
      </c>
    </row>
    <row r="63" spans="1:2" x14ac:dyDescent="0.3">
      <c r="A63" s="117" t="s">
        <v>105</v>
      </c>
      <c r="B63" s="114" t="s">
        <v>95</v>
      </c>
    </row>
    <row r="65" spans="1:1" x14ac:dyDescent="0.3">
      <c r="A65" t="s">
        <v>96</v>
      </c>
    </row>
    <row r="66" spans="1:1" x14ac:dyDescent="0.3">
      <c r="A66" t="s">
        <v>98</v>
      </c>
    </row>
    <row r="67" spans="1:1" x14ac:dyDescent="0.3">
      <c r="A67" t="s">
        <v>97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136</v>
      </c>
    </row>
    <row r="72" spans="1:1" x14ac:dyDescent="0.3">
      <c r="A72" t="s">
        <v>137</v>
      </c>
    </row>
    <row r="74" spans="1:1" x14ac:dyDescent="0.3">
      <c r="A74" t="s">
        <v>144</v>
      </c>
    </row>
    <row r="75" spans="1:1" x14ac:dyDescent="0.3">
      <c r="A75" t="s">
        <v>102</v>
      </c>
    </row>
    <row r="76" spans="1:1" x14ac:dyDescent="0.3">
      <c r="A76" t="s">
        <v>103</v>
      </c>
    </row>
    <row r="77" spans="1:1" x14ac:dyDescent="0.3">
      <c r="A77" t="s">
        <v>136</v>
      </c>
    </row>
    <row r="78" spans="1:1" x14ac:dyDescent="0.3">
      <c r="A78" t="s">
        <v>137</v>
      </c>
    </row>
    <row r="80" spans="1:1" x14ac:dyDescent="0.3">
      <c r="A80" s="114" t="s">
        <v>111</v>
      </c>
    </row>
    <row r="82" spans="1:1" x14ac:dyDescent="0.3">
      <c r="A82" s="118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="85" zoomScaleNormal="85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9" customWidth="1"/>
    <col min="6" max="6" width="39.109375" style="52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62" t="s">
        <v>0</v>
      </c>
      <c r="B1" s="121" t="s">
        <v>48</v>
      </c>
      <c r="D1" s="53"/>
      <c r="M1" s="65" t="s">
        <v>59</v>
      </c>
      <c r="N1" s="54"/>
      <c r="O1" s="64" t="e">
        <f>#REF!</f>
        <v>#REF!</v>
      </c>
    </row>
    <row r="2" spans="1:15" s="15" customFormat="1" ht="15" thickBot="1" x14ac:dyDescent="0.35">
      <c r="A2" s="60" t="s">
        <v>60</v>
      </c>
      <c r="B2" s="120" t="s">
        <v>145</v>
      </c>
      <c r="C2" s="14"/>
      <c r="F2" s="48"/>
    </row>
    <row r="3" spans="1:15" s="15" customFormat="1" ht="15.6" thickTop="1" thickBot="1" x14ac:dyDescent="0.35">
      <c r="A3" s="61" t="s">
        <v>61</v>
      </c>
      <c r="B3" s="63">
        <v>2018</v>
      </c>
      <c r="C3" s="14"/>
      <c r="F3" s="48"/>
    </row>
    <row r="4" spans="1:15" s="15" customFormat="1" ht="15.6" thickTop="1" thickBot="1" x14ac:dyDescent="0.35">
      <c r="A4" s="59" t="s">
        <v>1</v>
      </c>
      <c r="B4" s="119">
        <v>81</v>
      </c>
      <c r="C4" s="14"/>
      <c r="D4" s="53" t="s">
        <v>149</v>
      </c>
      <c r="F4" s="48"/>
    </row>
    <row r="5" spans="1:15" s="46" customFormat="1" ht="15" thickTop="1" x14ac:dyDescent="0.3">
      <c r="A5" s="45"/>
      <c r="B5" s="49"/>
      <c r="C5" s="47"/>
      <c r="F5" s="50"/>
    </row>
    <row r="6" spans="1:15" s="44" customFormat="1" ht="49.5" customHeight="1" x14ac:dyDescent="0.25">
      <c r="A6" s="43" t="s">
        <v>62</v>
      </c>
      <c r="B6" s="56" t="s">
        <v>63</v>
      </c>
      <c r="C6" s="56" t="s">
        <v>64</v>
      </c>
      <c r="D6" s="56" t="s">
        <v>65</v>
      </c>
      <c r="E6" s="56" t="s">
        <v>66</v>
      </c>
      <c r="F6" s="56" t="s">
        <v>67</v>
      </c>
      <c r="G6" s="56" t="s">
        <v>68</v>
      </c>
      <c r="H6" s="58" t="s">
        <v>69</v>
      </c>
      <c r="I6" s="56" t="s">
        <v>17</v>
      </c>
      <c r="J6" s="56" t="s">
        <v>70</v>
      </c>
      <c r="K6" s="56" t="s">
        <v>71</v>
      </c>
      <c r="L6" s="56" t="s">
        <v>72</v>
      </c>
      <c r="M6" s="56" t="s">
        <v>73</v>
      </c>
      <c r="N6" s="57" t="s">
        <v>74</v>
      </c>
      <c r="O6" s="56" t="s">
        <v>75</v>
      </c>
    </row>
    <row r="7" spans="1:15" ht="14.4" x14ac:dyDescent="0.3">
      <c r="A7" s="142"/>
      <c r="B7" s="143" t="str">
        <f>'ST Assembly'!B3</f>
        <v>Steering System</v>
      </c>
      <c r="C7" s="144" t="str">
        <f>EL_A0001</f>
        <v>ST A0001</v>
      </c>
      <c r="D7" s="144" t="s">
        <v>11</v>
      </c>
      <c r="E7" s="144"/>
      <c r="F7" s="145" t="str">
        <f>'ST Assembly'!B4</f>
        <v>Nom de l'assemblage 1</v>
      </c>
      <c r="G7" s="144"/>
      <c r="H7" s="146">
        <f t="shared" ref="H7:H17" si="0">SUM(J7:M7)</f>
        <v>20</v>
      </c>
      <c r="I7" s="147">
        <f>BR_A0001_q</f>
        <v>1</v>
      </c>
      <c r="J7" s="148">
        <f>BR_A0001_m</f>
        <v>20</v>
      </c>
      <c r="K7" s="148">
        <f>BR_A0001_p</f>
        <v>0</v>
      </c>
      <c r="L7" s="148">
        <f>BR_A0001_f</f>
        <v>0</v>
      </c>
      <c r="M7" s="148">
        <f>BR_A0001_t</f>
        <v>0</v>
      </c>
      <c r="N7" s="149">
        <f t="shared" ref="N7:N17" si="1">H7*I7</f>
        <v>20</v>
      </c>
      <c r="O7" s="150"/>
    </row>
    <row r="8" spans="1:15" ht="14.4" x14ac:dyDescent="0.3">
      <c r="A8" s="151"/>
      <c r="B8" s="152" t="str">
        <f>'ST Assembly'!B3</f>
        <v>Steering System</v>
      </c>
      <c r="C8" s="160" t="e">
        <f>EL_01001</f>
        <v>#REF!</v>
      </c>
      <c r="D8" s="153" t="s">
        <v>11</v>
      </c>
      <c r="E8" s="153" t="str">
        <f>F7</f>
        <v>Nom de l'assemblage 1</v>
      </c>
      <c r="F8" s="154" t="e">
        <f>#REF!</f>
        <v>#REF!</v>
      </c>
      <c r="G8" s="153"/>
      <c r="H8" s="155" t="e">
        <f t="shared" si="0"/>
        <v>#REF!</v>
      </c>
      <c r="I8" s="156" t="e">
        <f>BR_A0001_q*BR_01001_q</f>
        <v>#REF!</v>
      </c>
      <c r="J8" s="157" t="e">
        <f>BR_01001_m</f>
        <v>#REF!</v>
      </c>
      <c r="K8" s="157" t="e">
        <f>BR_01001_p</f>
        <v>#REF!</v>
      </c>
      <c r="L8" s="157" t="e">
        <f>BR_01001_f</f>
        <v>#REF!</v>
      </c>
      <c r="M8" s="157" t="e">
        <f>BR_01001_t</f>
        <v>#REF!</v>
      </c>
      <c r="N8" s="158" t="e">
        <f t="shared" si="1"/>
        <v>#REF!</v>
      </c>
      <c r="O8" s="159"/>
    </row>
    <row r="9" spans="1:15" ht="13.8" x14ac:dyDescent="0.25">
      <c r="A9" s="151"/>
      <c r="B9" s="152" t="str">
        <f>'ST Assembly'!$B$3</f>
        <v>Steering System</v>
      </c>
      <c r="C9" s="153"/>
      <c r="D9" s="153" t="s">
        <v>11</v>
      </c>
      <c r="E9" s="153"/>
      <c r="F9" s="152"/>
      <c r="G9" s="153"/>
      <c r="H9" s="155">
        <f t="shared" si="0"/>
        <v>0</v>
      </c>
      <c r="I9" s="161"/>
      <c r="J9" s="157"/>
      <c r="K9" s="157"/>
      <c r="L9" s="157"/>
      <c r="M9" s="157"/>
      <c r="N9" s="158">
        <f t="shared" si="1"/>
        <v>0</v>
      </c>
      <c r="O9" s="159"/>
    </row>
    <row r="10" spans="1:15" ht="13.8" x14ac:dyDescent="0.25">
      <c r="A10" s="151"/>
      <c r="B10" s="152" t="str">
        <f>'ST Assembly'!$B$3</f>
        <v>Steering System</v>
      </c>
      <c r="C10" s="153"/>
      <c r="D10" s="153" t="s">
        <v>11</v>
      </c>
      <c r="E10" s="153"/>
      <c r="F10" s="152"/>
      <c r="G10" s="153"/>
      <c r="H10" s="155">
        <f t="shared" si="0"/>
        <v>0</v>
      </c>
      <c r="I10" s="161"/>
      <c r="J10" s="157"/>
      <c r="K10" s="157"/>
      <c r="L10" s="157"/>
      <c r="M10" s="157"/>
      <c r="N10" s="158">
        <f t="shared" si="1"/>
        <v>0</v>
      </c>
      <c r="O10" s="159"/>
    </row>
    <row r="11" spans="1:15" ht="13.8" x14ac:dyDescent="0.25">
      <c r="A11" s="151"/>
      <c r="B11" s="152" t="str">
        <f>'ST Assembly'!$B$3</f>
        <v>Steering System</v>
      </c>
      <c r="C11" s="153"/>
      <c r="D11" s="153" t="s">
        <v>11</v>
      </c>
      <c r="E11" s="153"/>
      <c r="F11" s="152"/>
      <c r="G11" s="153"/>
      <c r="H11" s="155">
        <f t="shared" si="0"/>
        <v>0</v>
      </c>
      <c r="I11" s="161"/>
      <c r="J11" s="157"/>
      <c r="K11" s="157"/>
      <c r="L11" s="157"/>
      <c r="M11" s="157"/>
      <c r="N11" s="158">
        <f t="shared" si="1"/>
        <v>0</v>
      </c>
      <c r="O11" s="159"/>
    </row>
    <row r="12" spans="1:15" ht="13.8" x14ac:dyDescent="0.25">
      <c r="A12" s="151"/>
      <c r="B12" s="152" t="str">
        <f>'ST Assembly'!$B$3</f>
        <v>Steering System</v>
      </c>
      <c r="C12" s="153"/>
      <c r="D12" s="153" t="s">
        <v>11</v>
      </c>
      <c r="E12" s="153"/>
      <c r="F12" s="152"/>
      <c r="G12" s="153"/>
      <c r="H12" s="155">
        <f t="shared" si="0"/>
        <v>0</v>
      </c>
      <c r="I12" s="161"/>
      <c r="J12" s="157"/>
      <c r="K12" s="157"/>
      <c r="L12" s="157"/>
      <c r="M12" s="157"/>
      <c r="N12" s="158">
        <f t="shared" si="1"/>
        <v>0</v>
      </c>
      <c r="O12" s="159"/>
    </row>
    <row r="13" spans="1:15" ht="13.8" x14ac:dyDescent="0.25">
      <c r="A13" s="151"/>
      <c r="B13" s="152" t="str">
        <f>'ST Assembly'!$B$3</f>
        <v>Steering System</v>
      </c>
      <c r="C13" s="153"/>
      <c r="D13" s="153" t="s">
        <v>11</v>
      </c>
      <c r="E13" s="153"/>
      <c r="F13" s="152"/>
      <c r="G13" s="153"/>
      <c r="H13" s="155">
        <f t="shared" si="0"/>
        <v>0</v>
      </c>
      <c r="I13" s="161"/>
      <c r="J13" s="157"/>
      <c r="K13" s="157"/>
      <c r="L13" s="157"/>
      <c r="M13" s="157"/>
      <c r="N13" s="158">
        <f t="shared" si="1"/>
        <v>0</v>
      </c>
      <c r="O13" s="159"/>
    </row>
    <row r="14" spans="1:15" ht="13.8" x14ac:dyDescent="0.25">
      <c r="A14" s="151"/>
      <c r="B14" s="152" t="str">
        <f>'ST Assembly'!$B$3</f>
        <v>Steering System</v>
      </c>
      <c r="C14" s="153"/>
      <c r="D14" s="153" t="s">
        <v>11</v>
      </c>
      <c r="E14" s="153"/>
      <c r="F14" s="152"/>
      <c r="G14" s="153"/>
      <c r="H14" s="155">
        <f t="shared" si="0"/>
        <v>0</v>
      </c>
      <c r="I14" s="161"/>
      <c r="J14" s="157"/>
      <c r="K14" s="157"/>
      <c r="L14" s="157"/>
      <c r="M14" s="157"/>
      <c r="N14" s="158">
        <f t="shared" si="1"/>
        <v>0</v>
      </c>
      <c r="O14" s="159"/>
    </row>
    <row r="15" spans="1:15" ht="13.8" x14ac:dyDescent="0.25">
      <c r="A15" s="151"/>
      <c r="B15" s="152" t="str">
        <f>'ST Assembly'!$B$3</f>
        <v>Steering System</v>
      </c>
      <c r="C15" s="153"/>
      <c r="D15" s="153" t="s">
        <v>11</v>
      </c>
      <c r="E15" s="153"/>
      <c r="F15" s="152"/>
      <c r="G15" s="162"/>
      <c r="H15" s="155">
        <f t="shared" si="0"/>
        <v>0</v>
      </c>
      <c r="I15" s="161"/>
      <c r="J15" s="157"/>
      <c r="K15" s="157"/>
      <c r="L15" s="157"/>
      <c r="M15" s="157"/>
      <c r="N15" s="158">
        <f t="shared" si="1"/>
        <v>0</v>
      </c>
      <c r="O15" s="159"/>
    </row>
    <row r="16" spans="1:15" ht="13.8" x14ac:dyDescent="0.25">
      <c r="A16" s="151"/>
      <c r="B16" s="152" t="str">
        <f>'ST Assembly'!$B$3</f>
        <v>Steering System</v>
      </c>
      <c r="C16" s="153"/>
      <c r="D16" s="153" t="s">
        <v>11</v>
      </c>
      <c r="E16" s="153"/>
      <c r="F16" s="152"/>
      <c r="G16" s="153"/>
      <c r="H16" s="155">
        <f t="shared" si="0"/>
        <v>0</v>
      </c>
      <c r="I16" s="161"/>
      <c r="J16" s="157"/>
      <c r="K16" s="157"/>
      <c r="L16" s="157"/>
      <c r="M16" s="157"/>
      <c r="N16" s="158">
        <f t="shared" si="1"/>
        <v>0</v>
      </c>
      <c r="O16" s="159"/>
    </row>
    <row r="17" spans="1:15" ht="14.4" thickBot="1" x14ac:dyDescent="0.3">
      <c r="A17" s="151"/>
      <c r="B17" s="152" t="str">
        <f>'ST Assembly'!$B$3</f>
        <v>Steering System</v>
      </c>
      <c r="C17" s="153"/>
      <c r="D17" s="153" t="s">
        <v>11</v>
      </c>
      <c r="E17" s="153"/>
      <c r="F17" s="152"/>
      <c r="G17" s="153"/>
      <c r="H17" s="155">
        <f t="shared" si="0"/>
        <v>0</v>
      </c>
      <c r="I17" s="161"/>
      <c r="J17" s="157"/>
      <c r="K17" s="157"/>
      <c r="L17" s="157"/>
      <c r="M17" s="157"/>
      <c r="N17" s="158">
        <f t="shared" si="1"/>
        <v>0</v>
      </c>
      <c r="O17" s="159"/>
    </row>
    <row r="18" spans="1:15" s="12" customFormat="1" ht="15" thickTop="1" thickBot="1" x14ac:dyDescent="0.3">
      <c r="A18" s="5"/>
      <c r="B18" s="51" t="str">
        <f>'ST Assembly'!B3</f>
        <v>Steering System</v>
      </c>
      <c r="C18" s="1"/>
      <c r="D18" s="1"/>
      <c r="E18" s="1"/>
      <c r="F18" s="51" t="s">
        <v>76</v>
      </c>
      <c r="G18" s="1"/>
      <c r="H18" s="3"/>
      <c r="I18" s="4"/>
      <c r="J18" s="123" t="e">
        <f>SUMPRODUCT($I7:$I17,J7:J17)</f>
        <v>#REF!</v>
      </c>
      <c r="K18" s="123" t="e">
        <f>SUMPRODUCT($I7:$I17,K7:K17)</f>
        <v>#REF!</v>
      </c>
      <c r="L18" s="123" t="e">
        <f>SUMPRODUCT($I7:$I17,L7:L17)</f>
        <v>#REF!</v>
      </c>
      <c r="M18" s="123" t="e">
        <f>SUMPRODUCT($I7:$I17,M7:M17)</f>
        <v>#REF!</v>
      </c>
      <c r="N18" s="123" t="e">
        <f>SUM(N7:N17)</f>
        <v>#REF!</v>
      </c>
      <c r="O18" s="2"/>
    </row>
    <row r="19" spans="1:15" ht="13.8" thickTop="1" x14ac:dyDescent="0.25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5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5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5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5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5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5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5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5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5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5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5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5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5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5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5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5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5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5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5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5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5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O51"/>
  <sheetViews>
    <sheetView zoomScale="75" zoomScaleNormal="75" zoomScaleSheetLayoutView="80" workbookViewId="0">
      <selection activeCell="I14" sqref="I14"/>
    </sheetView>
  </sheetViews>
  <sheetFormatPr baseColWidth="10" defaultColWidth="9.109375" defaultRowHeight="14.4" x14ac:dyDescent="0.3"/>
  <cols>
    <col min="1" max="1" width="11.44140625"/>
    <col min="2" max="2" width="28"/>
    <col min="3" max="3" width="35.5546875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26" t="s">
        <v>0</v>
      </c>
      <c r="B2" s="16" t="s">
        <v>48</v>
      </c>
      <c r="C2" s="66"/>
      <c r="D2" s="66"/>
      <c r="E2" s="66" t="s">
        <v>146</v>
      </c>
      <c r="F2" s="66"/>
      <c r="G2" s="66"/>
      <c r="H2" s="66"/>
      <c r="I2" s="66"/>
      <c r="J2" s="126" t="s">
        <v>1</v>
      </c>
      <c r="K2" s="107">
        <v>81</v>
      </c>
      <c r="L2" s="66"/>
      <c r="M2" s="126" t="s">
        <v>2</v>
      </c>
      <c r="N2" s="122">
        <f>BR_A0001_pa+BR_A0001_m+BR_A0001_p+BR_A0001_f+BR_A0001_t</f>
        <v>122.4964943466279</v>
      </c>
      <c r="O2" s="72"/>
    </row>
    <row r="3" spans="1:15" x14ac:dyDescent="0.3">
      <c r="A3" s="126" t="s">
        <v>3</v>
      </c>
      <c r="B3" s="16" t="s">
        <v>150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26" t="s">
        <v>4</v>
      </c>
      <c r="N3" s="101">
        <v>1</v>
      </c>
      <c r="O3" s="72"/>
    </row>
    <row r="4" spans="1:15" x14ac:dyDescent="0.3">
      <c r="A4" s="126" t="s">
        <v>5</v>
      </c>
      <c r="B4" s="67" t="s">
        <v>77</v>
      </c>
      <c r="C4" s="66"/>
      <c r="D4" s="66"/>
      <c r="E4" s="66"/>
      <c r="F4" s="66"/>
      <c r="G4" s="66"/>
      <c r="H4" s="66"/>
      <c r="I4" s="66"/>
      <c r="J4" s="127" t="s">
        <v>6</v>
      </c>
      <c r="K4" s="66"/>
      <c r="L4" s="66"/>
      <c r="M4" s="66"/>
      <c r="N4" s="66"/>
      <c r="O4" s="72"/>
    </row>
    <row r="5" spans="1:15" x14ac:dyDescent="0.3">
      <c r="A5" s="126" t="s">
        <v>7</v>
      </c>
      <c r="B5" s="19" t="s">
        <v>151</v>
      </c>
      <c r="C5" s="66"/>
      <c r="D5" s="66"/>
      <c r="E5" s="66"/>
      <c r="F5" s="66"/>
      <c r="G5" s="66"/>
      <c r="H5" s="66"/>
      <c r="I5" s="66"/>
      <c r="J5" s="127" t="s">
        <v>8</v>
      </c>
      <c r="K5" s="66"/>
      <c r="L5" s="66"/>
      <c r="M5" s="126" t="s">
        <v>9</v>
      </c>
      <c r="N5" s="84">
        <f>N2*N3</f>
        <v>122.4964943466279</v>
      </c>
      <c r="O5" s="72"/>
    </row>
    <row r="6" spans="1:15" x14ac:dyDescent="0.3">
      <c r="A6" s="126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7" t="s">
        <v>12</v>
      </c>
      <c r="K6" s="66"/>
      <c r="L6" s="66"/>
      <c r="M6" s="66"/>
      <c r="N6" s="66"/>
      <c r="O6" s="72"/>
    </row>
    <row r="7" spans="1:15" x14ac:dyDescent="0.3">
      <c r="A7" s="126" t="s">
        <v>13</v>
      </c>
      <c r="B7" s="16" t="s">
        <v>112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26" t="s">
        <v>14</v>
      </c>
      <c r="B9" s="126" t="s">
        <v>15</v>
      </c>
      <c r="C9" s="126" t="s">
        <v>16</v>
      </c>
      <c r="D9" s="126" t="s">
        <v>17</v>
      </c>
      <c r="E9" s="126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83">
        <v>10</v>
      </c>
      <c r="B10" s="250" t="s">
        <v>244</v>
      </c>
      <c r="C10" s="247">
        <f>ST_A0100!N5</f>
        <v>51.838417155104956</v>
      </c>
      <c r="D10" s="30">
        <v>1</v>
      </c>
      <c r="E10" s="84">
        <f>C10*D10</f>
        <v>51.838417155104956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3">
      <c r="A11" s="248">
        <v>20</v>
      </c>
      <c r="B11" s="249" t="s">
        <v>154</v>
      </c>
      <c r="C11" s="247">
        <f>ST_A0200!N5</f>
        <v>4.9362499999999994</v>
      </c>
      <c r="D11" s="30">
        <v>1</v>
      </c>
      <c r="E11" s="84">
        <f>C11*D11</f>
        <v>4.9362499999999994</v>
      </c>
      <c r="F11" s="66"/>
      <c r="G11" s="66"/>
      <c r="H11" s="66"/>
      <c r="I11" s="66"/>
      <c r="J11" s="66"/>
      <c r="K11" s="66"/>
      <c r="L11" s="66"/>
      <c r="M11" s="66"/>
      <c r="N11" s="66"/>
      <c r="O11" s="72"/>
    </row>
    <row r="12" spans="1:15" x14ac:dyDescent="0.3">
      <c r="A12" s="83">
        <v>30</v>
      </c>
      <c r="B12" s="246" t="s">
        <v>176</v>
      </c>
      <c r="C12" s="247">
        <f>ST_A0300!N5</f>
        <v>83.088099566627889</v>
      </c>
      <c r="D12" s="83">
        <v>1</v>
      </c>
      <c r="E12" s="247">
        <f>C12*D12</f>
        <v>83.088099566627889</v>
      </c>
      <c r="F12" s="67"/>
      <c r="G12" s="67"/>
      <c r="H12" s="67"/>
      <c r="I12" s="67"/>
      <c r="J12" s="67"/>
      <c r="K12" s="67"/>
      <c r="L12" s="67"/>
      <c r="M12" s="67"/>
      <c r="N12" s="67"/>
      <c r="O12" s="72"/>
    </row>
    <row r="13" spans="1:15" x14ac:dyDescent="0.3">
      <c r="A13" s="164">
        <v>40</v>
      </c>
      <c r="B13" s="113" t="s">
        <v>215</v>
      </c>
      <c r="C13" s="84">
        <f>ST_0400!N5</f>
        <v>16.336187500000001</v>
      </c>
      <c r="D13" s="83">
        <v>1</v>
      </c>
      <c r="E13" s="84">
        <f>C13*D13</f>
        <v>16.336187500000001</v>
      </c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s="18" customFormat="1" x14ac:dyDescent="0.3">
      <c r="A14" s="83">
        <v>50</v>
      </c>
      <c r="B14" s="113" t="s">
        <v>316</v>
      </c>
      <c r="C14" s="84">
        <f>ST_0500!N5</f>
        <v>3.0722072799999998</v>
      </c>
      <c r="D14" s="83">
        <v>1</v>
      </c>
      <c r="E14" s="84">
        <f>C14*D14</f>
        <v>3.0722072799999998</v>
      </c>
      <c r="F14" s="67"/>
      <c r="G14" s="67"/>
      <c r="H14" s="67"/>
      <c r="I14" s="67"/>
      <c r="J14" s="67"/>
      <c r="K14" s="67"/>
      <c r="L14" s="67"/>
      <c r="M14" s="67"/>
      <c r="N14" s="67"/>
      <c r="O14" s="75"/>
    </row>
    <row r="15" spans="1:15" s="18" customFormat="1" x14ac:dyDescent="0.3">
      <c r="A15" s="83"/>
      <c r="B15" s="83"/>
      <c r="C15" s="83"/>
      <c r="D15" s="84"/>
      <c r="E15" s="84"/>
      <c r="F15" s="67"/>
      <c r="G15" s="67"/>
      <c r="H15" s="67"/>
      <c r="I15" s="67"/>
      <c r="J15" s="67"/>
      <c r="K15" s="67"/>
      <c r="L15" s="67"/>
      <c r="M15" s="67"/>
      <c r="N15" s="67"/>
      <c r="O15" s="76"/>
    </row>
    <row r="16" spans="1:15" x14ac:dyDescent="0.3">
      <c r="A16" s="83"/>
      <c r="B16" s="83"/>
      <c r="C16" s="85" t="s">
        <v>19</v>
      </c>
      <c r="D16" s="84"/>
      <c r="E16" s="84"/>
      <c r="F16" s="66"/>
      <c r="G16" s="66"/>
      <c r="H16" s="66"/>
      <c r="I16" s="66"/>
      <c r="J16" s="66"/>
      <c r="K16" s="66"/>
      <c r="L16" s="66"/>
      <c r="M16" s="66"/>
      <c r="N16" s="66"/>
      <c r="O16" s="72"/>
    </row>
    <row r="17" spans="1:15" x14ac:dyDescent="0.3">
      <c r="A17" s="73"/>
      <c r="B17" s="66"/>
      <c r="C17" s="66"/>
      <c r="D17" s="128" t="s">
        <v>18</v>
      </c>
      <c r="E17" s="129">
        <f>SUM(E12:E16)</f>
        <v>102.4964943466279</v>
      </c>
      <c r="F17" s="67"/>
      <c r="G17" s="67"/>
      <c r="H17" s="67"/>
      <c r="I17" s="67"/>
      <c r="J17" s="67"/>
      <c r="K17" s="67"/>
      <c r="L17" s="67"/>
      <c r="M17" s="67"/>
      <c r="N17" s="67"/>
      <c r="O17" s="72"/>
    </row>
    <row r="18" spans="1:15" x14ac:dyDescent="0.3">
      <c r="A18" s="73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72"/>
    </row>
    <row r="19" spans="1:15" x14ac:dyDescent="0.3">
      <c r="A19" s="126" t="s">
        <v>14</v>
      </c>
      <c r="B19" s="126" t="s">
        <v>20</v>
      </c>
      <c r="C19" s="126" t="s">
        <v>21</v>
      </c>
      <c r="D19" s="126" t="s">
        <v>22</v>
      </c>
      <c r="E19" s="126" t="s">
        <v>23</v>
      </c>
      <c r="F19" s="126" t="s">
        <v>24</v>
      </c>
      <c r="G19" s="126" t="s">
        <v>25</v>
      </c>
      <c r="H19" s="126" t="s">
        <v>26</v>
      </c>
      <c r="I19" s="126" t="s">
        <v>27</v>
      </c>
      <c r="J19" s="126" t="s">
        <v>28</v>
      </c>
      <c r="K19" s="126" t="s">
        <v>29</v>
      </c>
      <c r="L19" s="126" t="s">
        <v>30</v>
      </c>
      <c r="M19" s="126" t="s">
        <v>17</v>
      </c>
      <c r="N19" s="126" t="s">
        <v>18</v>
      </c>
      <c r="O19" s="72"/>
    </row>
    <row r="20" spans="1:15" x14ac:dyDescent="0.3">
      <c r="A20" s="83">
        <v>10</v>
      </c>
      <c r="B20" s="83" t="s">
        <v>153</v>
      </c>
      <c r="C20" s="83"/>
      <c r="D20" s="84">
        <v>20</v>
      </c>
      <c r="E20" s="83"/>
      <c r="F20" s="83"/>
      <c r="G20" s="83"/>
      <c r="H20" s="86"/>
      <c r="I20" s="87"/>
      <c r="J20" s="88"/>
      <c r="K20" s="86"/>
      <c r="L20" s="86"/>
      <c r="M20" s="86">
        <v>1</v>
      </c>
      <c r="N20" s="84">
        <f>M20*D20</f>
        <v>20</v>
      </c>
      <c r="O20" s="72"/>
    </row>
    <row r="21" spans="1:15" s="26" customFormat="1" x14ac:dyDescent="0.3">
      <c r="A21" s="83">
        <v>20</v>
      </c>
      <c r="B21" s="26" t="s">
        <v>155</v>
      </c>
      <c r="C21" s="83" t="s">
        <v>156</v>
      </c>
      <c r="D21" s="84">
        <v>2.25</v>
      </c>
      <c r="E21" s="90"/>
      <c r="F21" s="90"/>
      <c r="G21" s="90"/>
      <c r="H21" s="86"/>
      <c r="I21" s="91"/>
      <c r="J21" s="125"/>
      <c r="K21" s="93">
        <v>0.32800000000000001</v>
      </c>
      <c r="L21" s="94">
        <v>7850</v>
      </c>
      <c r="M21" s="95">
        <v>1</v>
      </c>
      <c r="N21" s="84"/>
      <c r="O21" s="77"/>
    </row>
    <row r="22" spans="1:15" x14ac:dyDescent="0.3">
      <c r="A22" s="83"/>
      <c r="B22" s="83"/>
      <c r="C22" s="83"/>
      <c r="D22" s="84"/>
      <c r="E22" s="83"/>
      <c r="F22" s="83"/>
      <c r="G22" s="83"/>
      <c r="H22" s="86"/>
      <c r="I22" s="95"/>
      <c r="J22" s="96"/>
      <c r="K22" s="86"/>
      <c r="L22" s="92"/>
      <c r="M22" s="86"/>
      <c r="N22" s="84"/>
      <c r="O22" s="72"/>
    </row>
    <row r="23" spans="1:15" x14ac:dyDescent="0.3">
      <c r="A23" s="83"/>
      <c r="B23" s="83"/>
      <c r="C23" s="83"/>
      <c r="D23" s="84"/>
      <c r="E23" s="83"/>
      <c r="F23" s="83"/>
      <c r="G23" s="83"/>
      <c r="H23" s="86"/>
      <c r="I23" s="95"/>
      <c r="J23" s="96"/>
      <c r="K23" s="86"/>
      <c r="L23" s="86"/>
      <c r="M23" s="86"/>
      <c r="N23" s="84"/>
      <c r="O23" s="72"/>
    </row>
    <row r="24" spans="1:15" x14ac:dyDescent="0.3">
      <c r="A24" s="83"/>
      <c r="B24" s="83"/>
      <c r="C24" s="85"/>
      <c r="D24" s="84"/>
      <c r="E24" s="83"/>
      <c r="F24" s="83"/>
      <c r="G24" s="83"/>
      <c r="H24" s="86"/>
      <c r="I24" s="95"/>
      <c r="J24" s="96"/>
      <c r="K24" s="86"/>
      <c r="L24" s="86"/>
      <c r="M24" s="86"/>
      <c r="N24" s="84"/>
      <c r="O24" s="72"/>
    </row>
    <row r="25" spans="1:15" x14ac:dyDescent="0.3">
      <c r="A25" s="7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26" t="s">
        <v>18</v>
      </c>
      <c r="N25" s="129">
        <f>SUM(N20:N24)</f>
        <v>20</v>
      </c>
      <c r="O25" s="72"/>
    </row>
    <row r="26" spans="1:15" x14ac:dyDescent="0.3">
      <c r="A26" s="73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72"/>
    </row>
    <row r="27" spans="1:15" s="29" customFormat="1" x14ac:dyDescent="0.3">
      <c r="A27" s="126" t="s">
        <v>14</v>
      </c>
      <c r="B27" s="126" t="s">
        <v>34</v>
      </c>
      <c r="C27" s="126" t="s">
        <v>21</v>
      </c>
      <c r="D27" s="126" t="s">
        <v>22</v>
      </c>
      <c r="E27" s="126" t="s">
        <v>35</v>
      </c>
      <c r="F27" s="126" t="s">
        <v>17</v>
      </c>
      <c r="G27" s="126" t="s">
        <v>36</v>
      </c>
      <c r="H27" s="126" t="s">
        <v>37</v>
      </c>
      <c r="I27" s="126" t="s">
        <v>18</v>
      </c>
      <c r="J27" s="28"/>
      <c r="K27" s="28"/>
      <c r="L27" s="28"/>
      <c r="M27" s="28"/>
      <c r="N27" s="28"/>
      <c r="O27" s="79"/>
    </row>
    <row r="28" spans="1:15" x14ac:dyDescent="0.3">
      <c r="A28" s="83"/>
      <c r="B28" s="83"/>
      <c r="C28" s="83"/>
      <c r="D28" s="84"/>
      <c r="E28" s="83"/>
      <c r="F28" s="97"/>
      <c r="G28" s="97"/>
      <c r="H28" s="97"/>
      <c r="I28" s="84"/>
      <c r="J28" s="66"/>
      <c r="K28" s="66"/>
      <c r="L28" s="66"/>
      <c r="M28" s="66"/>
      <c r="N28" s="66"/>
      <c r="O28" s="72"/>
    </row>
    <row r="29" spans="1:15" x14ac:dyDescent="0.3">
      <c r="A29" s="83"/>
      <c r="B29" s="98"/>
      <c r="C29" s="83"/>
      <c r="D29" s="84"/>
      <c r="E29" s="98"/>
      <c r="F29" s="97"/>
      <c r="G29" s="83"/>
      <c r="H29" s="83"/>
      <c r="I29" s="84"/>
      <c r="J29" s="66"/>
      <c r="K29" s="66"/>
      <c r="L29" s="66"/>
      <c r="M29" s="66"/>
      <c r="N29" s="66"/>
      <c r="O29" s="72"/>
    </row>
    <row r="30" spans="1:15" x14ac:dyDescent="0.3">
      <c r="A30" s="83"/>
      <c r="B30" s="98"/>
      <c r="C30" s="83"/>
      <c r="D30" s="84"/>
      <c r="E30" s="83"/>
      <c r="F30" s="97"/>
      <c r="G30" s="83"/>
      <c r="H30" s="83"/>
      <c r="I30" s="84"/>
      <c r="J30" s="66"/>
      <c r="K30" s="66"/>
      <c r="L30" s="66"/>
      <c r="M30" s="66"/>
      <c r="N30" s="66"/>
      <c r="O30" s="72"/>
    </row>
    <row r="31" spans="1:15" s="18" customFormat="1" x14ac:dyDescent="0.3">
      <c r="A31" s="83"/>
      <c r="B31" s="98"/>
      <c r="C31" s="83"/>
      <c r="D31" s="84"/>
      <c r="E31" s="83"/>
      <c r="F31" s="97"/>
      <c r="G31" s="83"/>
      <c r="H31" s="83"/>
      <c r="I31" s="84"/>
      <c r="J31" s="67"/>
      <c r="K31" s="67"/>
      <c r="L31" s="67"/>
      <c r="M31" s="67"/>
      <c r="N31" s="67"/>
      <c r="O31" s="76"/>
    </row>
    <row r="32" spans="1:15" s="29" customFormat="1" x14ac:dyDescent="0.3">
      <c r="A32" s="83"/>
      <c r="B32" s="83"/>
      <c r="C32" s="83"/>
      <c r="D32" s="84"/>
      <c r="E32" s="83"/>
      <c r="F32" s="97"/>
      <c r="G32" s="97"/>
      <c r="H32" s="97"/>
      <c r="I32" s="84"/>
      <c r="J32" s="67"/>
      <c r="K32" s="67"/>
      <c r="L32" s="67"/>
      <c r="M32" s="67"/>
      <c r="N32" s="67"/>
      <c r="O32" s="79"/>
    </row>
    <row r="33" spans="1:15" s="18" customFormat="1" x14ac:dyDescent="0.3">
      <c r="A33" s="83"/>
      <c r="B33" s="98"/>
      <c r="C33" s="85"/>
      <c r="D33" s="84"/>
      <c r="E33" s="98"/>
      <c r="F33" s="97"/>
      <c r="G33" s="83"/>
      <c r="H33" s="83"/>
      <c r="I33" s="84"/>
      <c r="J33" s="67"/>
      <c r="K33" s="67"/>
      <c r="L33" s="67"/>
      <c r="M33" s="67"/>
      <c r="N33" s="67"/>
      <c r="O33" s="76"/>
    </row>
    <row r="34" spans="1:15" x14ac:dyDescent="0.3">
      <c r="A34" s="78"/>
      <c r="B34" s="28"/>
      <c r="C34" s="28"/>
      <c r="D34" s="28"/>
      <c r="E34" s="28"/>
      <c r="F34" s="28"/>
      <c r="G34" s="28"/>
      <c r="H34" s="128" t="s">
        <v>18</v>
      </c>
      <c r="I34" s="129">
        <f>SUM(I28:I30)</f>
        <v>0</v>
      </c>
      <c r="J34" s="66"/>
      <c r="K34" s="66"/>
      <c r="L34" s="66"/>
      <c r="M34" s="66"/>
      <c r="N34" s="66"/>
      <c r="O34" s="72"/>
    </row>
    <row r="35" spans="1:15" x14ac:dyDescent="0.3">
      <c r="A35" s="73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72"/>
    </row>
    <row r="36" spans="1:15" x14ac:dyDescent="0.3">
      <c r="A36" s="126" t="s">
        <v>14</v>
      </c>
      <c r="B36" s="126" t="s">
        <v>39</v>
      </c>
      <c r="C36" s="126" t="s">
        <v>21</v>
      </c>
      <c r="D36" s="126" t="s">
        <v>22</v>
      </c>
      <c r="E36" s="126" t="s">
        <v>23</v>
      </c>
      <c r="F36" s="126" t="s">
        <v>24</v>
      </c>
      <c r="G36" s="126" t="s">
        <v>25</v>
      </c>
      <c r="H36" s="126" t="s">
        <v>26</v>
      </c>
      <c r="I36" s="126" t="s">
        <v>17</v>
      </c>
      <c r="J36" s="126" t="s">
        <v>18</v>
      </c>
      <c r="K36" s="66"/>
      <c r="L36" s="66"/>
      <c r="M36" s="66"/>
      <c r="N36" s="66"/>
      <c r="O36" s="72"/>
    </row>
    <row r="37" spans="1:15" x14ac:dyDescent="0.3">
      <c r="A37" s="83"/>
      <c r="B37" s="83"/>
      <c r="C37" s="83"/>
      <c r="D37" s="99"/>
      <c r="E37" s="100"/>
      <c r="F37" s="100"/>
      <c r="G37" s="100"/>
      <c r="H37" s="100"/>
      <c r="I37" s="101"/>
      <c r="J37" s="84"/>
      <c r="K37" s="66"/>
      <c r="L37" s="66"/>
      <c r="M37" s="66"/>
      <c r="N37" s="66"/>
      <c r="O37" s="72"/>
    </row>
    <row r="38" spans="1:15" x14ac:dyDescent="0.3">
      <c r="A38" s="83"/>
      <c r="B38" s="83"/>
      <c r="C38" s="83"/>
      <c r="D38" s="99"/>
      <c r="E38" s="83"/>
      <c r="F38" s="102"/>
      <c r="G38" s="83"/>
      <c r="H38" s="83"/>
      <c r="I38" s="101"/>
      <c r="J38" s="84"/>
      <c r="K38" s="66"/>
      <c r="L38" s="66"/>
      <c r="M38" s="66"/>
      <c r="N38" s="66"/>
      <c r="O38" s="72"/>
    </row>
    <row r="39" spans="1:15" x14ac:dyDescent="0.3">
      <c r="A39" s="83"/>
      <c r="B39" s="83"/>
      <c r="C39" s="83"/>
      <c r="D39" s="99"/>
      <c r="E39" s="83"/>
      <c r="F39" s="102"/>
      <c r="G39" s="83"/>
      <c r="H39" s="83"/>
      <c r="I39" s="101"/>
      <c r="J39" s="84"/>
      <c r="K39" s="66"/>
      <c r="L39" s="66"/>
      <c r="M39" s="66"/>
      <c r="N39" s="66"/>
      <c r="O39" s="72"/>
    </row>
    <row r="40" spans="1:15" x14ac:dyDescent="0.3">
      <c r="A40" s="83"/>
      <c r="B40" s="103"/>
      <c r="C40" s="89"/>
      <c r="D40" s="104"/>
      <c r="E40" s="89"/>
      <c r="F40" s="105"/>
      <c r="G40" s="89"/>
      <c r="H40" s="89"/>
      <c r="I40" s="106"/>
      <c r="J40" s="84"/>
      <c r="K40" s="68"/>
      <c r="L40" s="68"/>
      <c r="M40" s="68"/>
      <c r="N40" s="68"/>
      <c r="O40" s="72"/>
    </row>
    <row r="41" spans="1:15" x14ac:dyDescent="0.3">
      <c r="A41" s="83"/>
      <c r="B41" s="103"/>
      <c r="C41" s="89"/>
      <c r="D41" s="104"/>
      <c r="E41" s="89"/>
      <c r="F41" s="105"/>
      <c r="G41" s="89"/>
      <c r="H41" s="89"/>
      <c r="I41" s="106"/>
      <c r="J41" s="84"/>
      <c r="K41" s="68"/>
      <c r="L41" s="68"/>
      <c r="M41" s="68"/>
      <c r="N41" s="68"/>
      <c r="O41" s="72"/>
    </row>
    <row r="42" spans="1:15" s="18" customFormat="1" x14ac:dyDescent="0.3">
      <c r="A42" s="83"/>
      <c r="B42" s="83"/>
      <c r="C42" s="89"/>
      <c r="D42" s="99"/>
      <c r="E42" s="83"/>
      <c r="F42" s="102"/>
      <c r="G42" s="83"/>
      <c r="H42" s="83"/>
      <c r="I42" s="101"/>
      <c r="J42" s="84"/>
      <c r="K42" s="67"/>
      <c r="L42" s="67"/>
      <c r="M42" s="67"/>
      <c r="N42" s="67"/>
      <c r="O42" s="76"/>
    </row>
    <row r="43" spans="1:15" x14ac:dyDescent="0.3">
      <c r="A43" s="83"/>
      <c r="B43" s="103"/>
      <c r="C43" s="85"/>
      <c r="D43" s="104"/>
      <c r="E43" s="89"/>
      <c r="F43" s="105"/>
      <c r="G43" s="89"/>
      <c r="H43" s="89"/>
      <c r="I43" s="106"/>
      <c r="J43" s="84"/>
      <c r="K43" s="68"/>
      <c r="L43" s="68"/>
      <c r="M43" s="68"/>
      <c r="N43" s="68"/>
      <c r="O43" s="72"/>
    </row>
    <row r="44" spans="1:15" x14ac:dyDescent="0.3">
      <c r="A44" s="78"/>
      <c r="B44" s="28"/>
      <c r="C44" s="28"/>
      <c r="D44" s="28"/>
      <c r="E44" s="28"/>
      <c r="F44" s="28"/>
      <c r="G44" s="28"/>
      <c r="H44" s="28"/>
      <c r="I44" s="128" t="s">
        <v>18</v>
      </c>
      <c r="J44" s="129">
        <f>SUM(J37:J41)</f>
        <v>0</v>
      </c>
      <c r="K44" s="66"/>
      <c r="L44" s="66"/>
      <c r="M44" s="66"/>
      <c r="N44" s="66"/>
      <c r="O44" s="72"/>
    </row>
    <row r="45" spans="1:15" x14ac:dyDescent="0.3">
      <c r="A45" s="73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72"/>
    </row>
    <row r="46" spans="1:15" x14ac:dyDescent="0.3">
      <c r="A46" s="126" t="s">
        <v>14</v>
      </c>
      <c r="B46" s="126" t="s">
        <v>42</v>
      </c>
      <c r="C46" s="126" t="s">
        <v>21</v>
      </c>
      <c r="D46" s="126" t="s">
        <v>22</v>
      </c>
      <c r="E46" s="126" t="s">
        <v>35</v>
      </c>
      <c r="F46" s="126" t="s">
        <v>17</v>
      </c>
      <c r="G46" s="126" t="s">
        <v>43</v>
      </c>
      <c r="H46" s="126" t="s">
        <v>44</v>
      </c>
      <c r="I46" s="126" t="s">
        <v>18</v>
      </c>
      <c r="J46" s="28"/>
      <c r="K46" s="66"/>
      <c r="L46" s="66"/>
      <c r="M46" s="66"/>
      <c r="N46" s="66"/>
      <c r="O46" s="72"/>
    </row>
    <row r="47" spans="1:15" x14ac:dyDescent="0.3">
      <c r="A47" s="83"/>
      <c r="B47" s="83"/>
      <c r="C47" s="83"/>
      <c r="D47" s="84"/>
      <c r="E47" s="83"/>
      <c r="F47" s="83"/>
      <c r="G47" s="83"/>
      <c r="H47" s="83"/>
      <c r="I47" s="84"/>
      <c r="J47" s="28"/>
      <c r="K47" s="66"/>
      <c r="L47" s="66"/>
      <c r="M47" s="66"/>
      <c r="N47" s="66"/>
      <c r="O47" s="72"/>
    </row>
    <row r="48" spans="1:15" x14ac:dyDescent="0.3">
      <c r="A48" s="97"/>
      <c r="B48" s="97"/>
      <c r="C48" s="97"/>
      <c r="D48" s="97"/>
      <c r="E48" s="97"/>
      <c r="F48" s="97"/>
      <c r="G48" s="97"/>
      <c r="H48" s="97"/>
      <c r="I48" s="97"/>
      <c r="J48" s="67"/>
      <c r="K48" s="66"/>
      <c r="L48" s="66"/>
      <c r="M48" s="66"/>
      <c r="N48" s="66"/>
      <c r="O48" s="72"/>
    </row>
    <row r="49" spans="1:15" x14ac:dyDescent="0.3">
      <c r="A49" s="78"/>
      <c r="B49" s="28"/>
      <c r="C49" s="28"/>
      <c r="D49" s="28"/>
      <c r="E49" s="28"/>
      <c r="F49" s="28"/>
      <c r="G49" s="28"/>
      <c r="H49" s="130" t="s">
        <v>18</v>
      </c>
      <c r="I49" s="131">
        <f>SUM(I47:I48)</f>
        <v>0</v>
      </c>
      <c r="J49" s="28"/>
      <c r="K49" s="66"/>
      <c r="L49" s="66"/>
      <c r="M49" s="66"/>
      <c r="N49" s="66"/>
      <c r="O49" s="72"/>
    </row>
    <row r="50" spans="1:15" ht="15" thickBot="1" x14ac:dyDescent="0.35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2"/>
    </row>
    <row r="51" spans="1:15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</row>
  </sheetData>
  <hyperlinks>
    <hyperlink ref="B12" location="ST_A0200!A1" display="Quick Release"/>
    <hyperlink ref="B13" location="ST_0400!A1" display="Steering Wheel"/>
    <hyperlink ref="B11" location="ST_A0200!A1" display="Steering Column"/>
    <hyperlink ref="B10" location="ST_A0100!A1" display="Steering Rack"/>
    <hyperlink ref="B14" location="ST_0500!A1" display="Aluminium Spacer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workbookViewId="0">
      <selection activeCell="E7" sqref="E7"/>
    </sheetView>
  </sheetViews>
  <sheetFormatPr baseColWidth="10" defaultRowHeight="14.4" x14ac:dyDescent="0.3"/>
  <cols>
    <col min="2" max="2" width="18.88671875" customWidth="1"/>
    <col min="3" max="3" width="36" bestFit="1" customWidth="1"/>
  </cols>
  <sheetData>
    <row r="2" spans="1:15" x14ac:dyDescent="0.3">
      <c r="A2" s="280" t="s">
        <v>0</v>
      </c>
      <c r="B2" s="169" t="s">
        <v>48</v>
      </c>
      <c r="C2" s="169"/>
      <c r="D2" s="190" t="s">
        <v>146</v>
      </c>
      <c r="E2" s="169"/>
      <c r="F2" s="169"/>
      <c r="G2" s="169"/>
      <c r="H2" s="169"/>
      <c r="I2" s="169"/>
      <c r="J2" s="280" t="s">
        <v>1</v>
      </c>
      <c r="K2" s="192">
        <v>81</v>
      </c>
      <c r="L2" s="169"/>
      <c r="M2" s="280" t="s">
        <v>2</v>
      </c>
      <c r="N2" s="213">
        <f>E17+N23+I39+J47+I51</f>
        <v>51.838417155104956</v>
      </c>
      <c r="O2" s="169"/>
    </row>
    <row r="3" spans="1:15" x14ac:dyDescent="0.3">
      <c r="A3" s="280" t="s">
        <v>3</v>
      </c>
      <c r="B3" s="169" t="s">
        <v>150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280" t="s">
        <v>4</v>
      </c>
      <c r="N3" s="194">
        <v>1</v>
      </c>
      <c r="O3" s="169"/>
    </row>
    <row r="4" spans="1:15" x14ac:dyDescent="0.3">
      <c r="A4" s="280" t="s">
        <v>5</v>
      </c>
      <c r="B4" s="169" t="s">
        <v>299</v>
      </c>
      <c r="C4" s="169"/>
      <c r="D4" s="169"/>
      <c r="E4" s="169"/>
      <c r="F4" s="169"/>
      <c r="G4" s="169"/>
      <c r="H4" s="169"/>
      <c r="I4" s="169"/>
      <c r="J4" s="280" t="s">
        <v>6</v>
      </c>
      <c r="K4" s="169"/>
      <c r="L4" s="169"/>
      <c r="M4" s="169"/>
      <c r="N4" s="169"/>
      <c r="O4" s="169"/>
    </row>
    <row r="5" spans="1:15" x14ac:dyDescent="0.3">
      <c r="A5" s="280" t="s">
        <v>7</v>
      </c>
      <c r="B5" s="195" t="s">
        <v>253</v>
      </c>
      <c r="C5" s="169"/>
      <c r="D5" s="169"/>
      <c r="E5" s="169"/>
      <c r="F5" s="169"/>
      <c r="G5" s="169"/>
      <c r="H5" s="169"/>
      <c r="I5" s="169"/>
      <c r="J5" s="280" t="s">
        <v>8</v>
      </c>
      <c r="K5" s="169"/>
      <c r="L5" s="169"/>
      <c r="M5" s="280" t="s">
        <v>9</v>
      </c>
      <c r="N5" s="213">
        <f>N2*N3</f>
        <v>51.838417155104956</v>
      </c>
      <c r="O5" s="169"/>
    </row>
    <row r="6" spans="1:15" x14ac:dyDescent="0.3">
      <c r="A6" s="280" t="s">
        <v>10</v>
      </c>
      <c r="B6" s="169" t="s">
        <v>11</v>
      </c>
      <c r="C6" s="169"/>
      <c r="D6" s="169"/>
      <c r="E6" s="169"/>
      <c r="F6" s="169"/>
      <c r="G6" s="169"/>
      <c r="H6" s="169"/>
      <c r="I6" s="169"/>
      <c r="J6" s="280" t="s">
        <v>12</v>
      </c>
      <c r="K6" s="169"/>
      <c r="L6" s="169"/>
      <c r="M6" s="169"/>
      <c r="N6" s="169"/>
      <c r="O6" s="169"/>
    </row>
    <row r="7" spans="1:15" x14ac:dyDescent="0.3">
      <c r="A7" s="280" t="s">
        <v>13</v>
      </c>
      <c r="B7" s="169" t="s">
        <v>216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</row>
    <row r="8" spans="1:15" x14ac:dyDescent="0.3">
      <c r="A8" s="169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</row>
    <row r="9" spans="1:15" x14ac:dyDescent="0.3">
      <c r="A9" s="168" t="s">
        <v>14</v>
      </c>
      <c r="B9" s="168" t="s">
        <v>15</v>
      </c>
      <c r="C9" s="168" t="s">
        <v>16</v>
      </c>
      <c r="D9" s="168" t="s">
        <v>17</v>
      </c>
      <c r="E9" s="168" t="s">
        <v>18</v>
      </c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15" x14ac:dyDescent="0.3">
      <c r="A10" s="170">
        <v>10</v>
      </c>
      <c r="B10" s="171" t="s">
        <v>254</v>
      </c>
      <c r="C10" s="216">
        <f>'[1]ST 02001'!N2</f>
        <v>1</v>
      </c>
      <c r="D10" s="179">
        <v>1</v>
      </c>
      <c r="E10" s="281">
        <f>ST_01001!N5</f>
        <v>18.042335139662534</v>
      </c>
      <c r="F10" s="169"/>
      <c r="G10" s="169"/>
      <c r="H10" s="169"/>
      <c r="I10" s="169"/>
      <c r="J10" s="169"/>
      <c r="K10" s="169"/>
      <c r="L10" s="169"/>
      <c r="M10" s="169"/>
      <c r="N10" s="169"/>
      <c r="O10" s="169"/>
    </row>
    <row r="11" spans="1:15" x14ac:dyDescent="0.3">
      <c r="A11" s="170">
        <v>20</v>
      </c>
      <c r="B11" s="171" t="s">
        <v>255</v>
      </c>
      <c r="C11" s="216">
        <f>'[1]ST 02002'!N2</f>
        <v>1</v>
      </c>
      <c r="D11" s="179">
        <v>1</v>
      </c>
      <c r="E11" s="281">
        <f>ST_01002!N5</f>
        <v>5.1933095499999995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</row>
    <row r="12" spans="1:15" x14ac:dyDescent="0.3">
      <c r="A12" s="170">
        <v>30</v>
      </c>
      <c r="B12" s="171" t="s">
        <v>256</v>
      </c>
      <c r="C12" s="216">
        <f>'[1]ST 02003'!N2</f>
        <v>1</v>
      </c>
      <c r="D12" s="179">
        <v>1</v>
      </c>
      <c r="E12" s="281">
        <f>ST_01003!N5</f>
        <v>5.18</v>
      </c>
      <c r="F12" s="169"/>
      <c r="G12" s="169"/>
      <c r="H12" s="169"/>
      <c r="I12" s="169"/>
      <c r="J12" s="169"/>
      <c r="K12" s="169"/>
      <c r="L12" s="169"/>
      <c r="M12" s="169"/>
      <c r="N12" s="169"/>
      <c r="O12" s="169"/>
    </row>
    <row r="13" spans="1:15" x14ac:dyDescent="0.3">
      <c r="A13" s="170">
        <v>40</v>
      </c>
      <c r="B13" s="171" t="s">
        <v>315</v>
      </c>
      <c r="C13" s="216">
        <f>'[1]ST 02004'!N2</f>
        <v>2</v>
      </c>
      <c r="D13" s="179">
        <v>2</v>
      </c>
      <c r="E13" s="281">
        <f>ST_01004!N5</f>
        <v>2.5257575000000001</v>
      </c>
      <c r="F13" s="169"/>
      <c r="G13" s="169"/>
      <c r="H13" s="169"/>
      <c r="I13" s="169"/>
      <c r="J13" s="169"/>
      <c r="K13" s="169"/>
      <c r="L13" s="169"/>
      <c r="M13" s="169"/>
      <c r="N13" s="169"/>
      <c r="O13" s="169"/>
    </row>
    <row r="14" spans="1:15" x14ac:dyDescent="0.3">
      <c r="A14" s="170">
        <v>50</v>
      </c>
      <c r="B14" s="171" t="s">
        <v>258</v>
      </c>
      <c r="C14" s="216">
        <f>'[1]ST 02007'!N2</f>
        <v>1</v>
      </c>
      <c r="D14" s="179">
        <v>1</v>
      </c>
      <c r="E14" s="281">
        <f>C14*D14</f>
        <v>1</v>
      </c>
      <c r="F14" s="169"/>
      <c r="G14" s="169"/>
      <c r="H14" s="169"/>
      <c r="I14" s="169"/>
      <c r="J14" s="169"/>
      <c r="K14" s="169"/>
      <c r="L14" s="169"/>
      <c r="M14" s="169"/>
      <c r="N14" s="169"/>
      <c r="O14" s="169"/>
    </row>
    <row r="15" spans="1:15" x14ac:dyDescent="0.3">
      <c r="A15" s="169">
        <v>60</v>
      </c>
      <c r="B15" s="190" t="s">
        <v>318</v>
      </c>
      <c r="C15" s="315"/>
      <c r="D15" s="313"/>
      <c r="E15" s="314"/>
      <c r="F15" s="169"/>
      <c r="G15" s="169"/>
      <c r="H15" s="169"/>
      <c r="I15" s="169"/>
      <c r="J15" s="169"/>
      <c r="K15" s="169"/>
      <c r="L15" s="169"/>
      <c r="M15" s="169"/>
      <c r="N15" s="169"/>
      <c r="O15" s="169"/>
    </row>
    <row r="16" spans="1:15" x14ac:dyDescent="0.3">
      <c r="A16" s="169">
        <v>70</v>
      </c>
      <c r="B16" s="190" t="s">
        <v>319</v>
      </c>
      <c r="C16" s="315"/>
      <c r="D16" s="313"/>
      <c r="E16" s="314"/>
      <c r="F16" s="169"/>
      <c r="G16" s="169"/>
      <c r="H16" s="169"/>
      <c r="I16" s="169"/>
      <c r="J16" s="169"/>
      <c r="K16" s="169"/>
      <c r="L16" s="169"/>
      <c r="M16" s="169"/>
      <c r="N16" s="169"/>
      <c r="O16" s="169"/>
    </row>
    <row r="17" spans="1:15" x14ac:dyDescent="0.3">
      <c r="A17" s="169"/>
      <c r="B17" s="169"/>
      <c r="C17" s="169"/>
      <c r="D17" s="175" t="s">
        <v>18</v>
      </c>
      <c r="E17" s="176">
        <f>SUM(E10:E14)</f>
        <v>31.941402189662533</v>
      </c>
      <c r="F17" s="169"/>
      <c r="G17" s="169"/>
      <c r="H17" s="169"/>
      <c r="I17" s="169"/>
      <c r="J17" s="169"/>
      <c r="K17" s="169"/>
      <c r="L17" s="169"/>
      <c r="M17" s="169"/>
      <c r="N17" s="169"/>
      <c r="O17" s="169"/>
    </row>
    <row r="18" spans="1:15" x14ac:dyDescent="0.3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</row>
    <row r="19" spans="1:15" x14ac:dyDescent="0.3">
      <c r="A19" s="168" t="s">
        <v>14</v>
      </c>
      <c r="B19" s="168" t="s">
        <v>20</v>
      </c>
      <c r="C19" s="168" t="s">
        <v>21</v>
      </c>
      <c r="D19" s="168" t="s">
        <v>22</v>
      </c>
      <c r="E19" s="168" t="s">
        <v>23</v>
      </c>
      <c r="F19" s="168" t="s">
        <v>24</v>
      </c>
      <c r="G19" s="168" t="s">
        <v>25</v>
      </c>
      <c r="H19" s="168" t="s">
        <v>26</v>
      </c>
      <c r="I19" s="168" t="s">
        <v>27</v>
      </c>
      <c r="J19" s="168" t="s">
        <v>28</v>
      </c>
      <c r="K19" s="168" t="s">
        <v>29</v>
      </c>
      <c r="L19" s="168" t="s">
        <v>30</v>
      </c>
      <c r="M19" s="168" t="s">
        <v>17</v>
      </c>
      <c r="N19" s="168" t="s">
        <v>18</v>
      </c>
      <c r="O19" s="169"/>
    </row>
    <row r="20" spans="1:15" x14ac:dyDescent="0.3">
      <c r="A20" s="170">
        <v>10</v>
      </c>
      <c r="B20" s="170" t="s">
        <v>259</v>
      </c>
      <c r="C20" s="170" t="s">
        <v>260</v>
      </c>
      <c r="D20" s="216">
        <f>0.1*((E20^2*G20))^(0.5)</f>
        <v>8.5732140997411239</v>
      </c>
      <c r="E20" s="170">
        <v>35</v>
      </c>
      <c r="F20" s="170" t="s">
        <v>31</v>
      </c>
      <c r="G20" s="170">
        <v>6</v>
      </c>
      <c r="H20" s="177" t="s">
        <v>31</v>
      </c>
      <c r="I20" s="178"/>
      <c r="J20" s="179"/>
      <c r="K20" s="177"/>
      <c r="L20" s="177"/>
      <c r="M20" s="179">
        <v>1</v>
      </c>
      <c r="N20" s="205">
        <f>IF(J20="",D20*M20,D20*J20*K20*L20*M20)</f>
        <v>8.5732140997411239</v>
      </c>
      <c r="O20" s="169"/>
    </row>
    <row r="21" spans="1:15" x14ac:dyDescent="0.3">
      <c r="A21" s="170">
        <v>20</v>
      </c>
      <c r="B21" s="170" t="s">
        <v>261</v>
      </c>
      <c r="C21" s="173" t="s">
        <v>262</v>
      </c>
      <c r="D21" s="216">
        <v>10</v>
      </c>
      <c r="E21" s="170">
        <v>0.01</v>
      </c>
      <c r="F21" s="170" t="s">
        <v>263</v>
      </c>
      <c r="G21" s="170"/>
      <c r="H21" s="177"/>
      <c r="I21" s="178"/>
      <c r="J21" s="179"/>
      <c r="K21" s="177"/>
      <c r="L21" s="177"/>
      <c r="M21" s="179"/>
      <c r="N21" s="205">
        <f>E21*D21</f>
        <v>0.1</v>
      </c>
      <c r="O21" s="169"/>
    </row>
    <row r="22" spans="1:15" x14ac:dyDescent="0.3">
      <c r="A22" s="170">
        <v>30</v>
      </c>
      <c r="B22" s="170" t="s">
        <v>264</v>
      </c>
      <c r="C22" s="170" t="s">
        <v>265</v>
      </c>
      <c r="D22" s="216">
        <v>0.5</v>
      </c>
      <c r="E22" s="170">
        <v>1</v>
      </c>
      <c r="F22" s="170" t="s">
        <v>38</v>
      </c>
      <c r="G22" s="170"/>
      <c r="H22" s="177"/>
      <c r="I22" s="178"/>
      <c r="J22" s="179"/>
      <c r="K22" s="177"/>
      <c r="L22" s="177"/>
      <c r="M22" s="179">
        <v>1</v>
      </c>
      <c r="N22" s="205">
        <f>IF(J22="",D22*M22,D22*J22*K22*L22*M22)</f>
        <v>0.5</v>
      </c>
      <c r="O22" s="169"/>
    </row>
    <row r="23" spans="1:15" x14ac:dyDescent="0.3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75" t="s">
        <v>18</v>
      </c>
      <c r="N23" s="176">
        <f>SUM(N20:N22)</f>
        <v>9.1732140997411236</v>
      </c>
      <c r="O23" s="182"/>
    </row>
    <row r="24" spans="1:15" x14ac:dyDescent="0.3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</row>
    <row r="25" spans="1:15" x14ac:dyDescent="0.3">
      <c r="A25" s="168" t="s">
        <v>14</v>
      </c>
      <c r="B25" s="168" t="s">
        <v>34</v>
      </c>
      <c r="C25" s="168" t="s">
        <v>21</v>
      </c>
      <c r="D25" s="168" t="s">
        <v>22</v>
      </c>
      <c r="E25" s="168" t="s">
        <v>35</v>
      </c>
      <c r="F25" s="168" t="s">
        <v>17</v>
      </c>
      <c r="G25" s="168" t="s">
        <v>36</v>
      </c>
      <c r="H25" s="168" t="s">
        <v>37</v>
      </c>
      <c r="I25" s="168" t="s">
        <v>18</v>
      </c>
      <c r="J25" s="182"/>
      <c r="K25" s="182"/>
      <c r="L25" s="182"/>
      <c r="M25" s="182"/>
      <c r="N25" s="182"/>
      <c r="O25" s="182"/>
    </row>
    <row r="26" spans="1:15" x14ac:dyDescent="0.3">
      <c r="A26" s="170">
        <v>10</v>
      </c>
      <c r="B26" s="173" t="s">
        <v>170</v>
      </c>
      <c r="C26" s="173" t="s">
        <v>266</v>
      </c>
      <c r="D26" s="216">
        <v>0.15</v>
      </c>
      <c r="E26" s="170" t="s">
        <v>56</v>
      </c>
      <c r="F26" s="170">
        <v>2</v>
      </c>
      <c r="G26" s="170"/>
      <c r="H26" s="170"/>
      <c r="I26" s="216">
        <f>D26*F26</f>
        <v>0.3</v>
      </c>
      <c r="J26" s="169"/>
      <c r="K26" s="169"/>
      <c r="L26" s="169"/>
      <c r="M26" s="169"/>
      <c r="N26" s="169"/>
      <c r="O26" s="169"/>
    </row>
    <row r="27" spans="1:15" x14ac:dyDescent="0.3">
      <c r="A27" s="170">
        <v>20</v>
      </c>
      <c r="B27" s="173" t="s">
        <v>267</v>
      </c>
      <c r="C27" s="173" t="s">
        <v>262</v>
      </c>
      <c r="D27" s="216">
        <v>5.25</v>
      </c>
      <c r="E27" s="170" t="s">
        <v>263</v>
      </c>
      <c r="F27" s="170">
        <v>5.0000000000000001E-3</v>
      </c>
      <c r="G27" s="170" t="s">
        <v>268</v>
      </c>
      <c r="H27" s="170">
        <v>2</v>
      </c>
      <c r="I27" s="216">
        <f>D27*F27*H27</f>
        <v>5.2499999999999998E-2</v>
      </c>
      <c r="J27" s="169"/>
      <c r="K27" s="169"/>
      <c r="L27" s="169"/>
      <c r="M27" s="169"/>
      <c r="N27" s="169"/>
      <c r="O27" s="169"/>
    </row>
    <row r="28" spans="1:15" x14ac:dyDescent="0.3">
      <c r="A28" s="170">
        <v>30</v>
      </c>
      <c r="B28" s="173" t="s">
        <v>269</v>
      </c>
      <c r="C28" s="282" t="s">
        <v>270</v>
      </c>
      <c r="D28" s="216">
        <v>0.13</v>
      </c>
      <c r="E28" s="170" t="s">
        <v>38</v>
      </c>
      <c r="F28" s="170">
        <v>1</v>
      </c>
      <c r="G28" s="170"/>
      <c r="H28" s="170"/>
      <c r="I28" s="216">
        <f t="shared" ref="I28:I38" si="0">D28*F28</f>
        <v>0.13</v>
      </c>
      <c r="J28" s="169"/>
      <c r="K28" s="169"/>
      <c r="L28" s="169"/>
      <c r="M28" s="169"/>
      <c r="N28" s="169"/>
      <c r="O28" s="169"/>
    </row>
    <row r="29" spans="1:15" ht="43.2" x14ac:dyDescent="0.3">
      <c r="A29" s="170">
        <v>40</v>
      </c>
      <c r="B29" s="173" t="s">
        <v>269</v>
      </c>
      <c r="C29" s="282" t="s">
        <v>271</v>
      </c>
      <c r="D29" s="216">
        <v>0.13</v>
      </c>
      <c r="E29" s="170" t="s">
        <v>38</v>
      </c>
      <c r="F29" s="170">
        <v>1</v>
      </c>
      <c r="G29" s="170"/>
      <c r="H29" s="170"/>
      <c r="I29" s="216">
        <f t="shared" si="0"/>
        <v>0.13</v>
      </c>
      <c r="J29" s="169"/>
      <c r="K29" s="169"/>
      <c r="L29" s="169"/>
      <c r="M29" s="169"/>
      <c r="N29" s="169"/>
      <c r="O29" s="169"/>
    </row>
    <row r="30" spans="1:15" x14ac:dyDescent="0.3">
      <c r="A30" s="170">
        <v>50</v>
      </c>
      <c r="B30" s="173" t="s">
        <v>272</v>
      </c>
      <c r="C30" s="173" t="s">
        <v>273</v>
      </c>
      <c r="D30" s="216">
        <v>0.19</v>
      </c>
      <c r="E30" s="170" t="s">
        <v>38</v>
      </c>
      <c r="F30" s="170">
        <v>2</v>
      </c>
      <c r="G30" s="170"/>
      <c r="H30" s="170"/>
      <c r="I30" s="216">
        <f t="shared" si="0"/>
        <v>0.38</v>
      </c>
      <c r="J30" s="169"/>
      <c r="K30" s="169"/>
      <c r="L30" s="169"/>
      <c r="M30" s="169"/>
      <c r="N30" s="169"/>
      <c r="O30" s="169"/>
    </row>
    <row r="31" spans="1:15" x14ac:dyDescent="0.3">
      <c r="A31" s="170">
        <v>60</v>
      </c>
      <c r="B31" s="173" t="s">
        <v>269</v>
      </c>
      <c r="C31" s="173" t="s">
        <v>274</v>
      </c>
      <c r="D31" s="216">
        <v>0.13</v>
      </c>
      <c r="E31" s="170" t="s">
        <v>38</v>
      </c>
      <c r="F31" s="170">
        <v>2</v>
      </c>
      <c r="G31" s="170"/>
      <c r="H31" s="170"/>
      <c r="I31" s="216">
        <f t="shared" si="0"/>
        <v>0.26</v>
      </c>
      <c r="J31" s="169"/>
      <c r="K31" s="169"/>
      <c r="L31" s="169"/>
      <c r="M31" s="169"/>
      <c r="N31" s="169"/>
      <c r="O31" s="169"/>
    </row>
    <row r="32" spans="1:15" x14ac:dyDescent="0.3">
      <c r="A32" s="170">
        <v>70</v>
      </c>
      <c r="B32" s="173" t="s">
        <v>275</v>
      </c>
      <c r="C32" s="173" t="s">
        <v>276</v>
      </c>
      <c r="D32" s="216">
        <v>0.5</v>
      </c>
      <c r="E32" s="170" t="s">
        <v>38</v>
      </c>
      <c r="F32" s="170">
        <v>4</v>
      </c>
      <c r="G32" s="170"/>
      <c r="H32" s="170"/>
      <c r="I32" s="216">
        <f t="shared" si="0"/>
        <v>2</v>
      </c>
      <c r="J32" s="169"/>
      <c r="K32" s="169"/>
      <c r="L32" s="169"/>
      <c r="M32" s="169"/>
      <c r="N32" s="169"/>
      <c r="O32" s="169"/>
    </row>
    <row r="33" spans="1:15" x14ac:dyDescent="0.3">
      <c r="A33" s="170">
        <v>80</v>
      </c>
      <c r="B33" s="173" t="s">
        <v>277</v>
      </c>
      <c r="C33" s="173" t="s">
        <v>278</v>
      </c>
      <c r="D33" s="216">
        <v>0.25</v>
      </c>
      <c r="E33" s="170" t="s">
        <v>38</v>
      </c>
      <c r="F33" s="170">
        <v>4</v>
      </c>
      <c r="G33" s="170"/>
      <c r="H33" s="170"/>
      <c r="I33" s="216">
        <f t="shared" si="0"/>
        <v>1</v>
      </c>
      <c r="J33" s="169"/>
      <c r="K33" s="169"/>
      <c r="L33" s="169"/>
      <c r="M33" s="169"/>
      <c r="N33" s="169"/>
      <c r="O33" s="169"/>
    </row>
    <row r="34" spans="1:15" x14ac:dyDescent="0.3">
      <c r="A34" s="170">
        <v>90</v>
      </c>
      <c r="B34" s="173" t="s">
        <v>279</v>
      </c>
      <c r="C34" s="173" t="s">
        <v>280</v>
      </c>
      <c r="D34" s="216">
        <v>0.13</v>
      </c>
      <c r="E34" s="170" t="s">
        <v>38</v>
      </c>
      <c r="F34" s="170">
        <v>1</v>
      </c>
      <c r="G34" s="170"/>
      <c r="H34" s="170"/>
      <c r="I34" s="216">
        <f t="shared" si="0"/>
        <v>0.13</v>
      </c>
      <c r="J34" s="169"/>
      <c r="K34" s="169"/>
      <c r="L34" s="169"/>
      <c r="M34" s="169"/>
      <c r="N34" s="169"/>
      <c r="O34" s="169"/>
    </row>
    <row r="35" spans="1:15" x14ac:dyDescent="0.3">
      <c r="A35" s="170">
        <v>100</v>
      </c>
      <c r="B35" s="173" t="s">
        <v>275</v>
      </c>
      <c r="C35" s="173" t="s">
        <v>281</v>
      </c>
      <c r="D35" s="216">
        <v>0.5</v>
      </c>
      <c r="E35" s="170" t="s">
        <v>38</v>
      </c>
      <c r="F35" s="170">
        <v>4</v>
      </c>
      <c r="G35" s="170"/>
      <c r="H35" s="170"/>
      <c r="I35" s="216">
        <f t="shared" si="0"/>
        <v>2</v>
      </c>
      <c r="J35" s="169"/>
      <c r="K35" s="169"/>
      <c r="L35" s="169"/>
      <c r="M35" s="169"/>
      <c r="N35" s="169"/>
      <c r="O35" s="169"/>
    </row>
    <row r="36" spans="1:15" x14ac:dyDescent="0.3">
      <c r="A36" s="170">
        <v>110</v>
      </c>
      <c r="B36" s="173" t="s">
        <v>277</v>
      </c>
      <c r="C36" s="173" t="s">
        <v>282</v>
      </c>
      <c r="D36" s="216">
        <v>0.25</v>
      </c>
      <c r="E36" s="170" t="s">
        <v>38</v>
      </c>
      <c r="F36" s="170">
        <v>4</v>
      </c>
      <c r="G36" s="170"/>
      <c r="H36" s="170"/>
      <c r="I36" s="216">
        <f t="shared" si="0"/>
        <v>1</v>
      </c>
      <c r="J36" s="169"/>
      <c r="K36" s="169"/>
      <c r="L36" s="169"/>
      <c r="M36" s="169"/>
      <c r="N36" s="169"/>
      <c r="O36" s="169"/>
    </row>
    <row r="37" spans="1:15" x14ac:dyDescent="0.3">
      <c r="A37" s="170">
        <v>120</v>
      </c>
      <c r="B37" s="173" t="s">
        <v>275</v>
      </c>
      <c r="C37" s="173" t="s">
        <v>283</v>
      </c>
      <c r="D37" s="216">
        <v>0.5</v>
      </c>
      <c r="E37" s="170" t="s">
        <v>38</v>
      </c>
      <c r="F37" s="170">
        <v>2</v>
      </c>
      <c r="G37" s="170"/>
      <c r="H37" s="170"/>
      <c r="I37" s="216">
        <f t="shared" si="0"/>
        <v>1</v>
      </c>
      <c r="J37" s="169"/>
      <c r="K37" s="169"/>
      <c r="L37" s="169"/>
      <c r="M37" s="169"/>
      <c r="N37" s="169"/>
      <c r="O37" s="169"/>
    </row>
    <row r="38" spans="1:15" x14ac:dyDescent="0.3">
      <c r="A38" s="170">
        <v>130</v>
      </c>
      <c r="B38" s="173" t="s">
        <v>277</v>
      </c>
      <c r="C38" s="173" t="s">
        <v>282</v>
      </c>
      <c r="D38" s="216">
        <v>0.25</v>
      </c>
      <c r="E38" s="170" t="s">
        <v>38</v>
      </c>
      <c r="F38" s="170">
        <v>2</v>
      </c>
      <c r="G38" s="170"/>
      <c r="H38" s="170"/>
      <c r="I38" s="216">
        <f t="shared" si="0"/>
        <v>0.5</v>
      </c>
      <c r="J38" s="169"/>
      <c r="K38" s="169"/>
      <c r="L38" s="169"/>
      <c r="M38" s="169"/>
      <c r="N38" s="169"/>
      <c r="O38" s="169"/>
    </row>
    <row r="39" spans="1:15" x14ac:dyDescent="0.3">
      <c r="A39" s="182"/>
      <c r="B39" s="182"/>
      <c r="C39" s="182"/>
      <c r="D39" s="182"/>
      <c r="E39" s="182"/>
      <c r="F39" s="182"/>
      <c r="G39" s="182"/>
      <c r="H39" s="175" t="s">
        <v>18</v>
      </c>
      <c r="I39" s="186">
        <f>SUM(I26:I38)</f>
        <v>8.8825000000000003</v>
      </c>
      <c r="J39" s="182"/>
      <c r="K39" s="182"/>
      <c r="L39" s="182"/>
      <c r="M39" s="182"/>
      <c r="N39" s="182"/>
      <c r="O39" s="182"/>
    </row>
    <row r="40" spans="1:15" x14ac:dyDescent="0.3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</row>
    <row r="41" spans="1:15" x14ac:dyDescent="0.3">
      <c r="A41" s="168" t="s">
        <v>14</v>
      </c>
      <c r="B41" s="168" t="s">
        <v>39</v>
      </c>
      <c r="C41" s="168" t="s">
        <v>21</v>
      </c>
      <c r="D41" s="168" t="s">
        <v>22</v>
      </c>
      <c r="E41" s="168" t="s">
        <v>23</v>
      </c>
      <c r="F41" s="168" t="s">
        <v>24</v>
      </c>
      <c r="G41" s="168" t="s">
        <v>25</v>
      </c>
      <c r="H41" s="168" t="s">
        <v>26</v>
      </c>
      <c r="I41" s="168" t="s">
        <v>17</v>
      </c>
      <c r="J41" s="168" t="s">
        <v>18</v>
      </c>
      <c r="K41" s="182"/>
      <c r="L41" s="182"/>
      <c r="M41" s="182"/>
      <c r="N41" s="182"/>
      <c r="O41" s="182"/>
    </row>
    <row r="42" spans="1:15" x14ac:dyDescent="0.3">
      <c r="A42" s="170">
        <v>10</v>
      </c>
      <c r="B42" s="170" t="s">
        <v>41</v>
      </c>
      <c r="C42" s="170" t="s">
        <v>284</v>
      </c>
      <c r="D42" s="216">
        <f>0.00018*(E42^2)+0.013</f>
        <v>0.23350000000000001</v>
      </c>
      <c r="E42" s="170">
        <v>35</v>
      </c>
      <c r="F42" s="170" t="s">
        <v>31</v>
      </c>
      <c r="G42" s="170"/>
      <c r="H42" s="173"/>
      <c r="I42" s="283">
        <v>1</v>
      </c>
      <c r="J42" s="216">
        <f>D42*I42</f>
        <v>0.23350000000000001</v>
      </c>
      <c r="K42" s="169"/>
      <c r="L42" s="169"/>
      <c r="M42" s="169"/>
      <c r="N42" s="169"/>
      <c r="O42" s="169"/>
    </row>
    <row r="43" spans="1:15" x14ac:dyDescent="0.3">
      <c r="A43" s="170">
        <v>20</v>
      </c>
      <c r="B43" s="170" t="s">
        <v>285</v>
      </c>
      <c r="C43" s="170" t="s">
        <v>286</v>
      </c>
      <c r="D43" s="216">
        <f>0.8/105154*E43^2*G43*SQRT(G43)+(0.003*EXP(0.319*E43))</f>
        <v>9.9361345914868976E-2</v>
      </c>
      <c r="E43" s="170">
        <v>8</v>
      </c>
      <c r="F43" s="284" t="s">
        <v>31</v>
      </c>
      <c r="G43" s="170">
        <v>25</v>
      </c>
      <c r="H43" s="173" t="s">
        <v>31</v>
      </c>
      <c r="I43" s="283">
        <v>6</v>
      </c>
      <c r="J43" s="216">
        <f>D43*I43</f>
        <v>0.5961680754892138</v>
      </c>
      <c r="K43" s="169"/>
      <c r="L43" s="169"/>
      <c r="M43" s="169"/>
      <c r="N43" s="169"/>
      <c r="O43" s="169"/>
    </row>
    <row r="44" spans="1:15" x14ac:dyDescent="0.3">
      <c r="A44" s="170">
        <v>30</v>
      </c>
      <c r="B44" s="170" t="s">
        <v>40</v>
      </c>
      <c r="C44" s="170" t="s">
        <v>287</v>
      </c>
      <c r="D44" s="285">
        <f t="array" ref="D44">(0.009*EXP(0.2*E44))</f>
        <v>4.4577291819556032E-2</v>
      </c>
      <c r="E44" s="170">
        <v>8</v>
      </c>
      <c r="F44" s="284" t="s">
        <v>31</v>
      </c>
      <c r="G44" s="170"/>
      <c r="H44" s="173"/>
      <c r="I44" s="283">
        <v>4</v>
      </c>
      <c r="J44" s="216">
        <f>D44*I44</f>
        <v>0.17830916727822413</v>
      </c>
      <c r="K44" s="169"/>
      <c r="L44" s="169"/>
      <c r="M44" s="169"/>
      <c r="N44" s="169"/>
      <c r="O44" s="169"/>
    </row>
    <row r="45" spans="1:15" x14ac:dyDescent="0.3">
      <c r="A45" s="170">
        <v>40</v>
      </c>
      <c r="B45" s="170" t="s">
        <v>285</v>
      </c>
      <c r="C45" s="170" t="s">
        <v>288</v>
      </c>
      <c r="D45" s="216">
        <f>0.8/105154*E45^2*G45*SQRT(G45)+(0.003*EXP(0.319*E45))</f>
        <v>2.1634370710367147E-2</v>
      </c>
      <c r="E45" s="170">
        <v>4</v>
      </c>
      <c r="F45" s="284" t="s">
        <v>31</v>
      </c>
      <c r="G45" s="170">
        <v>20</v>
      </c>
      <c r="H45" s="173" t="s">
        <v>31</v>
      </c>
      <c r="I45" s="283">
        <v>4</v>
      </c>
      <c r="J45" s="216">
        <f>D45*I45</f>
        <v>8.6537482841468588E-2</v>
      </c>
      <c r="K45" s="182"/>
      <c r="L45" s="182"/>
      <c r="M45" s="182"/>
      <c r="N45" s="182"/>
      <c r="O45" s="182"/>
    </row>
    <row r="46" spans="1:15" x14ac:dyDescent="0.3">
      <c r="A46" s="170">
        <v>50</v>
      </c>
      <c r="B46" s="170" t="s">
        <v>40</v>
      </c>
      <c r="C46" s="170" t="s">
        <v>288</v>
      </c>
      <c r="D46" s="285">
        <f t="array" ref="D46">(0.009*EXP(0.2*E46))</f>
        <v>2.0029868356432209E-2</v>
      </c>
      <c r="E46" s="170">
        <v>4</v>
      </c>
      <c r="F46" s="284" t="s">
        <v>31</v>
      </c>
      <c r="G46" s="170"/>
      <c r="H46" s="173"/>
      <c r="I46" s="283">
        <v>4</v>
      </c>
      <c r="J46" s="216">
        <f>D46*I46</f>
        <v>8.0119473425728838E-2</v>
      </c>
      <c r="K46" s="169"/>
      <c r="L46" s="169"/>
      <c r="M46" s="169"/>
      <c r="N46" s="169"/>
      <c r="O46" s="169"/>
    </row>
    <row r="47" spans="1:15" x14ac:dyDescent="0.3">
      <c r="A47" s="182"/>
      <c r="B47" s="182"/>
      <c r="C47" s="182"/>
      <c r="D47" s="182"/>
      <c r="E47" s="182"/>
      <c r="F47" s="182"/>
      <c r="G47" s="182"/>
      <c r="H47" s="182"/>
      <c r="I47" s="175" t="s">
        <v>18</v>
      </c>
      <c r="J47" s="186">
        <f>SUM(J42:J46)</f>
        <v>1.1746341990346356</v>
      </c>
      <c r="K47" s="182"/>
      <c r="L47" s="182"/>
      <c r="M47" s="182"/>
      <c r="N47" s="182"/>
      <c r="O47" s="182"/>
    </row>
    <row r="48" spans="1:15" x14ac:dyDescent="0.3">
      <c r="A48" s="169"/>
      <c r="B48" s="169"/>
      <c r="C48" s="169"/>
      <c r="D48" s="169"/>
      <c r="E48" s="169"/>
      <c r="F48" s="169"/>
      <c r="G48" s="169"/>
      <c r="H48" s="187"/>
      <c r="I48" s="188"/>
      <c r="J48" s="169"/>
      <c r="K48" s="169"/>
      <c r="L48" s="169"/>
      <c r="M48" s="169"/>
      <c r="N48" s="169"/>
      <c r="O48" s="169"/>
    </row>
    <row r="49" spans="1:15" x14ac:dyDescent="0.3">
      <c r="A49" s="168" t="s">
        <v>14</v>
      </c>
      <c r="B49" s="168" t="s">
        <v>42</v>
      </c>
      <c r="C49" s="168" t="s">
        <v>21</v>
      </c>
      <c r="D49" s="168" t="s">
        <v>22</v>
      </c>
      <c r="E49" s="168" t="s">
        <v>35</v>
      </c>
      <c r="F49" s="168" t="s">
        <v>17</v>
      </c>
      <c r="G49" s="168" t="s">
        <v>43</v>
      </c>
      <c r="H49" s="168" t="s">
        <v>44</v>
      </c>
      <c r="I49" s="168" t="s">
        <v>18</v>
      </c>
      <c r="J49" s="182"/>
      <c r="K49" s="182"/>
      <c r="L49" s="182"/>
      <c r="M49" s="182"/>
      <c r="N49" s="182"/>
      <c r="O49" s="182"/>
    </row>
    <row r="50" spans="1:15" x14ac:dyDescent="0.3">
      <c r="A50" s="170">
        <v>10</v>
      </c>
      <c r="B50" s="30" t="s">
        <v>45</v>
      </c>
      <c r="C50" s="170" t="s">
        <v>257</v>
      </c>
      <c r="D50" s="216">
        <v>500</v>
      </c>
      <c r="E50" s="170" t="s">
        <v>47</v>
      </c>
      <c r="F50" s="170">
        <v>4</v>
      </c>
      <c r="G50" s="170">
        <v>3000</v>
      </c>
      <c r="H50" s="170">
        <v>1</v>
      </c>
      <c r="I50" s="205">
        <f>D50*F50/G50*H50</f>
        <v>0.66666666666666663</v>
      </c>
      <c r="J50" s="169"/>
      <c r="K50" s="169"/>
      <c r="L50" s="169"/>
      <c r="M50" s="169"/>
      <c r="N50" s="169"/>
      <c r="O50" s="169"/>
    </row>
    <row r="51" spans="1:15" x14ac:dyDescent="0.3">
      <c r="A51" s="182"/>
      <c r="B51" s="182"/>
      <c r="C51" s="182"/>
      <c r="D51" s="182"/>
      <c r="E51" s="182"/>
      <c r="F51" s="182"/>
      <c r="G51" s="182"/>
      <c r="H51" s="175" t="s">
        <v>18</v>
      </c>
      <c r="I51" s="186">
        <f>SUM(I50:I50)</f>
        <v>0.66666666666666663</v>
      </c>
      <c r="J51" s="182"/>
      <c r="K51" s="169"/>
      <c r="L51" s="169"/>
      <c r="M51" s="169"/>
      <c r="N51" s="169"/>
      <c r="O51" s="169"/>
    </row>
    <row r="52" spans="1:15" x14ac:dyDescent="0.3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</row>
    <row r="53" spans="1:15" x14ac:dyDescent="0.3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</row>
  </sheetData>
  <hyperlinks>
    <hyperlink ref="B10" location="ST_01001!A1" display="Rack"/>
    <hyperlink ref="B11" location="ST_01002!A1" display="Rack pinion"/>
    <hyperlink ref="B12" location="ST_01003!A1" display="Rack housing"/>
    <hyperlink ref="B13" location="ST_01004!A1" display="Steering tie rod holder"/>
    <hyperlink ref="D2" location="BOM!A1" display="Back to BOM"/>
    <hyperlink ref="B14" location="'ST 02007'!A1" display="Rack protec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M19" sqref="M19"/>
    </sheetView>
  </sheetViews>
  <sheetFormatPr baseColWidth="10" defaultRowHeight="14.4" x14ac:dyDescent="0.3"/>
  <cols>
    <col min="2" max="2" width="20" bestFit="1" customWidth="1"/>
  </cols>
  <sheetData>
    <row r="2" spans="1:15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N12+I18</f>
        <v>18.042335139662534</v>
      </c>
      <c r="O2" s="169"/>
    </row>
    <row r="3" spans="1:15" x14ac:dyDescent="0.3">
      <c r="A3" s="290" t="s">
        <v>3</v>
      </c>
      <c r="B3" s="287" t="s">
        <v>150</v>
      </c>
      <c r="C3" s="240" t="s">
        <v>237</v>
      </c>
      <c r="D3" s="290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  <c r="O3" s="169"/>
    </row>
    <row r="4" spans="1:15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  <c r="O4" s="169"/>
    </row>
    <row r="5" spans="1:15" x14ac:dyDescent="0.3">
      <c r="A5" s="290" t="s">
        <v>15</v>
      </c>
      <c r="B5" s="169" t="s">
        <v>254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18.042335139662534</v>
      </c>
      <c r="O5" s="169"/>
    </row>
    <row r="6" spans="1:15" x14ac:dyDescent="0.3">
      <c r="A6" s="290" t="s">
        <v>7</v>
      </c>
      <c r="B6" s="293" t="s">
        <v>295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  <c r="O6" s="169"/>
    </row>
    <row r="7" spans="1:15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169"/>
    </row>
    <row r="8" spans="1:15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169"/>
    </row>
    <row r="9" spans="1:15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169"/>
    </row>
    <row r="10" spans="1:15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  <c r="O10" s="182"/>
    </row>
    <row r="11" spans="1:15" x14ac:dyDescent="0.3">
      <c r="A11" s="296">
        <v>10</v>
      </c>
      <c r="B11" s="227" t="s">
        <v>289</v>
      </c>
      <c r="C11" s="297" t="s">
        <v>254</v>
      </c>
      <c r="D11" s="298">
        <v>2.25</v>
      </c>
      <c r="E11" s="299">
        <f>J11*K11*L11</f>
        <v>0.77437117318334814</v>
      </c>
      <c r="F11" s="297" t="s">
        <v>179</v>
      </c>
      <c r="G11" s="297"/>
      <c r="H11" s="300"/>
      <c r="I11" s="301" t="s">
        <v>290</v>
      </c>
      <c r="J11" s="301">
        <f>20^2*PI()*0.000001/4</f>
        <v>3.1415926535897931E-4</v>
      </c>
      <c r="K11" s="302">
        <v>0.314</v>
      </c>
      <c r="L11" s="302">
        <v>7850</v>
      </c>
      <c r="M11" s="303">
        <v>1</v>
      </c>
      <c r="N11" s="298">
        <f>J11*K11*L11*M11*D11</f>
        <v>1.7423351396625333</v>
      </c>
      <c r="O11" s="169"/>
    </row>
    <row r="12" spans="1:15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1.7423351396625333</v>
      </c>
      <c r="O12" s="182"/>
    </row>
    <row r="13" spans="1:15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169"/>
    </row>
    <row r="14" spans="1:15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  <c r="O14" s="182"/>
    </row>
    <row r="15" spans="1:15" x14ac:dyDescent="0.3">
      <c r="A15" s="208">
        <v>10</v>
      </c>
      <c r="B15" s="209" t="s">
        <v>291</v>
      </c>
      <c r="C15" s="208" t="s">
        <v>292</v>
      </c>
      <c r="D15" s="172">
        <v>0.35</v>
      </c>
      <c r="E15" s="209" t="s">
        <v>250</v>
      </c>
      <c r="F15" s="208">
        <v>2</v>
      </c>
      <c r="G15" s="208"/>
      <c r="H15" s="208">
        <v>1</v>
      </c>
      <c r="I15" s="211">
        <f>IF(H15="",D15*F15,D15*F15*H15)</f>
        <v>0.7</v>
      </c>
      <c r="J15" s="287"/>
      <c r="K15" s="287"/>
      <c r="L15" s="287"/>
      <c r="M15" s="287"/>
      <c r="N15" s="287"/>
      <c r="O15" s="169"/>
    </row>
    <row r="16" spans="1:15" ht="28.8" x14ac:dyDescent="0.3">
      <c r="A16" s="208">
        <v>20</v>
      </c>
      <c r="B16" s="209" t="s">
        <v>293</v>
      </c>
      <c r="C16" s="170"/>
      <c r="D16" s="236">
        <v>0.1</v>
      </c>
      <c r="E16" s="209" t="s">
        <v>56</v>
      </c>
      <c r="F16" s="208">
        <v>3</v>
      </c>
      <c r="G16" s="208" t="s">
        <v>268</v>
      </c>
      <c r="H16" s="208">
        <v>2</v>
      </c>
      <c r="I16" s="211">
        <f>H16*D16*F16</f>
        <v>0.60000000000000009</v>
      </c>
      <c r="J16" s="287"/>
      <c r="K16" s="287"/>
      <c r="L16" s="287"/>
      <c r="M16" s="287"/>
      <c r="N16" s="287"/>
      <c r="O16" s="169"/>
    </row>
    <row r="17" spans="1:15" x14ac:dyDescent="0.3">
      <c r="A17" s="198">
        <v>30</v>
      </c>
      <c r="B17" s="198" t="s">
        <v>193</v>
      </c>
      <c r="C17" s="198" t="s">
        <v>294</v>
      </c>
      <c r="D17" s="172">
        <v>0.5</v>
      </c>
      <c r="E17" s="198" t="s">
        <v>56</v>
      </c>
      <c r="F17" s="219">
        <v>30</v>
      </c>
      <c r="G17" s="220"/>
      <c r="H17" s="208"/>
      <c r="I17" s="211">
        <f>IF(H17="",D17*F17,D17*F17*H17)</f>
        <v>15</v>
      </c>
      <c r="J17" s="287"/>
      <c r="K17" s="287"/>
      <c r="L17" s="287"/>
      <c r="M17" s="287"/>
      <c r="N17" s="287"/>
      <c r="O17" s="169"/>
    </row>
    <row r="18" spans="1:15" x14ac:dyDescent="0.3">
      <c r="A18" s="304"/>
      <c r="B18" s="304"/>
      <c r="C18" s="304"/>
      <c r="D18" s="304"/>
      <c r="E18" s="304"/>
      <c r="F18" s="304"/>
      <c r="G18" s="304"/>
      <c r="H18" s="305" t="s">
        <v>18</v>
      </c>
      <c r="I18" s="307">
        <f>SUM(I15:I17)</f>
        <v>16.3</v>
      </c>
      <c r="J18" s="304"/>
      <c r="K18" s="304"/>
      <c r="L18" s="304"/>
      <c r="M18" s="304"/>
      <c r="N18" s="304"/>
      <c r="O18" s="182"/>
    </row>
    <row r="19" spans="1:15" x14ac:dyDescent="0.3">
      <c r="A19" s="287"/>
      <c r="B19" s="287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169"/>
    </row>
    <row r="20" spans="1:15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169"/>
    </row>
    <row r="21" spans="1:15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169"/>
    </row>
    <row r="22" spans="1:15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169"/>
    </row>
    <row r="23" spans="1:15" x14ac:dyDescent="0.3">
      <c r="A23" s="287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169"/>
    </row>
    <row r="24" spans="1:15" x14ac:dyDescent="0.3">
      <c r="A24" s="287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169"/>
    </row>
    <row r="25" spans="1:15" x14ac:dyDescent="0.3">
      <c r="A25" s="287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169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C15" sqref="C15"/>
    </sheetView>
  </sheetViews>
  <sheetFormatPr baseColWidth="10" defaultRowHeight="14.4" x14ac:dyDescent="0.3"/>
  <cols>
    <col min="2" max="2" width="13.109375" customWidth="1"/>
    <col min="3" max="3" width="23.77734375" bestFit="1" customWidth="1"/>
  </cols>
  <sheetData>
    <row r="2" spans="1:15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N12+I19</f>
        <v>5.1933095499999995</v>
      </c>
      <c r="O2" s="169"/>
    </row>
    <row r="3" spans="1:15" x14ac:dyDescent="0.3">
      <c r="A3" s="290" t="s">
        <v>3</v>
      </c>
      <c r="B3" s="287" t="s">
        <v>150</v>
      </c>
      <c r="C3" s="287"/>
      <c r="D3" s="286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  <c r="O3" s="169"/>
    </row>
    <row r="4" spans="1:15" x14ac:dyDescent="0.3">
      <c r="A4" s="290" t="s">
        <v>5</v>
      </c>
      <c r="B4" s="190" t="s">
        <v>299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  <c r="O4" s="169"/>
    </row>
    <row r="5" spans="1:15" x14ac:dyDescent="0.3">
      <c r="A5" s="290" t="s">
        <v>15</v>
      </c>
      <c r="B5" s="169" t="s">
        <v>255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5.1933095499999995</v>
      </c>
      <c r="O5" s="169"/>
    </row>
    <row r="6" spans="1:15" x14ac:dyDescent="0.3">
      <c r="A6" s="290" t="s">
        <v>7</v>
      </c>
      <c r="B6" s="293" t="s">
        <v>300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  <c r="O6" s="169"/>
    </row>
    <row r="7" spans="1:15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169"/>
    </row>
    <row r="8" spans="1:15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169"/>
    </row>
    <row r="9" spans="1:15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169"/>
    </row>
    <row r="10" spans="1:15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  <c r="O10" s="182"/>
    </row>
    <row r="11" spans="1:15" ht="28.8" x14ac:dyDescent="0.3">
      <c r="A11" s="198">
        <v>10</v>
      </c>
      <c r="B11" s="199" t="s">
        <v>32</v>
      </c>
      <c r="C11" s="308" t="s">
        <v>296</v>
      </c>
      <c r="D11" s="172">
        <v>2.25</v>
      </c>
      <c r="E11" s="201">
        <f>J11*K11*L11</f>
        <v>1.7303598</v>
      </c>
      <c r="F11" s="198" t="s">
        <v>179</v>
      </c>
      <c r="G11" s="198"/>
      <c r="H11" s="177"/>
      <c r="I11" s="214" t="s">
        <v>297</v>
      </c>
      <c r="J11" s="215">
        <f>3.14*0.03^2</f>
        <v>2.826E-3</v>
      </c>
      <c r="K11" s="177">
        <v>7.8E-2</v>
      </c>
      <c r="L11" s="180">
        <v>7850</v>
      </c>
      <c r="M11" s="180">
        <v>1</v>
      </c>
      <c r="N11" s="205">
        <f>IF(J11="",D11*M11,D11*J11*K11*L11*M11)</f>
        <v>3.8933095499999997</v>
      </c>
      <c r="O11" s="169"/>
    </row>
    <row r="12" spans="1:15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3.8933095499999997</v>
      </c>
      <c r="O12" s="182"/>
    </row>
    <row r="13" spans="1:15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169"/>
    </row>
    <row r="14" spans="1:15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  <c r="O14" s="182"/>
    </row>
    <row r="15" spans="1:15" ht="43.2" x14ac:dyDescent="0.3">
      <c r="A15" s="208">
        <v>10</v>
      </c>
      <c r="B15" s="209" t="s">
        <v>52</v>
      </c>
      <c r="C15" s="260" t="s">
        <v>292</v>
      </c>
      <c r="D15" s="172">
        <v>1.3</v>
      </c>
      <c r="E15" s="209" t="s">
        <v>35</v>
      </c>
      <c r="F15" s="208">
        <v>1</v>
      </c>
      <c r="G15" s="208"/>
      <c r="H15" s="208"/>
      <c r="I15" s="211">
        <f>IF(H15="",D15*F15,D15*F15*H15)</f>
        <v>1.3</v>
      </c>
      <c r="J15" s="287"/>
      <c r="K15" s="287"/>
      <c r="L15" s="287"/>
      <c r="M15" s="287"/>
      <c r="N15" s="287"/>
      <c r="O15" s="169"/>
    </row>
    <row r="16" spans="1:15" x14ac:dyDescent="0.3">
      <c r="A16" s="198"/>
      <c r="B16" s="198"/>
      <c r="C16" s="217"/>
      <c r="D16" s="172"/>
      <c r="E16" s="198"/>
      <c r="F16" s="219"/>
      <c r="G16" s="208"/>
      <c r="H16" s="208"/>
      <c r="I16" s="211"/>
      <c r="J16" s="287"/>
      <c r="K16" s="287"/>
      <c r="L16" s="287"/>
      <c r="M16" s="287"/>
      <c r="N16" s="287"/>
      <c r="O16" s="169"/>
    </row>
    <row r="17" spans="1:15" x14ac:dyDescent="0.3">
      <c r="A17" s="198"/>
      <c r="B17" s="198"/>
      <c r="C17" s="198"/>
      <c r="D17" s="172"/>
      <c r="E17" s="198"/>
      <c r="F17" s="309"/>
      <c r="G17" s="220"/>
      <c r="H17" s="208"/>
      <c r="I17" s="211"/>
      <c r="J17" s="287"/>
      <c r="K17" s="287"/>
      <c r="L17" s="287"/>
      <c r="M17" s="287"/>
      <c r="N17" s="287"/>
      <c r="O17" s="169"/>
    </row>
    <row r="18" spans="1:15" x14ac:dyDescent="0.3">
      <c r="A18" s="296"/>
      <c r="B18" s="209"/>
      <c r="C18" s="208"/>
      <c r="D18" s="172"/>
      <c r="E18" s="209"/>
      <c r="F18" s="208"/>
      <c r="G18" s="208"/>
      <c r="H18" s="208"/>
      <c r="I18" s="298"/>
      <c r="J18" s="287"/>
      <c r="K18" s="287"/>
      <c r="L18" s="287"/>
      <c r="M18" s="287"/>
      <c r="N18" s="287"/>
      <c r="O18" s="182"/>
    </row>
    <row r="19" spans="1:15" x14ac:dyDescent="0.3">
      <c r="A19" s="304"/>
      <c r="B19" s="304"/>
      <c r="C19" s="304"/>
      <c r="D19" s="304"/>
      <c r="E19" s="304"/>
      <c r="F19" s="304"/>
      <c r="G19" s="304"/>
      <c r="H19" s="305" t="s">
        <v>18</v>
      </c>
      <c r="I19" s="307">
        <f>SUM(I15:I18)</f>
        <v>1.3</v>
      </c>
      <c r="J19" s="304"/>
      <c r="K19" s="304"/>
      <c r="L19" s="304"/>
      <c r="M19" s="304"/>
      <c r="N19" s="304"/>
      <c r="O19" s="169"/>
    </row>
    <row r="20" spans="1:15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169"/>
    </row>
    <row r="21" spans="1:15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169"/>
    </row>
    <row r="22" spans="1:15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169"/>
    </row>
    <row r="23" spans="1:15" x14ac:dyDescent="0.3">
      <c r="A23" s="287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169"/>
    </row>
    <row r="24" spans="1:15" x14ac:dyDescent="0.3">
      <c r="A24" s="287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169"/>
    </row>
    <row r="25" spans="1:15" x14ac:dyDescent="0.3">
      <c r="A25" s="287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169"/>
    </row>
  </sheetData>
  <hyperlinks>
    <hyperlink ref="F2" location="BOM!A1" display="Back to BOM"/>
    <hyperlink ref="B4" location="ST_A0100!A1" display="Steering Rack 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B4" sqref="B4"/>
    </sheetView>
  </sheetViews>
  <sheetFormatPr baseColWidth="10" defaultRowHeight="14.4" x14ac:dyDescent="0.3"/>
  <sheetData>
    <row r="2" spans="1:14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N12+I19</f>
        <v>5.18</v>
      </c>
    </row>
    <row r="3" spans="1:14" x14ac:dyDescent="0.3">
      <c r="A3" s="290" t="s">
        <v>3</v>
      </c>
      <c r="B3" s="287" t="s">
        <v>150</v>
      </c>
      <c r="C3" s="287"/>
      <c r="D3" s="286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1</v>
      </c>
    </row>
    <row r="4" spans="1:14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</row>
    <row r="5" spans="1:14" x14ac:dyDescent="0.3">
      <c r="A5" s="290" t="s">
        <v>15</v>
      </c>
      <c r="B5" s="169" t="s">
        <v>256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5.18</v>
      </c>
    </row>
    <row r="6" spans="1:14" x14ac:dyDescent="0.3">
      <c r="A6" s="290" t="s">
        <v>7</v>
      </c>
      <c r="B6" s="293" t="s">
        <v>301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</row>
    <row r="7" spans="1:14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</row>
    <row r="8" spans="1:14" x14ac:dyDescent="0.3">
      <c r="A8" s="290" t="s">
        <v>13</v>
      </c>
      <c r="B8" s="287" t="s">
        <v>175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</row>
    <row r="9" spans="1:14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</row>
    <row r="10" spans="1:14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</row>
    <row r="11" spans="1:14" ht="43.2" x14ac:dyDescent="0.3">
      <c r="A11" s="198">
        <v>10</v>
      </c>
      <c r="B11" s="199" t="s">
        <v>197</v>
      </c>
      <c r="C11" s="200" t="s">
        <v>302</v>
      </c>
      <c r="D11" s="172">
        <v>4.2</v>
      </c>
      <c r="E11" s="198">
        <v>0.3</v>
      </c>
      <c r="F11" s="198" t="s">
        <v>179</v>
      </c>
      <c r="G11" s="198"/>
      <c r="H11" s="177"/>
      <c r="I11" s="214"/>
      <c r="J11" s="310"/>
      <c r="K11" s="177"/>
      <c r="L11" s="177"/>
      <c r="M11" s="180">
        <v>1</v>
      </c>
      <c r="N11" s="205">
        <f>M11*E11*D11</f>
        <v>1.26</v>
      </c>
    </row>
    <row r="12" spans="1:14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SUM(N11:N11)</f>
        <v>1.26</v>
      </c>
    </row>
    <row r="13" spans="1:14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</row>
    <row r="14" spans="1:14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</row>
    <row r="15" spans="1:14" x14ac:dyDescent="0.3">
      <c r="A15" s="198">
        <v>10</v>
      </c>
      <c r="B15" s="198" t="s">
        <v>303</v>
      </c>
      <c r="C15" s="198" t="s">
        <v>304</v>
      </c>
      <c r="D15" s="172">
        <v>4</v>
      </c>
      <c r="E15" s="209" t="s">
        <v>179</v>
      </c>
      <c r="F15" s="311">
        <v>0.3</v>
      </c>
      <c r="G15" s="311"/>
      <c r="H15" s="311"/>
      <c r="I15" s="211">
        <f>IF(H15="",D15*F15,D15*F15*H15)</f>
        <v>1.2</v>
      </c>
      <c r="J15" s="287"/>
      <c r="K15" s="287"/>
      <c r="L15" s="287"/>
      <c r="M15" s="287"/>
      <c r="N15" s="287"/>
    </row>
    <row r="16" spans="1:14" ht="43.2" x14ac:dyDescent="0.3">
      <c r="A16" s="208">
        <v>20</v>
      </c>
      <c r="B16" s="209" t="s">
        <v>52</v>
      </c>
      <c r="C16" s="208"/>
      <c r="D16" s="172">
        <v>1.3</v>
      </c>
      <c r="E16" s="220" t="s">
        <v>35</v>
      </c>
      <c r="F16" s="208">
        <v>1</v>
      </c>
      <c r="G16" s="208"/>
      <c r="H16" s="208"/>
      <c r="I16" s="211">
        <f>IF(H16="",D16*F16,D16*F16*H16)</f>
        <v>1.3</v>
      </c>
      <c r="J16" s="287"/>
      <c r="K16" s="287"/>
      <c r="L16" s="287"/>
      <c r="M16" s="287"/>
      <c r="N16" s="287"/>
    </row>
    <row r="17" spans="1:14" x14ac:dyDescent="0.3">
      <c r="A17" s="198">
        <v>30</v>
      </c>
      <c r="B17" s="198" t="s">
        <v>182</v>
      </c>
      <c r="C17" s="198" t="s">
        <v>305</v>
      </c>
      <c r="D17" s="172">
        <v>0.04</v>
      </c>
      <c r="E17" s="198" t="s">
        <v>184</v>
      </c>
      <c r="F17" s="219">
        <v>18</v>
      </c>
      <c r="G17" s="209"/>
      <c r="H17" s="208">
        <v>1</v>
      </c>
      <c r="I17" s="211">
        <f>IF(H17="",D17*F17,D17*F17*H17)</f>
        <v>0.72</v>
      </c>
      <c r="J17" s="287"/>
      <c r="K17" s="287"/>
      <c r="L17" s="287"/>
      <c r="M17" s="287"/>
      <c r="N17" s="287"/>
    </row>
    <row r="18" spans="1:14" x14ac:dyDescent="0.3">
      <c r="A18" s="208">
        <v>40</v>
      </c>
      <c r="B18" s="198" t="s">
        <v>298</v>
      </c>
      <c r="C18" s="198" t="s">
        <v>306</v>
      </c>
      <c r="D18" s="172">
        <v>0.35</v>
      </c>
      <c r="E18" s="198" t="s">
        <v>56</v>
      </c>
      <c r="F18" s="309">
        <v>2</v>
      </c>
      <c r="G18" s="220"/>
      <c r="H18" s="208"/>
      <c r="I18" s="211">
        <f>IF(H18="",D18*F18,D18*F18*H18)</f>
        <v>0.7</v>
      </c>
      <c r="J18" s="287"/>
      <c r="K18" s="287"/>
      <c r="L18" s="287"/>
      <c r="M18" s="287"/>
      <c r="N18" s="287"/>
    </row>
    <row r="19" spans="1:14" x14ac:dyDescent="0.3">
      <c r="A19" s="304"/>
      <c r="B19" s="304"/>
      <c r="C19" s="304"/>
      <c r="D19" s="304"/>
      <c r="E19" s="304"/>
      <c r="F19" s="304"/>
      <c r="G19" s="304"/>
      <c r="H19" s="305" t="s">
        <v>18</v>
      </c>
      <c r="I19" s="307">
        <f>SUM(I15:I18)</f>
        <v>3.92</v>
      </c>
      <c r="J19" s="304"/>
      <c r="K19" s="304"/>
      <c r="L19" s="304"/>
      <c r="M19" s="304"/>
      <c r="N19" s="304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H28" sqref="H28"/>
    </sheetView>
  </sheetViews>
  <sheetFormatPr baseColWidth="10" defaultRowHeight="14.4" x14ac:dyDescent="0.3"/>
  <sheetData>
    <row r="2" spans="1:14" x14ac:dyDescent="0.3">
      <c r="A2" s="286" t="s">
        <v>0</v>
      </c>
      <c r="B2" s="287" t="s">
        <v>48</v>
      </c>
      <c r="C2" s="287"/>
      <c r="D2" s="287"/>
      <c r="E2" s="287"/>
      <c r="F2" s="190" t="s">
        <v>146</v>
      </c>
      <c r="G2" s="287"/>
      <c r="H2" s="287"/>
      <c r="I2" s="287"/>
      <c r="J2" s="288" t="s">
        <v>1</v>
      </c>
      <c r="K2" s="240">
        <v>81</v>
      </c>
      <c r="L2" s="287"/>
      <c r="M2" s="286" t="s">
        <v>16</v>
      </c>
      <c r="N2" s="289">
        <f>N12+I18</f>
        <v>1.26287875</v>
      </c>
    </row>
    <row r="3" spans="1:14" x14ac:dyDescent="0.3">
      <c r="A3" s="290" t="s">
        <v>3</v>
      </c>
      <c r="B3" s="287" t="s">
        <v>150</v>
      </c>
      <c r="C3" s="240" t="s">
        <v>237</v>
      </c>
      <c r="D3" s="291" t="s">
        <v>6</v>
      </c>
      <c r="E3" s="287"/>
      <c r="F3" s="287"/>
      <c r="G3" s="287"/>
      <c r="H3" s="287"/>
      <c r="I3" s="287"/>
      <c r="J3" s="287"/>
      <c r="K3" s="287"/>
      <c r="L3" s="287"/>
      <c r="M3" s="290" t="s">
        <v>4</v>
      </c>
      <c r="N3" s="292">
        <v>2</v>
      </c>
    </row>
    <row r="4" spans="1:14" x14ac:dyDescent="0.3">
      <c r="A4" s="290" t="s">
        <v>5</v>
      </c>
      <c r="B4" s="190" t="s">
        <v>244</v>
      </c>
      <c r="C4" s="287"/>
      <c r="D4" s="290" t="s">
        <v>8</v>
      </c>
      <c r="E4" s="287"/>
      <c r="F4" s="287"/>
      <c r="G4" s="287"/>
      <c r="H4" s="287"/>
      <c r="I4" s="287"/>
      <c r="J4" s="286" t="s">
        <v>6</v>
      </c>
      <c r="K4" s="287"/>
      <c r="L4" s="287"/>
      <c r="M4" s="287"/>
      <c r="N4" s="287"/>
    </row>
    <row r="5" spans="1:14" x14ac:dyDescent="0.3">
      <c r="A5" s="290" t="s">
        <v>15</v>
      </c>
      <c r="B5" s="169" t="s">
        <v>313</v>
      </c>
      <c r="C5" s="287"/>
      <c r="D5" s="290" t="s">
        <v>12</v>
      </c>
      <c r="E5" s="287"/>
      <c r="F5" s="287"/>
      <c r="G5" s="287"/>
      <c r="H5" s="287"/>
      <c r="I5" s="287"/>
      <c r="J5" s="290" t="s">
        <v>8</v>
      </c>
      <c r="K5" s="287"/>
      <c r="L5" s="287"/>
      <c r="M5" s="286" t="s">
        <v>9</v>
      </c>
      <c r="N5" s="289">
        <f>N2*N3</f>
        <v>2.5257575000000001</v>
      </c>
    </row>
    <row r="6" spans="1:14" x14ac:dyDescent="0.3">
      <c r="A6" s="290" t="s">
        <v>7</v>
      </c>
      <c r="B6" s="293" t="s">
        <v>314</v>
      </c>
      <c r="C6" s="287"/>
      <c r="D6" s="287"/>
      <c r="E6" s="287"/>
      <c r="F6" s="287"/>
      <c r="G6" s="287"/>
      <c r="H6" s="287"/>
      <c r="I6" s="287"/>
      <c r="J6" s="290" t="s">
        <v>12</v>
      </c>
      <c r="K6" s="287"/>
      <c r="L6" s="287"/>
      <c r="M6" s="287"/>
      <c r="N6" s="287"/>
    </row>
    <row r="7" spans="1:14" x14ac:dyDescent="0.3">
      <c r="A7" s="290" t="s">
        <v>10</v>
      </c>
      <c r="B7" s="287" t="s">
        <v>11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</row>
    <row r="8" spans="1:14" x14ac:dyDescent="0.3">
      <c r="A8" s="290" t="s">
        <v>13</v>
      </c>
      <c r="B8" s="287" t="s">
        <v>216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</row>
    <row r="9" spans="1:14" x14ac:dyDescent="0.3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</row>
    <row r="10" spans="1:14" x14ac:dyDescent="0.3">
      <c r="A10" s="294" t="s">
        <v>14</v>
      </c>
      <c r="B10" s="295" t="s">
        <v>20</v>
      </c>
      <c r="C10" s="295" t="s">
        <v>21</v>
      </c>
      <c r="D10" s="295" t="s">
        <v>22</v>
      </c>
      <c r="E10" s="295" t="s">
        <v>23</v>
      </c>
      <c r="F10" s="295" t="s">
        <v>24</v>
      </c>
      <c r="G10" s="295" t="s">
        <v>25</v>
      </c>
      <c r="H10" s="295" t="s">
        <v>26</v>
      </c>
      <c r="I10" s="295" t="s">
        <v>27</v>
      </c>
      <c r="J10" s="295" t="s">
        <v>28</v>
      </c>
      <c r="K10" s="295" t="s">
        <v>29</v>
      </c>
      <c r="L10" s="295" t="s">
        <v>30</v>
      </c>
      <c r="M10" s="295" t="s">
        <v>17</v>
      </c>
      <c r="N10" s="295" t="s">
        <v>18</v>
      </c>
    </row>
    <row r="11" spans="1:14" ht="28.8" x14ac:dyDescent="0.3">
      <c r="A11" s="296">
        <v>10</v>
      </c>
      <c r="B11" s="199" t="s">
        <v>32</v>
      </c>
      <c r="C11" s="308" t="s">
        <v>198</v>
      </c>
      <c r="D11" s="172">
        <v>2.25</v>
      </c>
      <c r="E11" s="312">
        <f>J11*K11*L11</f>
        <v>4.0034999999999994E-2</v>
      </c>
      <c r="F11" s="297" t="s">
        <v>179</v>
      </c>
      <c r="G11" s="297"/>
      <c r="H11" s="300"/>
      <c r="I11" s="301" t="s">
        <v>307</v>
      </c>
      <c r="J11" s="301">
        <f>20*102*0.000001</f>
        <v>2.0399999999999997E-3</v>
      </c>
      <c r="K11" s="301">
        <v>2.5000000000000001E-3</v>
      </c>
      <c r="L11" s="302">
        <v>7850</v>
      </c>
      <c r="M11" s="303">
        <v>1</v>
      </c>
      <c r="N11" s="298">
        <f>M11*L11*K11*J11*D11</f>
        <v>9.0078749999999985E-2</v>
      </c>
    </row>
    <row r="12" spans="1:14" x14ac:dyDescent="0.3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 t="s">
        <v>18</v>
      </c>
      <c r="N12" s="306">
        <f>N11</f>
        <v>9.0078749999999985E-2</v>
      </c>
    </row>
    <row r="13" spans="1:14" x14ac:dyDescent="0.3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</row>
    <row r="14" spans="1:14" x14ac:dyDescent="0.3">
      <c r="A14" s="294" t="s">
        <v>14</v>
      </c>
      <c r="B14" s="295" t="s">
        <v>34</v>
      </c>
      <c r="C14" s="295" t="s">
        <v>21</v>
      </c>
      <c r="D14" s="295" t="s">
        <v>22</v>
      </c>
      <c r="E14" s="295" t="s">
        <v>35</v>
      </c>
      <c r="F14" s="295" t="s">
        <v>17</v>
      </c>
      <c r="G14" s="295" t="s">
        <v>36</v>
      </c>
      <c r="H14" s="295" t="s">
        <v>37</v>
      </c>
      <c r="I14" s="295" t="s">
        <v>18</v>
      </c>
      <c r="J14" s="304"/>
      <c r="K14" s="304"/>
      <c r="L14" s="304"/>
      <c r="M14" s="304"/>
      <c r="N14" s="304"/>
    </row>
    <row r="15" spans="1:14" ht="43.2" x14ac:dyDescent="0.3">
      <c r="A15" s="296">
        <v>10</v>
      </c>
      <c r="B15" s="209" t="s">
        <v>52</v>
      </c>
      <c r="C15" s="208" t="s">
        <v>226</v>
      </c>
      <c r="D15" s="172">
        <v>1.3</v>
      </c>
      <c r="E15" s="220" t="s">
        <v>35</v>
      </c>
      <c r="F15" s="297">
        <v>1</v>
      </c>
      <c r="G15" s="297" t="s">
        <v>308</v>
      </c>
      <c r="H15" s="297">
        <f>1/2</f>
        <v>0.5</v>
      </c>
      <c r="I15" s="298">
        <f>D15*F15*H15</f>
        <v>0.65</v>
      </c>
      <c r="J15" s="287"/>
      <c r="K15" s="287"/>
      <c r="L15" s="287"/>
      <c r="M15" s="287"/>
      <c r="N15" s="287"/>
    </row>
    <row r="16" spans="1:14" x14ac:dyDescent="0.3">
      <c r="A16" s="296">
        <v>20</v>
      </c>
      <c r="B16" s="198" t="s">
        <v>309</v>
      </c>
      <c r="C16" s="198" t="s">
        <v>310</v>
      </c>
      <c r="D16" s="172">
        <v>0.01</v>
      </c>
      <c r="E16" s="198" t="s">
        <v>56</v>
      </c>
      <c r="F16" s="219">
        <f>0.64+2*0.82</f>
        <v>2.2799999999999998</v>
      </c>
      <c r="G16" s="209"/>
      <c r="H16" s="208">
        <v>1</v>
      </c>
      <c r="I16" s="298">
        <f>D16*F16*H16</f>
        <v>2.2799999999999997E-2</v>
      </c>
      <c r="J16" s="287"/>
      <c r="K16" s="287"/>
      <c r="L16" s="287"/>
      <c r="M16" s="287"/>
      <c r="N16" s="287"/>
    </row>
    <row r="17" spans="1:14" ht="28.8" x14ac:dyDescent="0.3">
      <c r="A17" s="296">
        <v>30</v>
      </c>
      <c r="B17" s="209" t="s">
        <v>311</v>
      </c>
      <c r="C17" s="170" t="s">
        <v>312</v>
      </c>
      <c r="D17" s="236">
        <v>0.25</v>
      </c>
      <c r="E17" s="221" t="s">
        <v>312</v>
      </c>
      <c r="F17" s="297">
        <v>2</v>
      </c>
      <c r="G17" s="209"/>
      <c r="H17" s="297">
        <v>1</v>
      </c>
      <c r="I17" s="298">
        <f>D17*F17*H17</f>
        <v>0.5</v>
      </c>
      <c r="J17" s="287"/>
      <c r="K17" s="287"/>
      <c r="L17" s="287"/>
      <c r="M17" s="287"/>
      <c r="N17" s="287"/>
    </row>
    <row r="18" spans="1:14" x14ac:dyDescent="0.3">
      <c r="A18" s="304"/>
      <c r="B18" s="304"/>
      <c r="C18" s="304"/>
      <c r="D18" s="304"/>
      <c r="E18" s="304"/>
      <c r="F18" s="304"/>
      <c r="G18" s="304"/>
      <c r="H18" s="305" t="s">
        <v>18</v>
      </c>
      <c r="I18" s="307">
        <f>SUM(I15:I17)</f>
        <v>1.1728000000000001</v>
      </c>
      <c r="J18" s="304"/>
      <c r="K18" s="304"/>
      <c r="L18" s="304"/>
      <c r="M18" s="304"/>
      <c r="N18" s="304"/>
    </row>
    <row r="19" spans="1:14" x14ac:dyDescent="0.3">
      <c r="A19" s="287"/>
      <c r="B19" s="287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</row>
    <row r="20" spans="1:14" x14ac:dyDescent="0.3">
      <c r="A20" s="287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</row>
    <row r="21" spans="1:14" x14ac:dyDescent="0.3">
      <c r="A21" s="287"/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</row>
    <row r="22" spans="1:14" x14ac:dyDescent="0.3">
      <c r="A22" s="287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</row>
  </sheetData>
  <hyperlinks>
    <hyperlink ref="F2" location="BOM!A1" display="Back to BOM"/>
    <hyperlink ref="B4" location="ST_A0100!A1" display="Steering Rack"/>
    <hyperlink ref="D3" location="'ST 02006 Drawing'!A1" display="FileLink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C23" sqref="C23"/>
    </sheetView>
  </sheetViews>
  <sheetFormatPr baseColWidth="10" defaultRowHeight="14.4" x14ac:dyDescent="0.3"/>
  <cols>
    <col min="2" max="2" width="22.6640625" bestFit="1" customWidth="1"/>
    <col min="3" max="3" width="32.77734375" bestFit="1" customWidth="1"/>
  </cols>
  <sheetData>
    <row r="2" spans="1:15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193">
        <f>N13+I21</f>
        <v>4.9362499999999994</v>
      </c>
      <c r="O2" s="72"/>
    </row>
    <row r="3" spans="1:15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  <c r="O3" s="72"/>
    </row>
    <row r="4" spans="1:15" x14ac:dyDescent="0.3">
      <c r="A4" s="189" t="s">
        <v>5</v>
      </c>
      <c r="B4" s="190" t="s">
        <v>150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  <c r="O4" s="72"/>
    </row>
    <row r="5" spans="1:15" x14ac:dyDescent="0.3">
      <c r="A5" s="189" t="s">
        <v>15</v>
      </c>
      <c r="B5" s="195" t="s">
        <v>154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193">
        <f>N2*N3</f>
        <v>4.9362499999999994</v>
      </c>
      <c r="O5" s="72"/>
    </row>
    <row r="6" spans="1:15" x14ac:dyDescent="0.3">
      <c r="A6" s="189" t="s">
        <v>7</v>
      </c>
      <c r="B6" s="169" t="s">
        <v>317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  <c r="O6" s="72"/>
    </row>
    <row r="7" spans="1:15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72"/>
    </row>
    <row r="8" spans="1:15" x14ac:dyDescent="0.3">
      <c r="A8" s="189" t="s">
        <v>13</v>
      </c>
      <c r="B8" s="169" t="s">
        <v>246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72"/>
    </row>
    <row r="9" spans="1:15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72"/>
    </row>
    <row r="10" spans="1:15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  <c r="O10" s="165"/>
    </row>
    <row r="11" spans="1:15" x14ac:dyDescent="0.3">
      <c r="A11" s="270">
        <v>10</v>
      </c>
      <c r="B11" s="269" t="s">
        <v>155</v>
      </c>
      <c r="C11" s="271" t="s">
        <v>156</v>
      </c>
      <c r="D11" s="272">
        <v>2.25</v>
      </c>
      <c r="E11" s="273">
        <v>0.22500000000000001</v>
      </c>
      <c r="F11" s="273" t="s">
        <v>179</v>
      </c>
      <c r="G11" s="273"/>
      <c r="H11" s="274"/>
      <c r="I11" s="275"/>
      <c r="J11" s="276"/>
      <c r="K11" s="277">
        <v>0.32800000000000001</v>
      </c>
      <c r="L11" s="269">
        <v>7850</v>
      </c>
      <c r="M11" s="278">
        <v>1</v>
      </c>
      <c r="N11" s="272">
        <f>E11*D11*M11</f>
        <v>0.50624999999999998</v>
      </c>
      <c r="O11" s="167"/>
    </row>
    <row r="12" spans="1:15" x14ac:dyDescent="0.3">
      <c r="A12" s="270">
        <v>20</v>
      </c>
      <c r="B12" s="269" t="s">
        <v>155</v>
      </c>
      <c r="C12" s="271" t="s">
        <v>245</v>
      </c>
      <c r="D12" s="272">
        <v>2.25</v>
      </c>
      <c r="E12" s="279">
        <f>J12*K12*L12</f>
        <v>0.11539499999999998</v>
      </c>
      <c r="F12" s="273" t="s">
        <v>179</v>
      </c>
      <c r="G12" s="273"/>
      <c r="H12" s="274"/>
      <c r="I12" s="275" t="s">
        <v>247</v>
      </c>
      <c r="J12" s="276">
        <v>4.8999999999999998E-4</v>
      </c>
      <c r="K12" s="277">
        <v>0.03</v>
      </c>
      <c r="L12" s="269">
        <v>7850</v>
      </c>
      <c r="M12" s="278">
        <v>1</v>
      </c>
      <c r="N12" s="272">
        <f>D12*E12</f>
        <v>0.25963874999999997</v>
      </c>
      <c r="O12" s="167"/>
    </row>
    <row r="13" spans="1:15" x14ac:dyDescent="0.3">
      <c r="A13" s="182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234" t="s">
        <v>18</v>
      </c>
      <c r="N13" s="259">
        <f>SUM(N11:N11)</f>
        <v>0.50624999999999998</v>
      </c>
      <c r="O13" s="165"/>
    </row>
    <row r="14" spans="1:15" x14ac:dyDescent="0.3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5"/>
    </row>
    <row r="15" spans="1:15" x14ac:dyDescent="0.3">
      <c r="A15" s="197" t="s">
        <v>14</v>
      </c>
      <c r="B15" s="197" t="s">
        <v>34</v>
      </c>
      <c r="C15" s="197" t="s">
        <v>21</v>
      </c>
      <c r="D15" s="197" t="s">
        <v>22</v>
      </c>
      <c r="E15" s="197" t="s">
        <v>35</v>
      </c>
      <c r="F15" s="197" t="s">
        <v>17</v>
      </c>
      <c r="G15" s="197" t="s">
        <v>36</v>
      </c>
      <c r="H15" s="197" t="s">
        <v>37</v>
      </c>
      <c r="I15" s="197" t="s">
        <v>18</v>
      </c>
      <c r="J15" s="182"/>
      <c r="K15" s="182"/>
      <c r="L15" s="182"/>
      <c r="M15" s="182"/>
      <c r="N15" s="182"/>
      <c r="O15" s="165"/>
    </row>
    <row r="16" spans="1:15" ht="28.8" x14ac:dyDescent="0.3">
      <c r="A16" s="208">
        <v>10</v>
      </c>
      <c r="B16" s="268" t="s">
        <v>52</v>
      </c>
      <c r="C16" s="260" t="s">
        <v>251</v>
      </c>
      <c r="D16" s="262">
        <v>1.3</v>
      </c>
      <c r="E16" s="209" t="s">
        <v>38</v>
      </c>
      <c r="F16" s="208">
        <v>1</v>
      </c>
      <c r="G16" s="208"/>
      <c r="H16" s="208"/>
      <c r="I16" s="265">
        <f>D16*F16</f>
        <v>1.3</v>
      </c>
      <c r="J16" s="169"/>
      <c r="K16" s="169"/>
      <c r="L16" s="169"/>
      <c r="M16" s="169"/>
      <c r="N16" s="169"/>
      <c r="O16" s="163"/>
    </row>
    <row r="17" spans="1:15" ht="28.8" x14ac:dyDescent="0.3">
      <c r="A17" s="208">
        <v>20</v>
      </c>
      <c r="B17" s="268" t="s">
        <v>203</v>
      </c>
      <c r="C17" s="266" t="s">
        <v>249</v>
      </c>
      <c r="D17" s="262">
        <v>0.35</v>
      </c>
      <c r="E17" s="266" t="s">
        <v>250</v>
      </c>
      <c r="F17" s="266">
        <v>1</v>
      </c>
      <c r="G17" s="266"/>
      <c r="H17" s="266"/>
      <c r="I17" s="265">
        <f>D17*F17</f>
        <v>0.35</v>
      </c>
      <c r="J17" s="169"/>
      <c r="K17" s="169"/>
      <c r="L17" s="169"/>
      <c r="M17" s="169"/>
      <c r="N17" s="169"/>
      <c r="O17" s="165"/>
    </row>
    <row r="18" spans="1:15" x14ac:dyDescent="0.3">
      <c r="A18" s="208">
        <v>30</v>
      </c>
      <c r="B18" s="267" t="s">
        <v>204</v>
      </c>
      <c r="C18" s="261" t="s">
        <v>248</v>
      </c>
      <c r="D18" s="262">
        <v>0.5</v>
      </c>
      <c r="E18" s="263" t="s">
        <v>56</v>
      </c>
      <c r="F18" s="264">
        <v>1</v>
      </c>
      <c r="G18" s="264"/>
      <c r="H18" s="264"/>
      <c r="I18" s="265">
        <f>D18*K12*100</f>
        <v>1.5</v>
      </c>
      <c r="J18" s="169"/>
      <c r="K18" s="169"/>
      <c r="L18" s="169"/>
      <c r="M18" s="169"/>
      <c r="N18" s="169"/>
      <c r="O18" s="166"/>
    </row>
    <row r="19" spans="1:15" ht="28.8" x14ac:dyDescent="0.3">
      <c r="A19" s="208">
        <v>40</v>
      </c>
      <c r="B19" s="268" t="s">
        <v>203</v>
      </c>
      <c r="C19" s="266" t="s">
        <v>249</v>
      </c>
      <c r="D19" s="262">
        <v>0.35</v>
      </c>
      <c r="E19" s="266" t="s">
        <v>250</v>
      </c>
      <c r="F19" s="266">
        <v>1</v>
      </c>
      <c r="G19" s="266"/>
      <c r="H19" s="266"/>
      <c r="I19" s="265">
        <f>D19*F19</f>
        <v>0.35</v>
      </c>
      <c r="J19" s="169"/>
      <c r="K19" s="169"/>
      <c r="L19" s="169"/>
      <c r="M19" s="169"/>
      <c r="N19" s="169"/>
      <c r="O19" s="165"/>
    </row>
    <row r="20" spans="1:15" ht="28.8" x14ac:dyDescent="0.3">
      <c r="A20" s="208">
        <v>50</v>
      </c>
      <c r="B20" s="209" t="s">
        <v>170</v>
      </c>
      <c r="C20" s="260" t="s">
        <v>252</v>
      </c>
      <c r="D20" s="262">
        <v>0.15</v>
      </c>
      <c r="E20" s="209" t="s">
        <v>56</v>
      </c>
      <c r="F20" s="208">
        <v>1</v>
      </c>
      <c r="G20" s="208"/>
      <c r="H20" s="208"/>
      <c r="I20" s="211">
        <f>6.2*D20</f>
        <v>0.92999999999999994</v>
      </c>
      <c r="J20" s="169"/>
      <c r="K20" s="169"/>
      <c r="L20" s="169"/>
      <c r="M20" s="169"/>
      <c r="N20" s="169"/>
      <c r="O20" s="165"/>
    </row>
    <row r="21" spans="1:15" x14ac:dyDescent="0.3">
      <c r="A21" s="182"/>
      <c r="B21" s="182"/>
      <c r="C21" s="182"/>
      <c r="D21" s="182"/>
      <c r="E21" s="182"/>
      <c r="F21" s="182"/>
      <c r="G21" s="182"/>
      <c r="H21" s="251" t="s">
        <v>18</v>
      </c>
      <c r="I21" s="252">
        <f>SUM(I16:I20)</f>
        <v>4.43</v>
      </c>
      <c r="J21" s="182"/>
      <c r="K21" s="182"/>
      <c r="L21" s="182"/>
      <c r="M21" s="182"/>
      <c r="N21" s="182"/>
      <c r="O21" s="165"/>
    </row>
    <row r="22" spans="1:15" x14ac:dyDescent="0.3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5"/>
    </row>
    <row r="23" spans="1:15" x14ac:dyDescent="0.3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65"/>
    </row>
    <row r="24" spans="1:15" x14ac:dyDescent="0.3">
      <c r="A24" s="169"/>
      <c r="B24" s="169"/>
      <c r="C24" s="169"/>
      <c r="D24" s="253"/>
      <c r="E24" s="169"/>
      <c r="F24" s="254"/>
      <c r="G24" s="169"/>
      <c r="H24" s="255"/>
      <c r="I24" s="256"/>
      <c r="J24" s="193"/>
      <c r="K24" s="169"/>
      <c r="L24" s="169"/>
      <c r="M24" s="169"/>
      <c r="N24" s="169"/>
      <c r="O24" s="165"/>
    </row>
    <row r="25" spans="1:15" x14ac:dyDescent="0.3">
      <c r="A25" s="182"/>
      <c r="B25" s="182"/>
      <c r="C25" s="182"/>
      <c r="D25" s="182"/>
      <c r="E25" s="182"/>
      <c r="F25" s="182"/>
      <c r="G25" s="182"/>
      <c r="H25" s="182"/>
      <c r="I25" s="257"/>
      <c r="J25" s="258"/>
      <c r="K25" s="182"/>
      <c r="L25" s="182"/>
      <c r="M25" s="182"/>
      <c r="N25" s="182"/>
      <c r="O25" s="165"/>
    </row>
    <row r="26" spans="1:15" x14ac:dyDescent="0.3">
      <c r="A26" s="169"/>
      <c r="B26" s="169"/>
      <c r="C26" s="169"/>
      <c r="D26" s="169"/>
      <c r="E26" s="169"/>
      <c r="F26" s="169"/>
      <c r="G26" s="169"/>
      <c r="H26" s="187"/>
      <c r="I26" s="188"/>
      <c r="J26" s="169"/>
      <c r="K26" s="169"/>
      <c r="L26" s="169"/>
      <c r="M26" s="169"/>
      <c r="N26" s="169"/>
      <c r="O26" s="166"/>
    </row>
    <row r="27" spans="1:15" x14ac:dyDescent="0.3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65"/>
    </row>
    <row r="28" spans="1:15" x14ac:dyDescent="0.3">
      <c r="A28" s="169"/>
      <c r="B28" s="169"/>
      <c r="C28" s="169"/>
      <c r="D28" s="253"/>
      <c r="E28" s="169"/>
      <c r="F28" s="169"/>
      <c r="G28" s="169"/>
      <c r="H28" s="169"/>
      <c r="I28" s="193"/>
      <c r="J28" s="169"/>
      <c r="K28" s="169"/>
      <c r="L28" s="169"/>
      <c r="M28" s="169"/>
      <c r="N28" s="169"/>
      <c r="O28" s="165"/>
    </row>
    <row r="29" spans="1:15" x14ac:dyDescent="0.3">
      <c r="A29" s="182"/>
      <c r="B29" s="182"/>
      <c r="C29" s="182"/>
      <c r="D29" s="182"/>
      <c r="E29" s="182"/>
      <c r="F29" s="182"/>
      <c r="G29" s="182"/>
      <c r="H29" s="257"/>
      <c r="I29" s="258"/>
      <c r="J29" s="182"/>
      <c r="K29" s="182"/>
      <c r="L29" s="182"/>
      <c r="M29" s="182"/>
      <c r="N29" s="182"/>
      <c r="O29" s="165"/>
    </row>
    <row r="30" spans="1:15" x14ac:dyDescent="0.3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</row>
    <row r="31" spans="1:15" x14ac:dyDescent="0.3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</row>
    <row r="32" spans="1:15" x14ac:dyDescent="0.3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</row>
    <row r="33" spans="1:12" x14ac:dyDescent="0.3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</row>
  </sheetData>
  <hyperlinks>
    <hyperlink ref="F2" location="BOM!A1" display="Back to BOM"/>
    <hyperlink ref="B4" location="'ST Assembly'!A1" display="Steering System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C3" sqref="C3"/>
    </sheetView>
  </sheetViews>
  <sheetFormatPr baseColWidth="10" defaultRowHeight="14.4" x14ac:dyDescent="0.3"/>
  <cols>
    <col min="2" max="2" width="25.77734375" customWidth="1"/>
    <col min="3" max="3" width="42.109375" bestFit="1" customWidth="1"/>
  </cols>
  <sheetData>
    <row r="2" spans="1:15" x14ac:dyDescent="0.3">
      <c r="A2" s="132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3" t="s">
        <v>1</v>
      </c>
      <c r="K2" s="107">
        <v>81</v>
      </c>
      <c r="L2" s="66"/>
      <c r="M2" s="132" t="s">
        <v>16</v>
      </c>
      <c r="N2" s="84">
        <f>E14+N19+I25+J29+I33</f>
        <v>83.088099566627889</v>
      </c>
      <c r="O2" s="72"/>
    </row>
    <row r="3" spans="1:15" x14ac:dyDescent="0.3">
      <c r="A3" s="132" t="s">
        <v>3</v>
      </c>
      <c r="B3" s="16" t="str">
        <f>'ST Assembly'!B3</f>
        <v>Steering System</v>
      </c>
      <c r="C3" s="66"/>
      <c r="D3" s="132" t="s">
        <v>6</v>
      </c>
      <c r="E3" s="116"/>
      <c r="F3" s="66"/>
      <c r="G3" s="66"/>
      <c r="H3" s="66"/>
      <c r="I3" s="66"/>
      <c r="J3" s="66"/>
      <c r="K3" s="66"/>
      <c r="L3" s="66"/>
      <c r="M3" s="132" t="s">
        <v>4</v>
      </c>
      <c r="N3" s="101">
        <v>1</v>
      </c>
      <c r="O3" s="72"/>
    </row>
    <row r="4" spans="1:15" x14ac:dyDescent="0.3">
      <c r="A4" s="132" t="s">
        <v>5</v>
      </c>
      <c r="B4" s="115" t="str">
        <f>'ST Assembly'!B3</f>
        <v>Steering System</v>
      </c>
      <c r="C4" s="66"/>
      <c r="D4" s="132" t="s">
        <v>8</v>
      </c>
      <c r="E4" s="66"/>
      <c r="F4" s="66"/>
      <c r="G4" s="66"/>
      <c r="H4" s="66"/>
      <c r="I4" s="66"/>
      <c r="J4" s="134" t="s">
        <v>6</v>
      </c>
      <c r="K4" s="66"/>
      <c r="L4" s="66"/>
      <c r="M4" s="66"/>
      <c r="N4" s="66"/>
      <c r="O4" s="72"/>
    </row>
    <row r="5" spans="1:15" x14ac:dyDescent="0.3">
      <c r="A5" s="132" t="s">
        <v>15</v>
      </c>
      <c r="B5" t="s">
        <v>158</v>
      </c>
      <c r="C5" s="66"/>
      <c r="D5" s="132" t="s">
        <v>12</v>
      </c>
      <c r="E5" s="66"/>
      <c r="F5" s="66"/>
      <c r="G5" s="66"/>
      <c r="H5" s="66"/>
      <c r="I5" s="66"/>
      <c r="J5" s="134" t="s">
        <v>8</v>
      </c>
      <c r="K5" s="66"/>
      <c r="L5" s="66"/>
      <c r="M5" s="132" t="s">
        <v>9</v>
      </c>
      <c r="N5" s="84">
        <f>N3*N2</f>
        <v>83.088099566627889</v>
      </c>
      <c r="O5" s="72"/>
    </row>
    <row r="6" spans="1:15" x14ac:dyDescent="0.3">
      <c r="A6" s="132" t="s">
        <v>7</v>
      </c>
      <c r="B6" s="19" t="s">
        <v>157</v>
      </c>
      <c r="C6" s="66"/>
      <c r="D6" s="66"/>
      <c r="E6" s="66"/>
      <c r="F6" s="66"/>
      <c r="G6" s="66"/>
      <c r="H6" s="66"/>
      <c r="I6" s="66"/>
      <c r="J6" s="134" t="s">
        <v>12</v>
      </c>
      <c r="K6" s="66"/>
      <c r="L6" s="66"/>
      <c r="M6" s="66"/>
      <c r="N6" s="66"/>
      <c r="O6" s="72"/>
    </row>
    <row r="7" spans="1:15" x14ac:dyDescent="0.3">
      <c r="A7" s="132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2" t="s">
        <v>13</v>
      </c>
      <c r="B8" s="169" t="s">
        <v>175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78"/>
      <c r="B9" s="28"/>
      <c r="C9" s="28"/>
      <c r="D9" s="28"/>
      <c r="E9" s="28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68" t="s">
        <v>14</v>
      </c>
      <c r="B10" s="168" t="s">
        <v>15</v>
      </c>
      <c r="C10" s="168" t="s">
        <v>16</v>
      </c>
      <c r="D10" s="168" t="s">
        <v>17</v>
      </c>
      <c r="E10" s="168" t="s">
        <v>18</v>
      </c>
      <c r="F10" s="169"/>
      <c r="G10" s="169"/>
      <c r="H10" s="169"/>
      <c r="I10" s="169"/>
      <c r="J10" s="169"/>
      <c r="K10" s="169"/>
      <c r="L10" s="169"/>
      <c r="M10" s="169"/>
      <c r="N10" s="169"/>
      <c r="O10" s="165"/>
    </row>
    <row r="11" spans="1:15" x14ac:dyDescent="0.3">
      <c r="A11" s="170">
        <v>10</v>
      </c>
      <c r="B11" s="116" t="s">
        <v>159</v>
      </c>
      <c r="C11" s="172">
        <f>ST_03001!N2</f>
        <v>32.834957426641211</v>
      </c>
      <c r="D11" s="173">
        <v>1</v>
      </c>
      <c r="E11" s="174">
        <f>C11*D11</f>
        <v>32.834957426641211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7"/>
    </row>
    <row r="12" spans="1:15" x14ac:dyDescent="0.3">
      <c r="A12" s="170">
        <v>20</v>
      </c>
      <c r="B12" s="171" t="s">
        <v>160</v>
      </c>
      <c r="C12" s="172">
        <f>ST_03002!N5</f>
        <v>34.469065601320004</v>
      </c>
      <c r="D12" s="173">
        <v>1</v>
      </c>
      <c r="E12" s="174">
        <f>C12*D12</f>
        <v>34.469065601320004</v>
      </c>
      <c r="F12" s="169"/>
      <c r="G12" s="169"/>
      <c r="H12" s="169"/>
      <c r="I12" s="169"/>
      <c r="J12" s="169"/>
      <c r="K12" s="169"/>
      <c r="L12" s="169"/>
      <c r="M12" s="169"/>
      <c r="N12" s="169"/>
      <c r="O12" s="165"/>
    </row>
    <row r="13" spans="1:15" x14ac:dyDescent="0.3">
      <c r="A13" s="170">
        <v>30</v>
      </c>
      <c r="B13" s="171" t="s">
        <v>161</v>
      </c>
      <c r="C13" s="172">
        <f>ST_03003!N5</f>
        <v>12.940409872</v>
      </c>
      <c r="D13" s="173">
        <v>1</v>
      </c>
      <c r="E13" s="174">
        <f>C13*D13</f>
        <v>12.940409872</v>
      </c>
      <c r="F13" s="169"/>
      <c r="G13" s="169"/>
      <c r="H13" s="169"/>
      <c r="I13" s="169"/>
      <c r="J13" s="169"/>
      <c r="K13" s="169"/>
      <c r="L13" s="169"/>
      <c r="M13" s="169"/>
      <c r="N13" s="169"/>
      <c r="O13" s="165"/>
    </row>
    <row r="14" spans="1:15" x14ac:dyDescent="0.3">
      <c r="A14" s="169"/>
      <c r="B14" s="169"/>
      <c r="C14" s="169"/>
      <c r="D14" s="175" t="s">
        <v>18</v>
      </c>
      <c r="E14" s="176">
        <f>SUM(E11:E13)</f>
        <v>80.244432899961225</v>
      </c>
      <c r="F14" s="169"/>
      <c r="G14" s="169"/>
      <c r="H14" s="169"/>
      <c r="I14" s="169"/>
      <c r="J14" s="169"/>
      <c r="K14" s="169"/>
      <c r="L14" s="169"/>
      <c r="M14" s="169"/>
      <c r="N14" s="169"/>
      <c r="O14" s="165"/>
    </row>
    <row r="15" spans="1:15" x14ac:dyDescent="0.3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3"/>
    </row>
    <row r="16" spans="1:15" x14ac:dyDescent="0.3">
      <c r="A16" s="168" t="s">
        <v>14</v>
      </c>
      <c r="B16" s="168" t="s">
        <v>20</v>
      </c>
      <c r="C16" s="168" t="s">
        <v>21</v>
      </c>
      <c r="D16" s="168" t="s">
        <v>22</v>
      </c>
      <c r="E16" s="168" t="s">
        <v>23</v>
      </c>
      <c r="F16" s="168" t="s">
        <v>24</v>
      </c>
      <c r="G16" s="168" t="s">
        <v>25</v>
      </c>
      <c r="H16" s="168" t="s">
        <v>26</v>
      </c>
      <c r="I16" s="168" t="s">
        <v>27</v>
      </c>
      <c r="J16" s="168" t="s">
        <v>28</v>
      </c>
      <c r="K16" s="168" t="s">
        <v>29</v>
      </c>
      <c r="L16" s="168" t="s">
        <v>30</v>
      </c>
      <c r="M16" s="168" t="s">
        <v>17</v>
      </c>
      <c r="N16" s="168" t="s">
        <v>18</v>
      </c>
      <c r="O16" s="165"/>
    </row>
    <row r="17" spans="1:15" x14ac:dyDescent="0.3">
      <c r="A17" s="170">
        <v>10</v>
      </c>
      <c r="B17" s="170" t="s">
        <v>162</v>
      </c>
      <c r="C17" s="170" t="s">
        <v>163</v>
      </c>
      <c r="D17" s="172">
        <v>1</v>
      </c>
      <c r="E17" s="170"/>
      <c r="F17" s="170"/>
      <c r="G17" s="170"/>
      <c r="H17" s="177"/>
      <c r="I17" s="178"/>
      <c r="J17" s="179"/>
      <c r="K17" s="177"/>
      <c r="L17" s="177"/>
      <c r="M17" s="180">
        <v>1</v>
      </c>
      <c r="N17" s="181">
        <f>IF(J17="",D17*M17,D17*J17*K17*L17*M17)</f>
        <v>1</v>
      </c>
      <c r="O17" s="166"/>
    </row>
    <row r="18" spans="1:15" x14ac:dyDescent="0.3">
      <c r="A18" s="170">
        <v>20</v>
      </c>
      <c r="B18" s="170" t="s">
        <v>164</v>
      </c>
      <c r="C18" s="170" t="s">
        <v>165</v>
      </c>
      <c r="D18" s="172">
        <v>0.06</v>
      </c>
      <c r="E18" s="170"/>
      <c r="F18" s="170"/>
      <c r="G18" s="170"/>
      <c r="H18" s="177"/>
      <c r="I18" s="178"/>
      <c r="J18" s="179"/>
      <c r="K18" s="177"/>
      <c r="L18" s="177"/>
      <c r="M18" s="180">
        <v>4</v>
      </c>
      <c r="N18" s="181">
        <f>IF(J18="",D18*M18,D18*J18*K18*L18*M18)</f>
        <v>0.24</v>
      </c>
      <c r="O18" s="165"/>
    </row>
    <row r="19" spans="1:15" x14ac:dyDescent="0.3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75" t="s">
        <v>18</v>
      </c>
      <c r="N19" s="176">
        <f>SUM(N17:N18)</f>
        <v>1.24</v>
      </c>
      <c r="O19" s="165"/>
    </row>
    <row r="20" spans="1:15" x14ac:dyDescent="0.3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5"/>
    </row>
    <row r="21" spans="1:15" x14ac:dyDescent="0.3">
      <c r="A21" s="168" t="s">
        <v>14</v>
      </c>
      <c r="B21" s="168" t="s">
        <v>34</v>
      </c>
      <c r="C21" s="168" t="s">
        <v>21</v>
      </c>
      <c r="D21" s="168" t="s">
        <v>22</v>
      </c>
      <c r="E21" s="168" t="s">
        <v>35</v>
      </c>
      <c r="F21" s="168" t="s">
        <v>17</v>
      </c>
      <c r="G21" s="168" t="s">
        <v>36</v>
      </c>
      <c r="H21" s="168" t="s">
        <v>37</v>
      </c>
      <c r="I21" s="168" t="s">
        <v>18</v>
      </c>
      <c r="J21" s="182"/>
      <c r="K21" s="182"/>
      <c r="L21" s="182"/>
      <c r="M21" s="182"/>
      <c r="N21" s="182"/>
      <c r="O21" s="165"/>
    </row>
    <row r="22" spans="1:15" x14ac:dyDescent="0.3">
      <c r="A22" s="170">
        <v>10</v>
      </c>
      <c r="B22" s="173" t="s">
        <v>166</v>
      </c>
      <c r="C22" s="173" t="s">
        <v>167</v>
      </c>
      <c r="D22" s="172">
        <v>0.19</v>
      </c>
      <c r="E22" s="170" t="s">
        <v>38</v>
      </c>
      <c r="F22" s="170">
        <v>1</v>
      </c>
      <c r="G22" s="170"/>
      <c r="H22" s="170">
        <v>1</v>
      </c>
      <c r="I22" s="172">
        <f>D22*F22*H22</f>
        <v>0.19</v>
      </c>
      <c r="J22" s="169"/>
      <c r="K22" s="169"/>
      <c r="L22" s="169"/>
      <c r="M22" s="169"/>
      <c r="N22" s="169"/>
      <c r="O22" s="165"/>
    </row>
    <row r="23" spans="1:15" x14ac:dyDescent="0.3">
      <c r="A23" s="170">
        <v>20</v>
      </c>
      <c r="B23" s="173" t="s">
        <v>168</v>
      </c>
      <c r="C23" s="173" t="s">
        <v>169</v>
      </c>
      <c r="D23" s="172">
        <v>0.13</v>
      </c>
      <c r="E23" s="170" t="s">
        <v>38</v>
      </c>
      <c r="F23" s="170">
        <v>1</v>
      </c>
      <c r="G23" s="170"/>
      <c r="H23" s="170">
        <v>1</v>
      </c>
      <c r="I23" s="172">
        <f>D23*F23*H23</f>
        <v>0.13</v>
      </c>
      <c r="J23" s="169"/>
      <c r="K23" s="169"/>
      <c r="L23" s="169"/>
      <c r="M23" s="169"/>
      <c r="N23" s="169"/>
      <c r="O23" s="165"/>
    </row>
    <row r="24" spans="1:15" x14ac:dyDescent="0.3">
      <c r="A24" s="170">
        <v>30</v>
      </c>
      <c r="B24" s="173" t="s">
        <v>170</v>
      </c>
      <c r="C24" s="173" t="s">
        <v>171</v>
      </c>
      <c r="D24" s="172">
        <v>0.15</v>
      </c>
      <c r="E24" s="170" t="s">
        <v>56</v>
      </c>
      <c r="F24" s="170">
        <v>6.28</v>
      </c>
      <c r="G24" s="170"/>
      <c r="H24" s="170">
        <v>1</v>
      </c>
      <c r="I24" s="172">
        <f>D24*F24*H24</f>
        <v>0.94199999999999995</v>
      </c>
      <c r="J24" s="169"/>
      <c r="K24" s="169"/>
      <c r="L24" s="169"/>
      <c r="M24" s="169"/>
      <c r="N24" s="169"/>
      <c r="O24" s="165"/>
    </row>
    <row r="25" spans="1:15" x14ac:dyDescent="0.3">
      <c r="A25" s="182"/>
      <c r="B25" s="182"/>
      <c r="C25" s="182"/>
      <c r="D25" s="182"/>
      <c r="E25" s="182"/>
      <c r="F25" s="182"/>
      <c r="G25" s="182"/>
      <c r="H25" s="175" t="s">
        <v>18</v>
      </c>
      <c r="I25" s="176">
        <f>SUM(I22:I24)</f>
        <v>1.262</v>
      </c>
      <c r="J25" s="182"/>
      <c r="K25" s="182"/>
      <c r="L25" s="183"/>
      <c r="M25" s="182"/>
      <c r="N25" s="182"/>
      <c r="O25" s="165"/>
    </row>
    <row r="26" spans="1:15" x14ac:dyDescent="0.3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5"/>
    </row>
    <row r="27" spans="1:15" x14ac:dyDescent="0.3">
      <c r="A27" s="168" t="s">
        <v>14</v>
      </c>
      <c r="B27" s="168" t="s">
        <v>39</v>
      </c>
      <c r="C27" s="168" t="s">
        <v>21</v>
      </c>
      <c r="D27" s="168" t="s">
        <v>22</v>
      </c>
      <c r="E27" s="168" t="s">
        <v>23</v>
      </c>
      <c r="F27" s="168" t="s">
        <v>24</v>
      </c>
      <c r="G27" s="168" t="s">
        <v>25</v>
      </c>
      <c r="H27" s="168" t="s">
        <v>26</v>
      </c>
      <c r="I27" s="168" t="s">
        <v>17</v>
      </c>
      <c r="J27" s="168" t="s">
        <v>18</v>
      </c>
      <c r="K27" s="182"/>
      <c r="L27" s="182"/>
      <c r="M27" s="182"/>
      <c r="N27" s="182"/>
      <c r="O27" s="165"/>
    </row>
    <row r="28" spans="1:15" x14ac:dyDescent="0.3">
      <c r="A28" s="170">
        <v>10</v>
      </c>
      <c r="B28" s="170" t="s">
        <v>172</v>
      </c>
      <c r="C28" s="170" t="s">
        <v>173</v>
      </c>
      <c r="D28" s="172">
        <f>0.00018*(E28^2)+0.013</f>
        <v>0.17500000000000002</v>
      </c>
      <c r="E28" s="170">
        <v>30</v>
      </c>
      <c r="F28" s="184" t="s">
        <v>31</v>
      </c>
      <c r="G28" s="170"/>
      <c r="H28" s="173"/>
      <c r="I28" s="185">
        <v>1</v>
      </c>
      <c r="J28" s="181">
        <f>D28*I28</f>
        <v>0.17500000000000002</v>
      </c>
      <c r="K28" s="169"/>
      <c r="L28" s="169"/>
      <c r="M28" s="169"/>
      <c r="N28" s="169"/>
      <c r="O28" s="165"/>
    </row>
    <row r="29" spans="1:15" x14ac:dyDescent="0.3">
      <c r="A29" s="182"/>
      <c r="B29" s="182"/>
      <c r="C29" s="182"/>
      <c r="D29" s="182"/>
      <c r="E29" s="182"/>
      <c r="F29" s="182"/>
      <c r="G29" s="182"/>
      <c r="H29" s="182"/>
      <c r="I29" s="175" t="s">
        <v>18</v>
      </c>
      <c r="J29" s="186">
        <f>SUM(J28:J28)</f>
        <v>0.17500000000000002</v>
      </c>
      <c r="K29" s="182"/>
      <c r="L29" s="182"/>
      <c r="M29" s="182"/>
      <c r="N29" s="182"/>
      <c r="O29" s="165"/>
    </row>
    <row r="30" spans="1:15" x14ac:dyDescent="0.3">
      <c r="A30" s="169"/>
      <c r="B30" s="169"/>
      <c r="C30" s="169"/>
      <c r="D30" s="169"/>
      <c r="E30" s="169"/>
      <c r="F30" s="169"/>
      <c r="G30" s="169"/>
      <c r="H30" s="187"/>
      <c r="I30" s="188"/>
      <c r="J30" s="169"/>
      <c r="K30" s="169"/>
      <c r="L30" s="169"/>
      <c r="M30" s="169"/>
      <c r="N30" s="169"/>
      <c r="O30" s="166"/>
    </row>
    <row r="31" spans="1:15" x14ac:dyDescent="0.3">
      <c r="A31" s="168" t="s">
        <v>14</v>
      </c>
      <c r="B31" s="168" t="s">
        <v>42</v>
      </c>
      <c r="C31" s="168" t="s">
        <v>21</v>
      </c>
      <c r="D31" s="168" t="s">
        <v>22</v>
      </c>
      <c r="E31" s="168" t="s">
        <v>35</v>
      </c>
      <c r="F31" s="168" t="s">
        <v>17</v>
      </c>
      <c r="G31" s="168" t="s">
        <v>43</v>
      </c>
      <c r="H31" s="168" t="s">
        <v>44</v>
      </c>
      <c r="I31" s="168" t="s">
        <v>18</v>
      </c>
      <c r="J31" s="182"/>
      <c r="K31" s="182"/>
      <c r="L31" s="182"/>
      <c r="M31" s="182"/>
      <c r="N31" s="182"/>
      <c r="O31" s="165"/>
    </row>
    <row r="32" spans="1:15" x14ac:dyDescent="0.3">
      <c r="A32" s="170">
        <v>10</v>
      </c>
      <c r="B32" s="170" t="s">
        <v>45</v>
      </c>
      <c r="C32" s="170" t="s">
        <v>174</v>
      </c>
      <c r="D32" s="172">
        <v>500</v>
      </c>
      <c r="E32" s="170" t="s">
        <v>47</v>
      </c>
      <c r="F32" s="170">
        <v>1</v>
      </c>
      <c r="G32" s="170">
        <v>3000</v>
      </c>
      <c r="H32" s="170">
        <v>1</v>
      </c>
      <c r="I32" s="181">
        <f>D32*F32/G32*H32</f>
        <v>0.16666666666666666</v>
      </c>
      <c r="J32" s="169"/>
      <c r="K32" s="169"/>
      <c r="L32" s="169"/>
      <c r="M32" s="169"/>
      <c r="N32" s="169"/>
      <c r="O32" s="165"/>
    </row>
    <row r="33" spans="1:15" x14ac:dyDescent="0.3">
      <c r="A33" s="182"/>
      <c r="B33" s="182"/>
      <c r="C33" s="182"/>
      <c r="D33" s="182"/>
      <c r="E33" s="182"/>
      <c r="F33" s="182"/>
      <c r="G33" s="182"/>
      <c r="H33" s="175" t="s">
        <v>18</v>
      </c>
      <c r="I33" s="186">
        <f>SUM(I32:I32)</f>
        <v>0.16666666666666666</v>
      </c>
      <c r="J33" s="182"/>
      <c r="K33" s="182"/>
      <c r="L33" s="182"/>
      <c r="M33" s="182"/>
      <c r="N33" s="182"/>
      <c r="O33" s="165"/>
    </row>
  </sheetData>
  <hyperlinks>
    <hyperlink ref="B4" location="BR_A0001" display="BR_A0001"/>
    <hyperlink ref="B12" location="ST_03002!A1" display="Quick Release Fixed Part"/>
    <hyperlink ref="B13" location="ST_03003!A1" display="Quick Release Sliding Part"/>
    <hyperlink ref="B11" location="ST_03001!A1" display="Quick Release Steel Sleev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B8" sqref="B8"/>
    </sheetView>
  </sheetViews>
  <sheetFormatPr baseColWidth="10" defaultRowHeight="14.4" x14ac:dyDescent="0.3"/>
  <cols>
    <col min="2" max="2" width="34.33203125" customWidth="1"/>
    <col min="3" max="3" width="24.44140625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193">
        <f>N12+I25</f>
        <v>32.834957426641211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159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193">
        <f>N2*N3</f>
        <v>32.834957426641211</v>
      </c>
    </row>
    <row r="6" spans="1:14" x14ac:dyDescent="0.3">
      <c r="A6" s="189" t="s">
        <v>7</v>
      </c>
      <c r="B6" s="169" t="s">
        <v>177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43.2" x14ac:dyDescent="0.3">
      <c r="A11" s="198">
        <v>10</v>
      </c>
      <c r="B11" s="199" t="s">
        <v>32</v>
      </c>
      <c r="C11" s="200" t="s">
        <v>178</v>
      </c>
      <c r="D11" s="172">
        <v>2.25</v>
      </c>
      <c r="E11" s="201">
        <f>J11*K11*L11</f>
        <v>0.48166996739609136</v>
      </c>
      <c r="F11" s="198" t="s">
        <v>179</v>
      </c>
      <c r="G11" s="198"/>
      <c r="H11" s="177"/>
      <c r="I11" s="202" t="s">
        <v>180</v>
      </c>
      <c r="J11" s="203">
        <f>PI()*12.5*12.5/1000000</f>
        <v>4.9087385212340522E-4</v>
      </c>
      <c r="K11" s="204">
        <v>0.125</v>
      </c>
      <c r="L11" s="180">
        <v>7850</v>
      </c>
      <c r="M11" s="180">
        <v>1</v>
      </c>
      <c r="N11" s="205">
        <f>IF(J11="",D11*M11,D11*J11*K11*L11*M11)</f>
        <v>1.0837574266412056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1.0837574266412056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 t="shared" ref="I15:I23" si="0">IF(H15="",D15*F15,D15*F15*H15)</f>
        <v>1.3</v>
      </c>
      <c r="J15" s="169"/>
      <c r="K15" s="169"/>
      <c r="L15" s="169"/>
      <c r="M15" s="169"/>
      <c r="N15" s="169"/>
    </row>
    <row r="16" spans="1:14" x14ac:dyDescent="0.3">
      <c r="A16" s="208">
        <v>20</v>
      </c>
      <c r="B16" s="209" t="s">
        <v>182</v>
      </c>
      <c r="C16" s="210" t="s">
        <v>183</v>
      </c>
      <c r="D16" s="172">
        <v>0.04</v>
      </c>
      <c r="E16" s="209" t="s">
        <v>184</v>
      </c>
      <c r="F16" s="208">
        <v>49</v>
      </c>
      <c r="G16" s="208" t="s">
        <v>185</v>
      </c>
      <c r="H16" s="208">
        <v>3</v>
      </c>
      <c r="I16" s="211">
        <f t="shared" si="0"/>
        <v>5.88</v>
      </c>
      <c r="J16" s="169"/>
      <c r="K16" s="169"/>
      <c r="L16" s="169"/>
      <c r="M16" s="169"/>
      <c r="N16" s="169"/>
    </row>
    <row r="17" spans="1:14" x14ac:dyDescent="0.3">
      <c r="A17" s="208">
        <v>30</v>
      </c>
      <c r="B17" s="209" t="s">
        <v>182</v>
      </c>
      <c r="C17" s="210" t="s">
        <v>186</v>
      </c>
      <c r="D17" s="172">
        <v>0.04</v>
      </c>
      <c r="E17" s="209" t="s">
        <v>184</v>
      </c>
      <c r="F17" s="208">
        <v>2.4500000000000002</v>
      </c>
      <c r="G17" s="208" t="s">
        <v>185</v>
      </c>
      <c r="H17" s="208">
        <v>3</v>
      </c>
      <c r="I17" s="211">
        <f t="shared" si="0"/>
        <v>0.29400000000000004</v>
      </c>
      <c r="J17" s="169"/>
      <c r="K17" s="169"/>
      <c r="L17" s="169"/>
      <c r="M17" s="169"/>
      <c r="N17" s="169"/>
    </row>
    <row r="18" spans="1:14" ht="28.8" x14ac:dyDescent="0.3">
      <c r="A18" s="208">
        <v>40</v>
      </c>
      <c r="B18" s="173" t="s">
        <v>187</v>
      </c>
      <c r="C18" s="210" t="s">
        <v>188</v>
      </c>
      <c r="D18" s="172">
        <v>0.65</v>
      </c>
      <c r="E18" s="209" t="s">
        <v>35</v>
      </c>
      <c r="F18" s="208">
        <v>1</v>
      </c>
      <c r="G18" s="208"/>
      <c r="H18" s="208">
        <v>1</v>
      </c>
      <c r="I18" s="211">
        <f t="shared" si="0"/>
        <v>0.65</v>
      </c>
      <c r="J18" s="169"/>
      <c r="K18" s="169"/>
      <c r="L18" s="169"/>
      <c r="M18" s="169"/>
      <c r="N18" s="169"/>
    </row>
    <row r="19" spans="1:14" x14ac:dyDescent="0.3">
      <c r="A19" s="208">
        <v>50</v>
      </c>
      <c r="B19" s="209" t="s">
        <v>182</v>
      </c>
      <c r="C19" s="210" t="s">
        <v>189</v>
      </c>
      <c r="D19" s="172">
        <v>0.04</v>
      </c>
      <c r="E19" s="209" t="s">
        <v>184</v>
      </c>
      <c r="F19" s="208">
        <v>5.53</v>
      </c>
      <c r="G19" s="208" t="s">
        <v>185</v>
      </c>
      <c r="H19" s="208">
        <v>3</v>
      </c>
      <c r="I19" s="211">
        <f t="shared" si="0"/>
        <v>0.66359999999999997</v>
      </c>
      <c r="J19" s="169"/>
      <c r="K19" s="169"/>
      <c r="L19" s="169"/>
      <c r="M19" s="169"/>
      <c r="N19" s="169"/>
    </row>
    <row r="20" spans="1:14" ht="28.8" x14ac:dyDescent="0.3">
      <c r="A20" s="208">
        <v>60</v>
      </c>
      <c r="B20" s="173" t="s">
        <v>187</v>
      </c>
      <c r="C20" s="210" t="s">
        <v>190</v>
      </c>
      <c r="D20" s="172">
        <v>0.65</v>
      </c>
      <c r="E20" s="209" t="s">
        <v>35</v>
      </c>
      <c r="F20" s="208">
        <v>1</v>
      </c>
      <c r="G20" s="208"/>
      <c r="H20" s="208">
        <v>1</v>
      </c>
      <c r="I20" s="211">
        <f t="shared" si="0"/>
        <v>0.65</v>
      </c>
      <c r="J20" s="169"/>
      <c r="K20" s="169"/>
      <c r="L20" s="169"/>
      <c r="M20" s="169"/>
      <c r="N20" s="169"/>
    </row>
    <row r="21" spans="1:14" x14ac:dyDescent="0.3">
      <c r="A21" s="208">
        <v>70</v>
      </c>
      <c r="B21" s="209" t="s">
        <v>182</v>
      </c>
      <c r="C21" s="210" t="s">
        <v>191</v>
      </c>
      <c r="D21" s="172">
        <v>0.04</v>
      </c>
      <c r="E21" s="209" t="s">
        <v>184</v>
      </c>
      <c r="F21" s="208">
        <v>5.53</v>
      </c>
      <c r="G21" s="208" t="s">
        <v>185</v>
      </c>
      <c r="H21" s="208">
        <v>3</v>
      </c>
      <c r="I21" s="211">
        <f t="shared" si="0"/>
        <v>0.66359999999999997</v>
      </c>
      <c r="J21" s="169"/>
      <c r="K21" s="169"/>
      <c r="L21" s="169"/>
      <c r="M21" s="169"/>
      <c r="N21" s="169"/>
    </row>
    <row r="22" spans="1:14" ht="28.8" x14ac:dyDescent="0.3">
      <c r="A22" s="208">
        <v>80</v>
      </c>
      <c r="B22" s="173" t="s">
        <v>187</v>
      </c>
      <c r="C22" s="210" t="s">
        <v>192</v>
      </c>
      <c r="D22" s="172">
        <v>0.65</v>
      </c>
      <c r="E22" s="209" t="s">
        <v>35</v>
      </c>
      <c r="F22" s="208">
        <v>1</v>
      </c>
      <c r="G22" s="208"/>
      <c r="H22" s="208">
        <v>1</v>
      </c>
      <c r="I22" s="211">
        <f t="shared" si="0"/>
        <v>0.65</v>
      </c>
      <c r="J22" s="169"/>
      <c r="K22" s="169"/>
      <c r="L22" s="169"/>
      <c r="M22" s="169"/>
      <c r="N22" s="169"/>
    </row>
    <row r="23" spans="1:14" x14ac:dyDescent="0.3">
      <c r="A23" s="170">
        <v>90</v>
      </c>
      <c r="B23" s="173" t="s">
        <v>193</v>
      </c>
      <c r="C23" s="173" t="s">
        <v>194</v>
      </c>
      <c r="D23" s="172">
        <v>0.5</v>
      </c>
      <c r="E23" s="170" t="s">
        <v>56</v>
      </c>
      <c r="F23" s="170">
        <v>42</v>
      </c>
      <c r="G23" s="170"/>
      <c r="H23" s="170"/>
      <c r="I23" s="211">
        <f t="shared" si="0"/>
        <v>21</v>
      </c>
      <c r="J23" s="169"/>
      <c r="K23" s="169"/>
      <c r="L23" s="169"/>
      <c r="M23" s="169"/>
      <c r="N23" s="169"/>
    </row>
    <row r="24" spans="1:14" x14ac:dyDescent="0.3">
      <c r="A24" s="170">
        <v>100</v>
      </c>
      <c r="B24" s="173" t="s">
        <v>195</v>
      </c>
      <c r="C24" s="173" t="s">
        <v>196</v>
      </c>
      <c r="D24" s="172">
        <v>0</v>
      </c>
      <c r="E24" s="170"/>
      <c r="F24" s="170"/>
      <c r="G24" s="170"/>
      <c r="H24" s="170"/>
      <c r="I24" s="181" t="s">
        <v>212</v>
      </c>
      <c r="J24" s="169"/>
      <c r="K24" s="169"/>
      <c r="L24" s="169"/>
      <c r="M24" s="169"/>
      <c r="N24" s="169"/>
    </row>
    <row r="25" spans="1:14" x14ac:dyDescent="0.3">
      <c r="A25" s="182"/>
      <c r="B25" s="182"/>
      <c r="C25" s="182"/>
      <c r="D25" s="182"/>
      <c r="E25" s="182"/>
      <c r="F25" s="182"/>
      <c r="G25" s="182"/>
      <c r="H25" s="206" t="s">
        <v>18</v>
      </c>
      <c r="I25" s="212">
        <f>SUM(I15:I24)</f>
        <v>31.751200000000004</v>
      </c>
      <c r="J25" s="182"/>
      <c r="K25" s="182"/>
      <c r="L25" s="182"/>
      <c r="M25" s="182"/>
      <c r="N25" s="182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B8" sqref="B8"/>
    </sheetView>
  </sheetViews>
  <sheetFormatPr baseColWidth="10" defaultRowHeight="14.4" x14ac:dyDescent="0.3"/>
  <cols>
    <col min="2" max="2" width="33" customWidth="1"/>
    <col min="3" max="3" width="27.88671875" customWidth="1"/>
    <col min="7" max="7" width="17.33203125" customWidth="1"/>
    <col min="9" max="9" width="11.5546875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69"/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N12+I22</f>
        <v>34.469065601320004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90" t="s">
        <v>146</v>
      </c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160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34.469065601320004</v>
      </c>
    </row>
    <row r="6" spans="1:14" x14ac:dyDescent="0.3">
      <c r="A6" s="189" t="s">
        <v>7</v>
      </c>
      <c r="B6" s="169" t="s">
        <v>207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32.4" customHeight="1" x14ac:dyDescent="0.3">
      <c r="A11" s="198">
        <v>10</v>
      </c>
      <c r="B11" s="199" t="s">
        <v>197</v>
      </c>
      <c r="C11" s="200" t="s">
        <v>198</v>
      </c>
      <c r="D11" s="172">
        <v>4.2</v>
      </c>
      <c r="E11" s="201">
        <f>J11*K11*L11</f>
        <v>0.59025371459999987</v>
      </c>
      <c r="F11" s="198" t="s">
        <v>179</v>
      </c>
      <c r="G11" s="198"/>
      <c r="H11" s="177"/>
      <c r="I11" s="214" t="s">
        <v>199</v>
      </c>
      <c r="J11" s="215">
        <f>3.14*0.0355^2</f>
        <v>3.9571849999999993E-3</v>
      </c>
      <c r="K11" s="204">
        <v>5.5E-2</v>
      </c>
      <c r="L11" s="180">
        <v>2712</v>
      </c>
      <c r="M11" s="180">
        <v>1</v>
      </c>
      <c r="N11" s="205">
        <f>IF(J11="",D11*M11,D11*J11*K11*L11*M11)</f>
        <v>2.4790656013199994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2.4790656013199994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 t="shared" ref="I15:I20" si="0">IF(H15="",D15*F15,D15*F15*H15)</f>
        <v>1.3</v>
      </c>
      <c r="J15" s="169"/>
      <c r="K15" s="169"/>
      <c r="L15" s="169"/>
      <c r="M15" s="169"/>
      <c r="N15" s="169"/>
    </row>
    <row r="16" spans="1:14" ht="28.8" x14ac:dyDescent="0.3">
      <c r="A16" s="208">
        <v>20</v>
      </c>
      <c r="B16" s="209" t="s">
        <v>182</v>
      </c>
      <c r="C16" s="210" t="s">
        <v>200</v>
      </c>
      <c r="D16" s="172">
        <v>0.04</v>
      </c>
      <c r="E16" s="209" t="s">
        <v>184</v>
      </c>
      <c r="F16" s="208">
        <v>151</v>
      </c>
      <c r="G16" s="210" t="s">
        <v>201</v>
      </c>
      <c r="H16" s="208">
        <v>1</v>
      </c>
      <c r="I16" s="211">
        <f t="shared" si="0"/>
        <v>6.04</v>
      </c>
      <c r="J16" s="169"/>
      <c r="K16" s="169"/>
      <c r="L16" s="169"/>
      <c r="M16" s="169"/>
      <c r="N16" s="169"/>
    </row>
    <row r="17" spans="1:14" x14ac:dyDescent="0.3">
      <c r="A17" s="208">
        <v>30</v>
      </c>
      <c r="B17" s="209" t="s">
        <v>52</v>
      </c>
      <c r="C17" s="210" t="s">
        <v>202</v>
      </c>
      <c r="D17" s="172">
        <v>1.3</v>
      </c>
      <c r="E17" s="209" t="s">
        <v>35</v>
      </c>
      <c r="F17" s="208">
        <v>1</v>
      </c>
      <c r="G17" s="210"/>
      <c r="H17" s="208"/>
      <c r="I17" s="211">
        <f t="shared" si="0"/>
        <v>1.3</v>
      </c>
      <c r="J17" s="169"/>
      <c r="K17" s="169"/>
      <c r="L17" s="169"/>
      <c r="M17" s="169"/>
      <c r="N17" s="169"/>
    </row>
    <row r="18" spans="1:14" x14ac:dyDescent="0.3">
      <c r="A18" s="208">
        <v>40</v>
      </c>
      <c r="B18" s="209" t="s">
        <v>203</v>
      </c>
      <c r="C18" s="210"/>
      <c r="D18" s="172">
        <v>0.35</v>
      </c>
      <c r="E18" s="209" t="s">
        <v>35</v>
      </c>
      <c r="F18" s="208">
        <v>3</v>
      </c>
      <c r="G18" s="210"/>
      <c r="H18" s="208"/>
      <c r="I18" s="211">
        <f t="shared" si="0"/>
        <v>1.0499999999999998</v>
      </c>
      <c r="J18" s="169"/>
      <c r="K18" s="169"/>
      <c r="L18" s="169"/>
      <c r="M18" s="169"/>
      <c r="N18" s="169"/>
    </row>
    <row r="19" spans="1:14" x14ac:dyDescent="0.3">
      <c r="A19" s="208">
        <v>50</v>
      </c>
      <c r="B19" s="209" t="s">
        <v>52</v>
      </c>
      <c r="C19" s="210" t="s">
        <v>202</v>
      </c>
      <c r="D19" s="172">
        <v>1.3</v>
      </c>
      <c r="E19" s="209" t="s">
        <v>35</v>
      </c>
      <c r="F19" s="208">
        <v>1</v>
      </c>
      <c r="G19" s="210"/>
      <c r="H19" s="208"/>
      <c r="I19" s="211">
        <f t="shared" si="0"/>
        <v>1.3</v>
      </c>
      <c r="J19" s="169"/>
      <c r="K19" s="169"/>
      <c r="L19" s="169"/>
      <c r="M19" s="169"/>
      <c r="N19" s="169"/>
    </row>
    <row r="20" spans="1:14" x14ac:dyDescent="0.3">
      <c r="A20" s="170">
        <v>60</v>
      </c>
      <c r="B20" s="173" t="s">
        <v>204</v>
      </c>
      <c r="C20" s="173" t="s">
        <v>205</v>
      </c>
      <c r="D20" s="216">
        <v>0.5</v>
      </c>
      <c r="E20" s="170" t="s">
        <v>184</v>
      </c>
      <c r="F20" s="170">
        <v>42</v>
      </c>
      <c r="G20" s="170"/>
      <c r="H20" s="170"/>
      <c r="I20" s="205">
        <f t="shared" si="0"/>
        <v>21</v>
      </c>
      <c r="J20" s="169"/>
      <c r="K20" s="169"/>
      <c r="L20" s="169"/>
      <c r="M20" s="169"/>
      <c r="N20" s="169"/>
    </row>
    <row r="21" spans="1:14" x14ac:dyDescent="0.3">
      <c r="A21" s="198">
        <v>70</v>
      </c>
      <c r="B21" s="217" t="s">
        <v>195</v>
      </c>
      <c r="C21" s="217" t="s">
        <v>206</v>
      </c>
      <c r="D21" s="216">
        <v>0</v>
      </c>
      <c r="E21" s="198"/>
      <c r="F21" s="170"/>
      <c r="G21" s="170"/>
      <c r="H21" s="170"/>
      <c r="I21" s="216">
        <v>0</v>
      </c>
      <c r="J21" s="169"/>
      <c r="K21" s="169"/>
      <c r="L21" s="169"/>
      <c r="M21" s="169"/>
      <c r="N21" s="169"/>
    </row>
    <row r="22" spans="1:14" x14ac:dyDescent="0.3">
      <c r="A22" s="182"/>
      <c r="B22" s="182"/>
      <c r="C22" s="182"/>
      <c r="D22" s="182"/>
      <c r="E22" s="182"/>
      <c r="F22" s="182"/>
      <c r="G22" s="182"/>
      <c r="H22" s="206" t="s">
        <v>18</v>
      </c>
      <c r="I22" s="212">
        <f>SUM(I15:I21)</f>
        <v>31.990000000000002</v>
      </c>
      <c r="J22" s="182"/>
      <c r="K22" s="182"/>
      <c r="L22" s="182"/>
      <c r="M22" s="182"/>
      <c r="N22" s="182"/>
    </row>
  </sheetData>
  <hyperlinks>
    <hyperlink ref="F3" location="BOM!A1" display="Back to BOM"/>
    <hyperlink ref="B4" location="ST_A0300!A1" display="Quick Releas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B8" sqref="B8"/>
    </sheetView>
  </sheetViews>
  <sheetFormatPr baseColWidth="10" defaultRowHeight="14.4" x14ac:dyDescent="0.3"/>
  <cols>
    <col min="2" max="2" width="23.6640625" bestFit="1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N12+I19</f>
        <v>12.940409872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176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95" t="s">
        <v>161</v>
      </c>
      <c r="C5" s="169"/>
      <c r="D5" s="189" t="s">
        <v>12</v>
      </c>
      <c r="E5" s="169"/>
      <c r="F5" s="196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12.940409872</v>
      </c>
    </row>
    <row r="6" spans="1:14" x14ac:dyDescent="0.3">
      <c r="A6" s="189" t="s">
        <v>7</v>
      </c>
      <c r="B6" s="169" t="s">
        <v>208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216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28.8" x14ac:dyDescent="0.3">
      <c r="A11" s="198">
        <v>10</v>
      </c>
      <c r="B11" s="199" t="s">
        <v>197</v>
      </c>
      <c r="C11" s="200" t="s">
        <v>198</v>
      </c>
      <c r="D11" s="172">
        <v>4.2</v>
      </c>
      <c r="E11" s="218">
        <f>J11*K11*L11</f>
        <v>0.42152615999999998</v>
      </c>
      <c r="F11" s="198" t="s">
        <v>179</v>
      </c>
      <c r="G11" s="198"/>
      <c r="H11" s="177"/>
      <c r="I11" s="214" t="s">
        <v>209</v>
      </c>
      <c r="J11" s="215">
        <f>3.14*0.03^2</f>
        <v>2.826E-3</v>
      </c>
      <c r="K11" s="204">
        <v>5.5E-2</v>
      </c>
      <c r="L11" s="180">
        <v>2712</v>
      </c>
      <c r="M11" s="180">
        <v>1</v>
      </c>
      <c r="N11" s="205">
        <f>IF(J11="",D11*M11,D11*J11*K11*L11*M11)</f>
        <v>1.7704098720000001</v>
      </c>
    </row>
    <row r="12" spans="1:14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07">
        <f>SUM(N11:N11)</f>
        <v>1.7704098720000001</v>
      </c>
    </row>
    <row r="13" spans="1:14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</row>
    <row r="14" spans="1:14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</row>
    <row r="15" spans="1:14" ht="28.8" x14ac:dyDescent="0.3">
      <c r="A15" s="208">
        <v>10</v>
      </c>
      <c r="B15" s="209" t="s">
        <v>52</v>
      </c>
      <c r="C15" s="210" t="s">
        <v>181</v>
      </c>
      <c r="D15" s="172">
        <v>1.3</v>
      </c>
      <c r="E15" s="209" t="s">
        <v>35</v>
      </c>
      <c r="F15" s="208">
        <v>1</v>
      </c>
      <c r="G15" s="208"/>
      <c r="H15" s="208"/>
      <c r="I15" s="211">
        <f>IF(H15="",D15*F15,D15*F15*H15)</f>
        <v>1.3</v>
      </c>
      <c r="J15" s="169"/>
      <c r="K15" s="169"/>
      <c r="L15" s="169"/>
      <c r="M15" s="169"/>
      <c r="N15" s="169"/>
    </row>
    <row r="16" spans="1:14" ht="28.8" x14ac:dyDescent="0.3">
      <c r="A16" s="208">
        <v>20</v>
      </c>
      <c r="B16" s="209" t="s">
        <v>182</v>
      </c>
      <c r="C16" s="210" t="s">
        <v>200</v>
      </c>
      <c r="D16" s="172">
        <v>0.04</v>
      </c>
      <c r="E16" s="209" t="s">
        <v>184</v>
      </c>
      <c r="F16" s="208">
        <v>168</v>
      </c>
      <c r="G16" s="210" t="s">
        <v>201</v>
      </c>
      <c r="H16" s="208">
        <v>1</v>
      </c>
      <c r="I16" s="211">
        <f>IF(H16="",D16*F16,D16*F16*H16)</f>
        <v>6.72</v>
      </c>
      <c r="J16" s="169"/>
      <c r="K16" s="169"/>
      <c r="L16" s="169"/>
      <c r="M16" s="169"/>
      <c r="N16" s="169"/>
    </row>
    <row r="17" spans="1:14" ht="29.4" customHeight="1" x14ac:dyDescent="0.3">
      <c r="A17" s="170">
        <v>30</v>
      </c>
      <c r="B17" s="170" t="s">
        <v>203</v>
      </c>
      <c r="C17" s="170" t="s">
        <v>210</v>
      </c>
      <c r="D17" s="172">
        <v>0.35</v>
      </c>
      <c r="E17" s="198" t="s">
        <v>35</v>
      </c>
      <c r="F17" s="219">
        <v>9</v>
      </c>
      <c r="G17" s="220"/>
      <c r="H17" s="208"/>
      <c r="I17" s="211">
        <f>IF(H17="",D17*F17,D17*F17*H17)</f>
        <v>3.15</v>
      </c>
      <c r="J17" s="169"/>
      <c r="K17" s="169"/>
      <c r="L17" s="169"/>
      <c r="M17" s="169"/>
      <c r="N17" s="169"/>
    </row>
    <row r="18" spans="1:14" ht="28.8" x14ac:dyDescent="0.3">
      <c r="A18" s="198">
        <v>40</v>
      </c>
      <c r="B18" s="217" t="s">
        <v>195</v>
      </c>
      <c r="C18" s="217" t="s">
        <v>206</v>
      </c>
      <c r="D18" s="172" t="s">
        <v>211</v>
      </c>
      <c r="E18" s="170"/>
      <c r="F18" s="170"/>
      <c r="G18" s="170"/>
      <c r="H18" s="170"/>
      <c r="I18" s="205"/>
      <c r="J18" s="169"/>
      <c r="K18" s="169"/>
      <c r="L18" s="169"/>
      <c r="M18" s="169"/>
      <c r="N18" s="169"/>
    </row>
    <row r="19" spans="1:14" x14ac:dyDescent="0.3">
      <c r="A19" s="182"/>
      <c r="B19" s="182"/>
      <c r="C19" s="182"/>
      <c r="D19" s="182"/>
      <c r="E19" s="182"/>
      <c r="F19" s="182"/>
      <c r="G19" s="182"/>
      <c r="H19" s="206" t="s">
        <v>18</v>
      </c>
      <c r="I19" s="212">
        <f>SUM(I15:I18)</f>
        <v>11.17</v>
      </c>
      <c r="J19" s="182"/>
      <c r="K19" s="182"/>
      <c r="L19" s="182"/>
      <c r="M19" s="182"/>
      <c r="N19" s="182"/>
    </row>
    <row r="20" spans="1:14" x14ac:dyDescent="0.3">
      <c r="A20" s="169"/>
      <c r="B20" s="169"/>
      <c r="C20" s="169"/>
      <c r="D20" s="169"/>
      <c r="E20" s="169"/>
      <c r="F20" s="169"/>
      <c r="G20" s="169"/>
      <c r="H20" s="187"/>
      <c r="I20" s="188"/>
      <c r="J20" s="169"/>
      <c r="K20" s="169"/>
      <c r="L20" s="169"/>
      <c r="M20" s="169"/>
      <c r="N20" s="169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C8" sqref="C8"/>
    </sheetView>
  </sheetViews>
  <sheetFormatPr baseColWidth="10" defaultRowHeight="14.4" x14ac:dyDescent="0.3"/>
  <cols>
    <col min="2" max="2" width="24" bestFit="1" customWidth="1"/>
    <col min="3" max="3" width="23.109375" bestFit="1" customWidth="1"/>
  </cols>
  <sheetData>
    <row r="2" spans="1:14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N15+I24</f>
        <v>16.336187500000001</v>
      </c>
    </row>
    <row r="3" spans="1:14" x14ac:dyDescent="0.3">
      <c r="A3" s="189" t="s">
        <v>3</v>
      </c>
      <c r="B3" s="169" t="s">
        <v>150</v>
      </c>
      <c r="C3" s="169"/>
      <c r="D3" s="189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</row>
    <row r="4" spans="1:14" x14ac:dyDescent="0.3">
      <c r="A4" s="189" t="s">
        <v>5</v>
      </c>
      <c r="B4" s="190" t="s">
        <v>236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</row>
    <row r="5" spans="1:14" x14ac:dyDescent="0.3">
      <c r="A5" s="189" t="s">
        <v>15</v>
      </c>
      <c r="B5" s="169" t="s">
        <v>215</v>
      </c>
      <c r="C5" s="169"/>
      <c r="D5" s="189" t="s">
        <v>12</v>
      </c>
      <c r="E5" s="169"/>
      <c r="F5" s="169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16.336187500000001</v>
      </c>
    </row>
    <row r="6" spans="1:14" x14ac:dyDescent="0.3">
      <c r="A6" s="189" t="s">
        <v>7</v>
      </c>
      <c r="B6" s="169" t="s">
        <v>235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</row>
    <row r="7" spans="1:14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x14ac:dyDescent="0.3">
      <c r="A8" s="189" t="s">
        <v>13</v>
      </c>
      <c r="B8" s="169" t="s">
        <v>175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4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</row>
    <row r="11" spans="1:14" ht="43.2" x14ac:dyDescent="0.3">
      <c r="A11" s="221">
        <v>10</v>
      </c>
      <c r="B11" s="170" t="s">
        <v>32</v>
      </c>
      <c r="C11" s="222" t="s">
        <v>217</v>
      </c>
      <c r="D11" s="223">
        <v>2.25</v>
      </c>
      <c r="E11" s="224">
        <f>J11*K11*L11</f>
        <v>0.90275000000000005</v>
      </c>
      <c r="F11" s="170" t="s">
        <v>179</v>
      </c>
      <c r="G11" s="170">
        <v>230</v>
      </c>
      <c r="H11" s="177"/>
      <c r="I11" s="225" t="s">
        <v>218</v>
      </c>
      <c r="J11" s="215">
        <f>250*230/1000000</f>
        <v>5.7500000000000002E-2</v>
      </c>
      <c r="K11" s="226">
        <v>2E-3</v>
      </c>
      <c r="L11" s="180">
        <v>7850</v>
      </c>
      <c r="M11" s="180">
        <v>1</v>
      </c>
      <c r="N11" s="205">
        <f>IF(J11="",D11*M11,D11*J11*K11*L11*M11)</f>
        <v>2.0311875000000001</v>
      </c>
    </row>
    <row r="12" spans="1:14" ht="45" customHeight="1" x14ac:dyDescent="0.3">
      <c r="A12" s="221">
        <v>20</v>
      </c>
      <c r="B12" s="227" t="s">
        <v>219</v>
      </c>
      <c r="C12" s="221" t="s">
        <v>220</v>
      </c>
      <c r="D12" s="223">
        <v>15</v>
      </c>
      <c r="E12" s="221">
        <v>0.1</v>
      </c>
      <c r="F12" s="221" t="s">
        <v>179</v>
      </c>
      <c r="G12" s="221"/>
      <c r="H12" s="228"/>
      <c r="I12" s="229"/>
      <c r="J12" s="230"/>
      <c r="K12" s="228"/>
      <c r="L12" s="228"/>
      <c r="M12" s="221"/>
      <c r="N12" s="231">
        <f>E12*D12</f>
        <v>1.5</v>
      </c>
    </row>
    <row r="13" spans="1:14" x14ac:dyDescent="0.3">
      <c r="A13" s="221">
        <v>30</v>
      </c>
      <c r="B13" s="227" t="s">
        <v>221</v>
      </c>
      <c r="C13" s="221" t="s">
        <v>222</v>
      </c>
      <c r="D13" s="223">
        <v>2.5</v>
      </c>
      <c r="E13" s="221">
        <v>0.1</v>
      </c>
      <c r="F13" s="221" t="s">
        <v>223</v>
      </c>
      <c r="G13" s="221"/>
      <c r="H13" s="228"/>
      <c r="I13" s="232"/>
      <c r="J13" s="230"/>
      <c r="K13" s="228"/>
      <c r="L13" s="229"/>
      <c r="M13" s="221"/>
      <c r="N13" s="231">
        <f>D13*E13</f>
        <v>0.25</v>
      </c>
    </row>
    <row r="14" spans="1:14" ht="37.200000000000003" customHeight="1" x14ac:dyDescent="0.3">
      <c r="A14" s="170">
        <v>40</v>
      </c>
      <c r="B14" s="170" t="s">
        <v>224</v>
      </c>
      <c r="C14" s="222" t="s">
        <v>225</v>
      </c>
      <c r="D14" s="233">
        <v>0</v>
      </c>
      <c r="E14" s="170"/>
      <c r="F14" s="170" t="s">
        <v>38</v>
      </c>
      <c r="G14" s="170"/>
      <c r="H14" s="170"/>
      <c r="I14" s="170"/>
      <c r="J14" s="170"/>
      <c r="K14" s="170"/>
      <c r="L14" s="170"/>
      <c r="M14" s="170"/>
      <c r="N14" s="233"/>
    </row>
    <row r="15" spans="1:14" x14ac:dyDescent="0.3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234" t="s">
        <v>18</v>
      </c>
      <c r="N15" s="235">
        <f>SUM(N11:N14)</f>
        <v>3.7811875000000001</v>
      </c>
    </row>
    <row r="16" spans="1:14" x14ac:dyDescent="0.3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</row>
    <row r="17" spans="1:14" x14ac:dyDescent="0.3">
      <c r="A17" s="197" t="s">
        <v>14</v>
      </c>
      <c r="B17" s="197" t="s">
        <v>34</v>
      </c>
      <c r="C17" s="197" t="s">
        <v>21</v>
      </c>
      <c r="D17" s="197" t="s">
        <v>22</v>
      </c>
      <c r="E17" s="197" t="s">
        <v>35</v>
      </c>
      <c r="F17" s="197" t="s">
        <v>17</v>
      </c>
      <c r="G17" s="197" t="s">
        <v>36</v>
      </c>
      <c r="H17" s="197" t="s">
        <v>37</v>
      </c>
      <c r="I17" s="197" t="s">
        <v>18</v>
      </c>
      <c r="J17" s="182"/>
      <c r="K17" s="182"/>
      <c r="L17" s="182"/>
      <c r="M17" s="182"/>
      <c r="N17" s="182"/>
    </row>
    <row r="18" spans="1:14" ht="28.8" x14ac:dyDescent="0.3">
      <c r="A18" s="170">
        <v>10</v>
      </c>
      <c r="B18" s="220" t="s">
        <v>52</v>
      </c>
      <c r="C18" s="173" t="s">
        <v>226</v>
      </c>
      <c r="D18" s="216">
        <v>1.3</v>
      </c>
      <c r="E18" s="170" t="s">
        <v>38</v>
      </c>
      <c r="F18" s="170">
        <v>1</v>
      </c>
      <c r="G18" s="170"/>
      <c r="H18" s="170"/>
      <c r="I18" s="216">
        <f>D18*F18</f>
        <v>1.3</v>
      </c>
      <c r="J18" s="169"/>
      <c r="K18" s="169"/>
      <c r="L18" s="169"/>
      <c r="M18" s="169"/>
      <c r="N18" s="169"/>
    </row>
    <row r="19" spans="1:14" x14ac:dyDescent="0.3">
      <c r="A19" s="221">
        <v>20</v>
      </c>
      <c r="B19" s="220" t="s">
        <v>54</v>
      </c>
      <c r="C19" s="173" t="s">
        <v>227</v>
      </c>
      <c r="D19" s="236">
        <v>0.01</v>
      </c>
      <c r="E19" s="170" t="s">
        <v>56</v>
      </c>
      <c r="F19" s="170">
        <v>100</v>
      </c>
      <c r="G19" s="170" t="s">
        <v>228</v>
      </c>
      <c r="H19" s="170">
        <v>3</v>
      </c>
      <c r="I19" s="216">
        <f>D19*F19*H19</f>
        <v>3</v>
      </c>
      <c r="J19" s="169"/>
      <c r="K19" s="169"/>
      <c r="L19" s="169"/>
      <c r="M19" s="169"/>
      <c r="N19" s="169"/>
    </row>
    <row r="20" spans="1:14" x14ac:dyDescent="0.3">
      <c r="A20" s="170">
        <v>30</v>
      </c>
      <c r="B20" s="220" t="s">
        <v>168</v>
      </c>
      <c r="C20" s="237" t="s">
        <v>229</v>
      </c>
      <c r="D20" s="238">
        <v>0.125</v>
      </c>
      <c r="E20" s="220" t="s">
        <v>38</v>
      </c>
      <c r="F20" s="221">
        <v>1</v>
      </c>
      <c r="G20" s="221"/>
      <c r="H20" s="221"/>
      <c r="I20" s="231">
        <f>D20*F20</f>
        <v>0.125</v>
      </c>
      <c r="J20" s="169"/>
      <c r="K20" s="169"/>
      <c r="L20" s="169"/>
      <c r="M20" s="169"/>
      <c r="N20" s="169"/>
    </row>
    <row r="21" spans="1:14" x14ac:dyDescent="0.3">
      <c r="A21" s="221">
        <v>40</v>
      </c>
      <c r="B21" s="220" t="s">
        <v>230</v>
      </c>
      <c r="C21" s="237" t="s">
        <v>231</v>
      </c>
      <c r="D21" s="238">
        <v>0.06</v>
      </c>
      <c r="E21" s="221" t="s">
        <v>56</v>
      </c>
      <c r="F21" s="221">
        <v>100</v>
      </c>
      <c r="G21" s="221"/>
      <c r="H21" s="221"/>
      <c r="I21" s="231">
        <f>D21*F21</f>
        <v>6</v>
      </c>
      <c r="J21" s="169"/>
      <c r="K21" s="169"/>
      <c r="L21" s="169"/>
      <c r="M21" s="169"/>
      <c r="N21" s="169"/>
    </row>
    <row r="22" spans="1:14" x14ac:dyDescent="0.3">
      <c r="A22" s="221">
        <v>50</v>
      </c>
      <c r="B22" s="220" t="s">
        <v>232</v>
      </c>
      <c r="C22" s="237" t="s">
        <v>233</v>
      </c>
      <c r="D22" s="238">
        <v>0.02</v>
      </c>
      <c r="E22" s="221" t="s">
        <v>56</v>
      </c>
      <c r="F22" s="221">
        <v>100</v>
      </c>
      <c r="G22" s="221"/>
      <c r="H22" s="221"/>
      <c r="I22" s="231">
        <f>D22*F22</f>
        <v>2</v>
      </c>
      <c r="J22" s="169"/>
      <c r="K22" s="169"/>
      <c r="L22" s="169"/>
      <c r="M22" s="169"/>
      <c r="N22" s="169"/>
    </row>
    <row r="23" spans="1:14" x14ac:dyDescent="0.3">
      <c r="A23" s="170">
        <v>60</v>
      </c>
      <c r="B23" s="170" t="s">
        <v>168</v>
      </c>
      <c r="C23" s="170" t="s">
        <v>234</v>
      </c>
      <c r="D23" s="233">
        <v>0.13</v>
      </c>
      <c r="E23" s="170" t="s">
        <v>38</v>
      </c>
      <c r="F23" s="170">
        <v>1</v>
      </c>
      <c r="G23" s="170"/>
      <c r="H23" s="170"/>
      <c r="I23" s="233">
        <f>D23*F23</f>
        <v>0.13</v>
      </c>
      <c r="J23" s="169"/>
      <c r="K23" s="169"/>
      <c r="L23" s="169"/>
      <c r="M23" s="169"/>
      <c r="N23" s="169"/>
    </row>
    <row r="24" spans="1:14" x14ac:dyDescent="0.3">
      <c r="A24" s="182"/>
      <c r="B24" s="182"/>
      <c r="C24" s="182"/>
      <c r="D24" s="182"/>
      <c r="E24" s="182"/>
      <c r="F24" s="182"/>
      <c r="G24" s="182"/>
      <c r="H24" s="234" t="s">
        <v>18</v>
      </c>
      <c r="I24" s="239">
        <f>SUM(I18:I23)</f>
        <v>12.555000000000001</v>
      </c>
      <c r="J24" s="182"/>
      <c r="K24" s="182"/>
      <c r="L24" s="182"/>
      <c r="M24" s="182"/>
      <c r="N24" s="182"/>
    </row>
    <row r="25" spans="1:14" x14ac:dyDescent="0.3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</row>
  </sheetData>
  <hyperlinks>
    <hyperlink ref="F2" location="BOM!A1" display="Back to BOM"/>
    <hyperlink ref="B4" location="'ST Assembly'!A1" display="Steering Assembly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O19" sqref="O19"/>
    </sheetView>
  </sheetViews>
  <sheetFormatPr baseColWidth="10" defaultRowHeight="14.4" x14ac:dyDescent="0.3"/>
  <sheetData>
    <row r="2" spans="1:15" x14ac:dyDescent="0.3">
      <c r="A2" s="189" t="s">
        <v>0</v>
      </c>
      <c r="B2" s="169" t="s">
        <v>48</v>
      </c>
      <c r="C2" s="169"/>
      <c r="D2" s="169"/>
      <c r="E2" s="169"/>
      <c r="F2" s="190" t="s">
        <v>146</v>
      </c>
      <c r="G2" s="169"/>
      <c r="H2" s="169"/>
      <c r="I2" s="169"/>
      <c r="J2" s="191" t="s">
        <v>1</v>
      </c>
      <c r="K2" s="192">
        <v>81</v>
      </c>
      <c r="L2" s="169"/>
      <c r="M2" s="189" t="s">
        <v>16</v>
      </c>
      <c r="N2" s="213">
        <f>N12+I17</f>
        <v>3.0722072799999998</v>
      </c>
      <c r="O2" s="169"/>
    </row>
    <row r="3" spans="1:15" x14ac:dyDescent="0.3">
      <c r="A3" s="189" t="s">
        <v>3</v>
      </c>
      <c r="B3" s="169" t="s">
        <v>150</v>
      </c>
      <c r="C3" s="240" t="s">
        <v>237</v>
      </c>
      <c r="D3" s="241" t="s">
        <v>6</v>
      </c>
      <c r="E3" s="169"/>
      <c r="F3" s="169"/>
      <c r="G3" s="169"/>
      <c r="H3" s="169"/>
      <c r="I3" s="169"/>
      <c r="J3" s="169"/>
      <c r="K3" s="169"/>
      <c r="L3" s="169"/>
      <c r="M3" s="189" t="s">
        <v>4</v>
      </c>
      <c r="N3" s="194">
        <v>1</v>
      </c>
      <c r="O3" s="169"/>
    </row>
    <row r="4" spans="1:15" x14ac:dyDescent="0.3">
      <c r="A4" s="189" t="s">
        <v>5</v>
      </c>
      <c r="B4" s="190" t="s">
        <v>150</v>
      </c>
      <c r="C4" s="169"/>
      <c r="D4" s="189" t="s">
        <v>8</v>
      </c>
      <c r="E4" s="169"/>
      <c r="F4" s="169"/>
      <c r="G4" s="169"/>
      <c r="H4" s="169"/>
      <c r="I4" s="169"/>
      <c r="J4" s="189" t="s">
        <v>6</v>
      </c>
      <c r="K4" s="169"/>
      <c r="L4" s="169"/>
      <c r="M4" s="169"/>
      <c r="N4" s="169"/>
      <c r="O4" s="169"/>
    </row>
    <row r="5" spans="1:15" x14ac:dyDescent="0.3">
      <c r="A5" s="189" t="s">
        <v>15</v>
      </c>
      <c r="B5" s="169" t="s">
        <v>238</v>
      </c>
      <c r="C5" s="169"/>
      <c r="D5" s="189" t="s">
        <v>12</v>
      </c>
      <c r="E5" s="169"/>
      <c r="F5" s="169"/>
      <c r="G5" s="169"/>
      <c r="H5" s="169"/>
      <c r="I5" s="169"/>
      <c r="J5" s="189" t="s">
        <v>8</v>
      </c>
      <c r="K5" s="169"/>
      <c r="L5" s="169"/>
      <c r="M5" s="189" t="s">
        <v>9</v>
      </c>
      <c r="N5" s="213">
        <f>N2*N3</f>
        <v>3.0722072799999998</v>
      </c>
      <c r="O5" s="169"/>
    </row>
    <row r="6" spans="1:15" x14ac:dyDescent="0.3">
      <c r="A6" s="189" t="s">
        <v>7</v>
      </c>
      <c r="B6" s="169" t="s">
        <v>239</v>
      </c>
      <c r="C6" s="169"/>
      <c r="D6" s="169"/>
      <c r="E6" s="169"/>
      <c r="F6" s="169"/>
      <c r="G6" s="169"/>
      <c r="H6" s="169"/>
      <c r="I6" s="169"/>
      <c r="J6" s="189" t="s">
        <v>12</v>
      </c>
      <c r="K6" s="169"/>
      <c r="L6" s="169"/>
      <c r="M6" s="169"/>
      <c r="N6" s="169"/>
      <c r="O6" s="169"/>
    </row>
    <row r="7" spans="1:15" x14ac:dyDescent="0.3">
      <c r="A7" s="189" t="s">
        <v>10</v>
      </c>
      <c r="B7" s="169" t="s">
        <v>11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</row>
    <row r="8" spans="1:15" x14ac:dyDescent="0.3">
      <c r="A8" s="189" t="s">
        <v>13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</row>
    <row r="9" spans="1:15" x14ac:dyDescent="0.3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15" x14ac:dyDescent="0.3">
      <c r="A10" s="197" t="s">
        <v>14</v>
      </c>
      <c r="B10" s="197" t="s">
        <v>20</v>
      </c>
      <c r="C10" s="197" t="s">
        <v>21</v>
      </c>
      <c r="D10" s="197" t="s">
        <v>22</v>
      </c>
      <c r="E10" s="197" t="s">
        <v>23</v>
      </c>
      <c r="F10" s="197" t="s">
        <v>24</v>
      </c>
      <c r="G10" s="197" t="s">
        <v>25</v>
      </c>
      <c r="H10" s="197" t="s">
        <v>26</v>
      </c>
      <c r="I10" s="197" t="s">
        <v>27</v>
      </c>
      <c r="J10" s="197" t="s">
        <v>28</v>
      </c>
      <c r="K10" s="197" t="s">
        <v>29</v>
      </c>
      <c r="L10" s="197" t="s">
        <v>30</v>
      </c>
      <c r="M10" s="197" t="s">
        <v>17</v>
      </c>
      <c r="N10" s="197" t="s">
        <v>18</v>
      </c>
      <c r="O10" s="182"/>
    </row>
    <row r="11" spans="1:15" ht="43.2" x14ac:dyDescent="0.3">
      <c r="A11" s="170">
        <v>10</v>
      </c>
      <c r="B11" s="227" t="s">
        <v>240</v>
      </c>
      <c r="C11" s="170" t="s">
        <v>241</v>
      </c>
      <c r="D11" s="216">
        <v>4.2</v>
      </c>
      <c r="E11" s="242">
        <f>J11*K11*L11</f>
        <v>0.14766839999999998</v>
      </c>
      <c r="F11" s="170" t="s">
        <v>179</v>
      </c>
      <c r="G11" s="170"/>
      <c r="H11" s="177"/>
      <c r="I11" s="178" t="s">
        <v>242</v>
      </c>
      <c r="J11" s="215">
        <f>55*55*0.000001</f>
        <v>3.0249999999999999E-3</v>
      </c>
      <c r="K11" s="204">
        <v>1.7999999999999999E-2</v>
      </c>
      <c r="L11" s="180">
        <v>2712</v>
      </c>
      <c r="M11" s="180">
        <v>1</v>
      </c>
      <c r="N11" s="205">
        <f>IF(J11="",D11*M11,D11*J11*K11*L11*M11)</f>
        <v>0.62020728000000003</v>
      </c>
      <c r="O11" s="169"/>
    </row>
    <row r="12" spans="1:15" x14ac:dyDescent="0.3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206" t="s">
        <v>18</v>
      </c>
      <c r="N12" s="243">
        <f>SUM(N11:N11)</f>
        <v>0.62020728000000003</v>
      </c>
      <c r="O12" s="182"/>
    </row>
    <row r="13" spans="1:15" x14ac:dyDescent="0.3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</row>
    <row r="14" spans="1:15" x14ac:dyDescent="0.3">
      <c r="A14" s="197" t="s">
        <v>14</v>
      </c>
      <c r="B14" s="197" t="s">
        <v>34</v>
      </c>
      <c r="C14" s="197" t="s">
        <v>21</v>
      </c>
      <c r="D14" s="197" t="s">
        <v>22</v>
      </c>
      <c r="E14" s="197" t="s">
        <v>35</v>
      </c>
      <c r="F14" s="197" t="s">
        <v>17</v>
      </c>
      <c r="G14" s="197" t="s">
        <v>36</v>
      </c>
      <c r="H14" s="197" t="s">
        <v>37</v>
      </c>
      <c r="I14" s="197" t="s">
        <v>18</v>
      </c>
      <c r="J14" s="182"/>
      <c r="K14" s="182"/>
      <c r="L14" s="182"/>
      <c r="M14" s="182"/>
      <c r="N14" s="182"/>
      <c r="O14" s="182"/>
    </row>
    <row r="15" spans="1:15" ht="43.2" x14ac:dyDescent="0.3">
      <c r="A15" s="198">
        <v>10</v>
      </c>
      <c r="B15" s="209" t="s">
        <v>52</v>
      </c>
      <c r="C15" s="244" t="s">
        <v>243</v>
      </c>
      <c r="D15" s="216">
        <v>1.3</v>
      </c>
      <c r="E15" s="198" t="s">
        <v>35</v>
      </c>
      <c r="F15" s="198">
        <v>1</v>
      </c>
      <c r="G15" s="198"/>
      <c r="H15" s="198">
        <v>1</v>
      </c>
      <c r="I15" s="205">
        <f>IF(H15="",D15*F15,D15*F15*H15)</f>
        <v>1.3</v>
      </c>
      <c r="J15" s="169"/>
      <c r="K15" s="169"/>
      <c r="L15" s="169"/>
      <c r="M15" s="169"/>
      <c r="N15" s="169"/>
      <c r="O15" s="169"/>
    </row>
    <row r="16" spans="1:15" x14ac:dyDescent="0.3">
      <c r="A16" s="170">
        <v>20</v>
      </c>
      <c r="B16" s="220" t="s">
        <v>182</v>
      </c>
      <c r="C16" s="173" t="s">
        <v>182</v>
      </c>
      <c r="D16" s="238">
        <v>0.04</v>
      </c>
      <c r="E16" s="170" t="s">
        <v>184</v>
      </c>
      <c r="F16" s="170">
        <v>28.8</v>
      </c>
      <c r="G16" s="170"/>
      <c r="H16" s="170">
        <v>1</v>
      </c>
      <c r="I16" s="205">
        <f>IF(H16="",D16*F16,D16*F16*H16)</f>
        <v>1.1520000000000001</v>
      </c>
      <c r="J16" s="169"/>
      <c r="K16" s="169"/>
      <c r="L16" s="169"/>
      <c r="M16" s="169"/>
      <c r="N16" s="169"/>
      <c r="O16" s="169"/>
    </row>
    <row r="17" spans="1:15" x14ac:dyDescent="0.3">
      <c r="A17" s="182"/>
      <c r="B17" s="182"/>
      <c r="C17" s="182"/>
      <c r="D17" s="182"/>
      <c r="E17" s="182"/>
      <c r="F17" s="182"/>
      <c r="G17" s="182"/>
      <c r="H17" s="206" t="s">
        <v>18</v>
      </c>
      <c r="I17" s="245">
        <f>SUM(I15:I16)</f>
        <v>2.452</v>
      </c>
      <c r="J17" s="182"/>
      <c r="K17" s="182"/>
      <c r="L17" s="182"/>
      <c r="M17" s="182"/>
      <c r="N17" s="182"/>
      <c r="O17" s="182"/>
    </row>
    <row r="18" spans="1:15" x14ac:dyDescent="0.3">
      <c r="A18" s="169"/>
      <c r="B18" s="169"/>
      <c r="C18" s="169"/>
      <c r="D18" s="169"/>
      <c r="E18" s="169"/>
      <c r="F18" s="169"/>
      <c r="G18" s="169"/>
      <c r="H18" s="187"/>
      <c r="I18" s="188"/>
      <c r="J18" s="169"/>
      <c r="K18" s="169"/>
      <c r="L18" s="169"/>
      <c r="M18" s="169"/>
      <c r="N18" s="169"/>
      <c r="O18" s="169"/>
    </row>
    <row r="19" spans="1:15" x14ac:dyDescent="0.3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</row>
    <row r="20" spans="1:15" x14ac:dyDescent="0.3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</row>
    <row r="21" spans="1:15" x14ac:dyDescent="0.3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</row>
    <row r="22" spans="1:15" x14ac:dyDescent="0.3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</row>
    <row r="23" spans="1:15" x14ac:dyDescent="0.3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</row>
    <row r="24" spans="1:15" x14ac:dyDescent="0.3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</row>
  </sheetData>
  <hyperlinks>
    <hyperlink ref="F2" location="BOM!A1" display="Back to BOM"/>
    <hyperlink ref="B4" location="'ST Assembly'!A1" display="Steering System"/>
    <hyperlink ref="D3" location="'ST 04006 Drawing'!A1" display="FileLink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L20" sqref="L20"/>
    </sheetView>
  </sheetViews>
  <sheetFormatPr baseColWidth="10" defaultRowHeight="14.4" x14ac:dyDescent="0.3"/>
  <sheetData>
    <row r="2" spans="1:15" x14ac:dyDescent="0.3">
      <c r="A2" s="132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3" t="s">
        <v>1</v>
      </c>
      <c r="K2" s="107">
        <v>81</v>
      </c>
      <c r="L2" s="66"/>
      <c r="M2" s="132" t="s">
        <v>16</v>
      </c>
      <c r="N2" s="84" t="e">
        <f>BR_01001_m+BR_01001_p+BR_01001_f+BR_01001_t</f>
        <v>#REF!</v>
      </c>
      <c r="O2" s="72"/>
    </row>
    <row r="3" spans="1:15" x14ac:dyDescent="0.3">
      <c r="A3" s="132" t="s">
        <v>3</v>
      </c>
      <c r="B3" s="16" t="str">
        <f>'ST Assembly'!B3</f>
        <v>Steering System</v>
      </c>
      <c r="C3" s="66"/>
      <c r="D3" s="132" t="s">
        <v>6</v>
      </c>
      <c r="E3" s="116" t="s">
        <v>104</v>
      </c>
      <c r="F3" s="66"/>
      <c r="G3" s="66"/>
      <c r="H3" s="66"/>
      <c r="I3" s="66"/>
      <c r="J3" s="66"/>
      <c r="K3" s="66"/>
      <c r="L3" s="66"/>
      <c r="M3" s="132" t="s">
        <v>4</v>
      </c>
      <c r="N3" s="101">
        <v>1</v>
      </c>
      <c r="O3" s="72"/>
    </row>
    <row r="4" spans="1:15" x14ac:dyDescent="0.3">
      <c r="A4" s="132" t="s">
        <v>5</v>
      </c>
      <c r="B4" s="115" t="str">
        <f>'ST Assembly'!B4</f>
        <v>Nom de l'assemblage 1</v>
      </c>
      <c r="C4" s="66"/>
      <c r="D4" s="132" t="s">
        <v>8</v>
      </c>
      <c r="E4" s="66"/>
      <c r="F4" s="66"/>
      <c r="G4" s="66"/>
      <c r="H4" s="66"/>
      <c r="I4" s="66"/>
      <c r="J4" s="134" t="s">
        <v>6</v>
      </c>
      <c r="K4" s="66"/>
      <c r="L4" s="66"/>
      <c r="M4" s="66"/>
      <c r="N4" s="66"/>
      <c r="O4" s="72"/>
    </row>
    <row r="5" spans="1:15" x14ac:dyDescent="0.3">
      <c r="A5" s="132" t="s">
        <v>15</v>
      </c>
      <c r="B5" s="19" t="s">
        <v>49</v>
      </c>
      <c r="C5" s="66"/>
      <c r="D5" s="132" t="s">
        <v>12</v>
      </c>
      <c r="E5" s="66"/>
      <c r="F5" s="66"/>
      <c r="G5" s="66"/>
      <c r="H5" s="66"/>
      <c r="I5" s="66"/>
      <c r="J5" s="134" t="s">
        <v>8</v>
      </c>
      <c r="K5" s="66"/>
      <c r="L5" s="66"/>
      <c r="M5" s="132" t="s">
        <v>9</v>
      </c>
      <c r="N5" s="84" t="e">
        <f>N3*N2</f>
        <v>#REF!</v>
      </c>
      <c r="O5" s="72"/>
    </row>
    <row r="6" spans="1:15" x14ac:dyDescent="0.3">
      <c r="A6" s="132" t="s">
        <v>7</v>
      </c>
      <c r="B6" s="32" t="s">
        <v>152</v>
      </c>
      <c r="C6" s="66"/>
      <c r="D6" s="66"/>
      <c r="E6" s="66"/>
      <c r="F6" s="66"/>
      <c r="G6" s="66"/>
      <c r="H6" s="66"/>
      <c r="I6" s="66"/>
      <c r="J6" s="134" t="s">
        <v>12</v>
      </c>
      <c r="K6" s="66"/>
      <c r="L6" s="66"/>
      <c r="M6" s="66"/>
      <c r="N6" s="66"/>
      <c r="O6" s="72"/>
    </row>
    <row r="7" spans="1:15" x14ac:dyDescent="0.3">
      <c r="A7" s="132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2" t="s">
        <v>13</v>
      </c>
      <c r="B8" s="16" t="s">
        <v>129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8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35" t="s">
        <v>14</v>
      </c>
      <c r="B10" s="136" t="s">
        <v>20</v>
      </c>
      <c r="C10" s="136" t="s">
        <v>21</v>
      </c>
      <c r="D10" s="136" t="s">
        <v>22</v>
      </c>
      <c r="E10" s="136" t="s">
        <v>23</v>
      </c>
      <c r="F10" s="137" t="s">
        <v>24</v>
      </c>
      <c r="G10" s="137" t="s">
        <v>25</v>
      </c>
      <c r="H10" s="137" t="s">
        <v>26</v>
      </c>
      <c r="I10" s="137" t="s">
        <v>27</v>
      </c>
      <c r="J10" s="137" t="s">
        <v>28</v>
      </c>
      <c r="K10" s="137" t="s">
        <v>29</v>
      </c>
      <c r="L10" s="137" t="s">
        <v>30</v>
      </c>
      <c r="M10" s="137" t="s">
        <v>17</v>
      </c>
      <c r="N10" s="137" t="s">
        <v>18</v>
      </c>
      <c r="O10" s="72"/>
    </row>
    <row r="11" spans="1:15" x14ac:dyDescent="0.3">
      <c r="A11" s="109">
        <v>10</v>
      </c>
      <c r="B11" s="34" t="s">
        <v>50</v>
      </c>
      <c r="C11" s="23" t="s">
        <v>51</v>
      </c>
      <c r="D11" s="36">
        <v>1</v>
      </c>
      <c r="E11" s="23">
        <v>116</v>
      </c>
      <c r="F11" s="23" t="s">
        <v>31</v>
      </c>
      <c r="G11" s="23"/>
      <c r="H11" s="22"/>
      <c r="I11" s="24" t="s">
        <v>33</v>
      </c>
      <c r="J11" s="124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38" t="s">
        <v>18</v>
      </c>
      <c r="N12" s="139">
        <f>SUM(N11:N11)</f>
        <v>1.3309329600000002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40" t="s">
        <v>14</v>
      </c>
      <c r="B14" s="137" t="s">
        <v>34</v>
      </c>
      <c r="C14" s="137" t="s">
        <v>21</v>
      </c>
      <c r="D14" s="137" t="s">
        <v>22</v>
      </c>
      <c r="E14" s="137" t="s">
        <v>35</v>
      </c>
      <c r="F14" s="137" t="s">
        <v>17</v>
      </c>
      <c r="G14" s="137" t="s">
        <v>36</v>
      </c>
      <c r="H14" s="137" t="s">
        <v>37</v>
      </c>
      <c r="I14" s="137" t="s">
        <v>18</v>
      </c>
      <c r="J14" s="28"/>
      <c r="K14" s="28"/>
      <c r="L14" s="28"/>
      <c r="M14" s="28"/>
      <c r="N14" s="28"/>
      <c r="O14" s="72"/>
    </row>
    <row r="15" spans="1:15" ht="43.2" x14ac:dyDescent="0.3">
      <c r="A15" s="110">
        <v>10</v>
      </c>
      <c r="B15" s="31" t="s">
        <v>52</v>
      </c>
      <c r="C15" s="37" t="s">
        <v>53</v>
      </c>
      <c r="D15" s="38">
        <v>1.3</v>
      </c>
      <c r="E15" s="31" t="s">
        <v>38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28.8" x14ac:dyDescent="0.3">
      <c r="A16" s="74">
        <v>20</v>
      </c>
      <c r="B16" s="31" t="s">
        <v>54</v>
      </c>
      <c r="C16" s="20" t="s">
        <v>55</v>
      </c>
      <c r="D16" s="36">
        <v>0.01</v>
      </c>
      <c r="E16" s="20" t="s">
        <v>56</v>
      </c>
      <c r="F16" s="39">
        <v>135.8913</v>
      </c>
      <c r="G16" s="31" t="s">
        <v>57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x14ac:dyDescent="0.3">
      <c r="A17" s="111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3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111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41" t="s">
        <v>18</v>
      </c>
      <c r="I21" s="139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3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3">
      <c r="A23" s="140" t="s">
        <v>14</v>
      </c>
      <c r="B23" s="137" t="s">
        <v>39</v>
      </c>
      <c r="C23" s="137" t="s">
        <v>21</v>
      </c>
      <c r="D23" s="137" t="s">
        <v>22</v>
      </c>
      <c r="E23" s="137" t="s">
        <v>23</v>
      </c>
      <c r="F23" s="137" t="s">
        <v>24</v>
      </c>
      <c r="G23" s="137" t="s">
        <v>25</v>
      </c>
      <c r="H23" s="137" t="s">
        <v>26</v>
      </c>
      <c r="I23" s="137" t="s">
        <v>17</v>
      </c>
      <c r="J23" s="137" t="s">
        <v>18</v>
      </c>
      <c r="K23" s="66"/>
      <c r="L23" s="66"/>
      <c r="M23" s="66"/>
      <c r="N23" s="66"/>
      <c r="O23" s="72"/>
    </row>
    <row r="24" spans="1:15" x14ac:dyDescent="0.3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3">
      <c r="A27" s="78"/>
      <c r="B27" s="28"/>
      <c r="C27" s="28"/>
      <c r="D27" s="28"/>
      <c r="E27" s="28"/>
      <c r="F27" s="28"/>
      <c r="G27" s="28"/>
      <c r="H27" s="28"/>
      <c r="I27" s="141" t="s">
        <v>18</v>
      </c>
      <c r="J27" s="139">
        <f>SUM(J24:J26)</f>
        <v>0</v>
      </c>
      <c r="K27" s="66"/>
      <c r="L27" s="66"/>
      <c r="M27" s="66"/>
      <c r="N27" s="66"/>
      <c r="O27" s="72"/>
    </row>
    <row r="28" spans="1:15" x14ac:dyDescent="0.3">
      <c r="A28" s="112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3">
      <c r="A29" s="140" t="s">
        <v>14</v>
      </c>
      <c r="B29" s="137" t="s">
        <v>42</v>
      </c>
      <c r="C29" s="137" t="s">
        <v>21</v>
      </c>
      <c r="D29" s="137" t="s">
        <v>22</v>
      </c>
      <c r="E29" s="137" t="s">
        <v>35</v>
      </c>
      <c r="F29" s="137" t="s">
        <v>17</v>
      </c>
      <c r="G29" s="137" t="s">
        <v>43</v>
      </c>
      <c r="H29" s="137" t="s">
        <v>58</v>
      </c>
      <c r="I29" s="137" t="s">
        <v>18</v>
      </c>
      <c r="J29" s="28"/>
      <c r="K29" s="66"/>
      <c r="L29" s="66"/>
      <c r="M29" s="66"/>
      <c r="N29" s="66"/>
      <c r="O29" s="72"/>
    </row>
    <row r="30" spans="1:15" x14ac:dyDescent="0.3">
      <c r="A30" s="74">
        <v>10</v>
      </c>
      <c r="B30" s="20" t="s">
        <v>45</v>
      </c>
      <c r="C30" s="20" t="s">
        <v>46</v>
      </c>
      <c r="D30" s="36">
        <v>500</v>
      </c>
      <c r="E30" s="20" t="s">
        <v>47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3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3">
      <c r="A32" s="78"/>
      <c r="B32" s="28"/>
      <c r="C32" s="28"/>
      <c r="D32" s="28"/>
      <c r="E32" s="28"/>
      <c r="F32" s="28"/>
      <c r="G32" s="28"/>
      <c r="H32" s="141" t="s">
        <v>18</v>
      </c>
      <c r="I32" s="139">
        <f>SUM(I30:I31)</f>
        <v>0.83333333333333337</v>
      </c>
      <c r="J32" s="28"/>
      <c r="K32" s="66"/>
      <c r="L32" s="66"/>
      <c r="M32" s="66"/>
      <c r="N32" s="66"/>
      <c r="O32" s="72"/>
    </row>
    <row r="33" spans="1:15" ht="15" thickBot="1" x14ac:dyDescent="0.3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K30" sqref="K30"/>
    </sheetView>
  </sheetViews>
  <sheetFormatPr baseColWidth="10" defaultRowHeight="14.4" x14ac:dyDescent="0.3"/>
  <sheetData>
    <row r="1" spans="1:15" x14ac:dyDescent="0.3">
      <c r="A1" s="132" t="s">
        <v>0</v>
      </c>
      <c r="B1" s="16" t="s">
        <v>48</v>
      </c>
      <c r="C1" s="66"/>
      <c r="D1" s="66"/>
      <c r="E1" s="66"/>
      <c r="F1" s="66"/>
      <c r="G1" s="66" t="s">
        <v>146</v>
      </c>
      <c r="H1" s="66"/>
      <c r="I1" s="66"/>
      <c r="J1" s="133" t="s">
        <v>1</v>
      </c>
      <c r="K1" s="107">
        <v>81</v>
      </c>
      <c r="L1" s="66"/>
      <c r="M1" s="132" t="s">
        <v>16</v>
      </c>
      <c r="N1" s="84" t="e">
        <f>BR_01001_m+BR_01001_p+BR_01001_f+BR_01001_t</f>
        <v>#REF!</v>
      </c>
      <c r="O1" s="72"/>
    </row>
    <row r="2" spans="1:15" x14ac:dyDescent="0.3">
      <c r="A2" s="132" t="s">
        <v>3</v>
      </c>
      <c r="B2" s="16" t="str">
        <f>'ST Assembly'!B2</f>
        <v>Ecole Centrale de Lyon</v>
      </c>
      <c r="C2" s="66"/>
      <c r="D2" s="132" t="s">
        <v>6</v>
      </c>
      <c r="E2" s="116" t="s">
        <v>104</v>
      </c>
      <c r="F2" s="66"/>
      <c r="G2" s="66"/>
      <c r="H2" s="66"/>
      <c r="I2" s="66"/>
      <c r="J2" s="66"/>
      <c r="K2" s="66"/>
      <c r="L2" s="66"/>
      <c r="M2" s="132" t="s">
        <v>4</v>
      </c>
      <c r="N2" s="101">
        <v>1</v>
      </c>
      <c r="O2" s="72"/>
    </row>
    <row r="3" spans="1:15" x14ac:dyDescent="0.3">
      <c r="A3" s="132" t="s">
        <v>5</v>
      </c>
      <c r="B3" s="115" t="str">
        <f>'ST Assembly'!B3</f>
        <v>Steering System</v>
      </c>
      <c r="C3" s="66"/>
      <c r="D3" s="132" t="s">
        <v>8</v>
      </c>
      <c r="E3" s="66"/>
      <c r="F3" s="66"/>
      <c r="G3" s="66"/>
      <c r="H3" s="66"/>
      <c r="I3" s="66"/>
      <c r="J3" s="134" t="s">
        <v>6</v>
      </c>
      <c r="K3" s="66"/>
      <c r="L3" s="66"/>
      <c r="M3" s="66"/>
      <c r="N3" s="66"/>
      <c r="O3" s="72"/>
    </row>
    <row r="4" spans="1:15" x14ac:dyDescent="0.3">
      <c r="A4" s="132" t="s">
        <v>15</v>
      </c>
      <c r="B4" s="19" t="s">
        <v>213</v>
      </c>
      <c r="C4" s="66"/>
      <c r="D4" s="132" t="s">
        <v>12</v>
      </c>
      <c r="E4" s="66"/>
      <c r="F4" s="66"/>
      <c r="G4" s="66"/>
      <c r="H4" s="66"/>
      <c r="I4" s="66"/>
      <c r="J4" s="134" t="s">
        <v>8</v>
      </c>
      <c r="K4" s="66"/>
      <c r="L4" s="66"/>
      <c r="M4" s="132" t="s">
        <v>9</v>
      </c>
      <c r="N4" s="84" t="e">
        <f>N2*N1</f>
        <v>#REF!</v>
      </c>
      <c r="O4" s="72"/>
    </row>
    <row r="5" spans="1:15" x14ac:dyDescent="0.3">
      <c r="A5" s="132" t="s">
        <v>7</v>
      </c>
      <c r="B5" s="32" t="s">
        <v>214</v>
      </c>
      <c r="C5" s="66"/>
      <c r="D5" s="66"/>
      <c r="E5" s="66"/>
      <c r="F5" s="66"/>
      <c r="G5" s="66"/>
      <c r="H5" s="66"/>
      <c r="I5" s="66"/>
      <c r="J5" s="134" t="s">
        <v>12</v>
      </c>
      <c r="K5" s="66"/>
      <c r="L5" s="66"/>
      <c r="M5" s="66"/>
      <c r="N5" s="66"/>
      <c r="O5" s="72"/>
    </row>
    <row r="6" spans="1:15" x14ac:dyDescent="0.3">
      <c r="A6" s="132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72"/>
    </row>
    <row r="7" spans="1:15" x14ac:dyDescent="0.3">
      <c r="A7" s="132" t="s">
        <v>13</v>
      </c>
      <c r="B7" s="169" t="s">
        <v>175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08"/>
      <c r="B8" s="33"/>
      <c r="C8" s="33"/>
      <c r="D8" s="33"/>
      <c r="E8" s="33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35" t="s">
        <v>14</v>
      </c>
      <c r="B9" s="136" t="s">
        <v>20</v>
      </c>
      <c r="C9" s="136" t="s">
        <v>21</v>
      </c>
      <c r="D9" s="136" t="s">
        <v>22</v>
      </c>
      <c r="E9" s="136" t="s">
        <v>23</v>
      </c>
      <c r="F9" s="137" t="s">
        <v>24</v>
      </c>
      <c r="G9" s="137" t="s">
        <v>25</v>
      </c>
      <c r="H9" s="137" t="s">
        <v>26</v>
      </c>
      <c r="I9" s="137" t="s">
        <v>27</v>
      </c>
      <c r="J9" s="137" t="s">
        <v>28</v>
      </c>
      <c r="K9" s="137" t="s">
        <v>29</v>
      </c>
      <c r="L9" s="137" t="s">
        <v>30</v>
      </c>
      <c r="M9" s="137" t="s">
        <v>17</v>
      </c>
      <c r="N9" s="137" t="s">
        <v>18</v>
      </c>
      <c r="O9" s="72"/>
    </row>
    <row r="10" spans="1:15" x14ac:dyDescent="0.3">
      <c r="A10" s="109">
        <v>10</v>
      </c>
      <c r="B10" s="34" t="s">
        <v>50</v>
      </c>
      <c r="C10" s="23" t="s">
        <v>51</v>
      </c>
      <c r="D10" s="36">
        <v>1</v>
      </c>
      <c r="E10" s="23">
        <v>116</v>
      </c>
      <c r="F10" s="23" t="s">
        <v>31</v>
      </c>
      <c r="G10" s="23"/>
      <c r="H10" s="22"/>
      <c r="I10" s="24" t="s">
        <v>33</v>
      </c>
      <c r="J10" s="124">
        <f>(E10*10^-3)^2*3.14</f>
        <v>4.2251840000000006E-2</v>
      </c>
      <c r="K10" s="25">
        <v>4.4999999999999997E-3</v>
      </c>
      <c r="L10" s="35">
        <v>7000</v>
      </c>
      <c r="M10" s="27">
        <v>1</v>
      </c>
      <c r="N10" s="36">
        <f>IF(J10="",D10*M10,D10*J10*K10*L10*M10)</f>
        <v>1.3309329600000002</v>
      </c>
      <c r="O10" s="77"/>
    </row>
    <row r="11" spans="1:15" x14ac:dyDescent="0.3">
      <c r="A11" s="7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38" t="s">
        <v>18</v>
      </c>
      <c r="N11" s="139">
        <f>SUM(N10:N10)</f>
        <v>1.3309329600000002</v>
      </c>
      <c r="O11" s="72"/>
    </row>
    <row r="12" spans="1:15" x14ac:dyDescent="0.3">
      <c r="A12" s="7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72"/>
    </row>
    <row r="13" spans="1:15" x14ac:dyDescent="0.3">
      <c r="A13" s="140" t="s">
        <v>14</v>
      </c>
      <c r="B13" s="137" t="s">
        <v>34</v>
      </c>
      <c r="C13" s="137" t="s">
        <v>21</v>
      </c>
      <c r="D13" s="137" t="s">
        <v>22</v>
      </c>
      <c r="E13" s="137" t="s">
        <v>35</v>
      </c>
      <c r="F13" s="137" t="s">
        <v>17</v>
      </c>
      <c r="G13" s="137" t="s">
        <v>36</v>
      </c>
      <c r="H13" s="137" t="s">
        <v>37</v>
      </c>
      <c r="I13" s="137" t="s">
        <v>18</v>
      </c>
      <c r="J13" s="28"/>
      <c r="K13" s="28"/>
      <c r="L13" s="28"/>
      <c r="M13" s="28"/>
      <c r="N13" s="28"/>
      <c r="O13" s="72"/>
    </row>
    <row r="14" spans="1:15" ht="43.2" x14ac:dyDescent="0.3">
      <c r="A14" s="110">
        <v>10</v>
      </c>
      <c r="B14" s="31" t="s">
        <v>52</v>
      </c>
      <c r="C14" s="37" t="s">
        <v>53</v>
      </c>
      <c r="D14" s="38">
        <v>1.3</v>
      </c>
      <c r="E14" s="31" t="s">
        <v>38</v>
      </c>
      <c r="F14" s="37">
        <v>1</v>
      </c>
      <c r="G14" s="37"/>
      <c r="H14" s="37"/>
      <c r="I14" s="38">
        <f t="shared" ref="I14:I19" si="0">IF(H14="",D14*F14,D14*F14*H14)</f>
        <v>1.3</v>
      </c>
      <c r="J14" s="68"/>
      <c r="K14" s="68"/>
      <c r="L14" s="68"/>
      <c r="M14" s="68"/>
      <c r="N14" s="68"/>
      <c r="O14" s="79"/>
    </row>
    <row r="15" spans="1:15" ht="28.8" x14ac:dyDescent="0.3">
      <c r="A15" s="74">
        <v>20</v>
      </c>
      <c r="B15" s="31" t="s">
        <v>54</v>
      </c>
      <c r="C15" s="20" t="s">
        <v>55</v>
      </c>
      <c r="D15" s="36">
        <v>0.01</v>
      </c>
      <c r="E15" s="20" t="s">
        <v>56</v>
      </c>
      <c r="F15" s="39">
        <v>135.8913</v>
      </c>
      <c r="G15" s="31" t="s">
        <v>57</v>
      </c>
      <c r="H15" s="30">
        <v>2.5</v>
      </c>
      <c r="I15" s="36">
        <f t="shared" si="0"/>
        <v>3.3972825000000002</v>
      </c>
      <c r="J15" s="66"/>
      <c r="K15" s="66"/>
      <c r="L15" s="66"/>
      <c r="M15" s="66"/>
      <c r="N15" s="66"/>
      <c r="O15" s="72"/>
    </row>
    <row r="16" spans="1:15" x14ac:dyDescent="0.3">
      <c r="A16" s="111"/>
      <c r="B16" s="31"/>
      <c r="C16" s="30"/>
      <c r="D16" s="36"/>
      <c r="E16" s="31"/>
      <c r="F16" s="30"/>
      <c r="G16" s="30"/>
      <c r="H16" s="30"/>
      <c r="I16" s="36">
        <f t="shared" si="0"/>
        <v>0</v>
      </c>
      <c r="J16" s="67"/>
      <c r="K16" s="67"/>
      <c r="L16" s="67"/>
      <c r="M16" s="67"/>
      <c r="N16" s="67"/>
      <c r="O16" s="76"/>
    </row>
    <row r="17" spans="1:15" x14ac:dyDescent="0.3">
      <c r="A17" s="74"/>
      <c r="B17" s="31"/>
      <c r="C17" s="20"/>
      <c r="D17" s="36"/>
      <c r="E17" s="20"/>
      <c r="F17" s="39"/>
      <c r="G17" s="31"/>
      <c r="H17" s="30"/>
      <c r="I17" s="36">
        <f t="shared" si="0"/>
        <v>0</v>
      </c>
      <c r="J17" s="66"/>
      <c r="K17" s="66"/>
      <c r="L17" s="66"/>
      <c r="M17" s="66"/>
      <c r="N17" s="66"/>
      <c r="O17" s="72"/>
    </row>
    <row r="18" spans="1:15" x14ac:dyDescent="0.3">
      <c r="A18" s="111"/>
      <c r="B18" s="21" t="s">
        <v>19</v>
      </c>
      <c r="C18" s="30"/>
      <c r="D18" s="36"/>
      <c r="E18" s="31"/>
      <c r="F18" s="30"/>
      <c r="G18" s="30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74"/>
      <c r="B19" s="31"/>
      <c r="C19" s="20"/>
      <c r="D19" s="36"/>
      <c r="E19" s="20"/>
      <c r="F19" s="39"/>
      <c r="G19" s="31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8"/>
      <c r="B20" s="28"/>
      <c r="C20" s="28"/>
      <c r="D20" s="28"/>
      <c r="E20" s="28"/>
      <c r="F20" s="28"/>
      <c r="G20" s="28"/>
      <c r="H20" s="141" t="s">
        <v>18</v>
      </c>
      <c r="I20" s="139">
        <f>SUM(I14:I19)</f>
        <v>4.6972825</v>
      </c>
      <c r="J20" s="28"/>
      <c r="K20" s="28"/>
      <c r="L20" s="28"/>
      <c r="M20" s="28"/>
      <c r="N20" s="28"/>
      <c r="O20" s="72"/>
    </row>
    <row r="21" spans="1:15" x14ac:dyDescent="0.3">
      <c r="A21" s="73"/>
      <c r="B21" s="66"/>
      <c r="C21" s="66"/>
      <c r="D21" s="66"/>
      <c r="E21" s="66"/>
      <c r="F21" s="66"/>
      <c r="G21" s="66"/>
      <c r="H21" s="66"/>
      <c r="I21" s="67"/>
      <c r="J21" s="66"/>
      <c r="K21" s="66"/>
      <c r="L21" s="66"/>
      <c r="M21" s="66"/>
      <c r="N21" s="66"/>
      <c r="O21" s="72"/>
    </row>
    <row r="22" spans="1:15" x14ac:dyDescent="0.3">
      <c r="A22" s="140" t="s">
        <v>14</v>
      </c>
      <c r="B22" s="137" t="s">
        <v>39</v>
      </c>
      <c r="C22" s="137" t="s">
        <v>21</v>
      </c>
      <c r="D22" s="137" t="s">
        <v>22</v>
      </c>
      <c r="E22" s="137" t="s">
        <v>23</v>
      </c>
      <c r="F22" s="137" t="s">
        <v>24</v>
      </c>
      <c r="G22" s="137" t="s">
        <v>25</v>
      </c>
      <c r="H22" s="137" t="s">
        <v>26</v>
      </c>
      <c r="I22" s="137" t="s">
        <v>17</v>
      </c>
      <c r="J22" s="137" t="s">
        <v>18</v>
      </c>
      <c r="K22" s="66"/>
      <c r="L22" s="66"/>
      <c r="M22" s="66"/>
      <c r="N22" s="66"/>
      <c r="O22" s="72"/>
    </row>
    <row r="23" spans="1:15" x14ac:dyDescent="0.3">
      <c r="A23" s="74"/>
      <c r="B23" s="20"/>
      <c r="C23" s="20"/>
      <c r="D23" s="36"/>
      <c r="E23" s="20"/>
      <c r="F23" s="40"/>
      <c r="G23" s="20"/>
      <c r="H23" s="20"/>
      <c r="I23" s="41"/>
      <c r="J23" s="36">
        <f>I23*D23</f>
        <v>0</v>
      </c>
      <c r="K23" s="66"/>
      <c r="L23" s="66"/>
      <c r="M23" s="66"/>
      <c r="N23" s="66"/>
      <c r="O23" s="72"/>
    </row>
    <row r="24" spans="1:15" x14ac:dyDescent="0.3">
      <c r="A24" s="74"/>
      <c r="B24" s="21" t="s">
        <v>19</v>
      </c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0"/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8"/>
      <c r="B26" s="28"/>
      <c r="C26" s="28"/>
      <c r="D26" s="28"/>
      <c r="E26" s="28"/>
      <c r="F26" s="28"/>
      <c r="G26" s="28"/>
      <c r="H26" s="28"/>
      <c r="I26" s="141" t="s">
        <v>18</v>
      </c>
      <c r="J26" s="139">
        <f>SUM(J23:J25)</f>
        <v>0</v>
      </c>
      <c r="K26" s="66"/>
      <c r="L26" s="66"/>
      <c r="M26" s="66"/>
      <c r="N26" s="66"/>
      <c r="O26" s="72"/>
    </row>
    <row r="27" spans="1:15" x14ac:dyDescent="0.3">
      <c r="A27" s="112"/>
      <c r="B27" s="67"/>
      <c r="C27" s="67"/>
      <c r="D27" s="67"/>
      <c r="E27" s="67"/>
      <c r="F27" s="67"/>
      <c r="G27" s="67"/>
      <c r="H27" s="17"/>
      <c r="I27" s="42"/>
      <c r="J27" s="67"/>
      <c r="K27" s="66"/>
      <c r="L27" s="66"/>
      <c r="M27" s="66"/>
      <c r="N27" s="66"/>
      <c r="O27" s="72"/>
    </row>
    <row r="28" spans="1:15" x14ac:dyDescent="0.3">
      <c r="A28" s="140" t="s">
        <v>14</v>
      </c>
      <c r="B28" s="137" t="s">
        <v>42</v>
      </c>
      <c r="C28" s="137" t="s">
        <v>21</v>
      </c>
      <c r="D28" s="137" t="s">
        <v>22</v>
      </c>
      <c r="E28" s="137" t="s">
        <v>35</v>
      </c>
      <c r="F28" s="137" t="s">
        <v>17</v>
      </c>
      <c r="G28" s="137" t="s">
        <v>43</v>
      </c>
      <c r="H28" s="137" t="s">
        <v>58</v>
      </c>
      <c r="I28" s="137" t="s">
        <v>18</v>
      </c>
      <c r="J28" s="28"/>
      <c r="K28" s="66"/>
      <c r="L28" s="66"/>
      <c r="M28" s="66"/>
      <c r="N28" s="66"/>
      <c r="O28" s="72"/>
    </row>
    <row r="29" spans="1:15" x14ac:dyDescent="0.3">
      <c r="A29" s="74">
        <v>10</v>
      </c>
      <c r="B29" s="20" t="s">
        <v>45</v>
      </c>
      <c r="C29" s="20" t="s">
        <v>46</v>
      </c>
      <c r="D29" s="36">
        <v>500</v>
      </c>
      <c r="E29" s="20" t="s">
        <v>47</v>
      </c>
      <c r="F29" s="20">
        <v>5</v>
      </c>
      <c r="G29" s="20">
        <v>3000</v>
      </c>
      <c r="H29" s="20">
        <v>1</v>
      </c>
      <c r="I29" s="36">
        <f>D29*F29/G29*H29</f>
        <v>0.83333333333333337</v>
      </c>
      <c r="J29" s="67"/>
      <c r="K29" s="67"/>
      <c r="L29" s="67"/>
      <c r="M29" s="67"/>
      <c r="N29" s="67"/>
      <c r="O29" s="76"/>
    </row>
    <row r="30" spans="1:15" x14ac:dyDescent="0.3">
      <c r="A30" s="74"/>
      <c r="B30" s="20"/>
      <c r="C30" s="20"/>
      <c r="D30" s="20"/>
      <c r="E30" s="20"/>
      <c r="F30" s="36"/>
      <c r="G30" s="20"/>
      <c r="H30" s="20"/>
      <c r="I30" s="36"/>
      <c r="J30" s="67"/>
      <c r="K30" s="66"/>
      <c r="L30" s="66"/>
      <c r="M30" s="66"/>
      <c r="N30" s="66"/>
      <c r="O30" s="72"/>
    </row>
    <row r="31" spans="1:15" x14ac:dyDescent="0.3">
      <c r="A31" s="78"/>
      <c r="B31" s="28"/>
      <c r="C31" s="28"/>
      <c r="D31" s="28"/>
      <c r="E31" s="28"/>
      <c r="F31" s="28"/>
      <c r="G31" s="28"/>
      <c r="H31" s="141" t="s">
        <v>18</v>
      </c>
      <c r="I31" s="139">
        <f>SUM(I29:I30)</f>
        <v>0.83333333333333337</v>
      </c>
      <c r="J31" s="28"/>
      <c r="K31" s="66"/>
      <c r="L31" s="66"/>
      <c r="M31" s="66"/>
      <c r="N31" s="66"/>
      <c r="O31" s="72"/>
    </row>
    <row r="32" spans="1:15" ht="15" thickBot="1" x14ac:dyDescent="0.35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2"/>
    </row>
  </sheetData>
  <hyperlinks>
    <hyperlink ref="B3" location="BR_A0001" display="BR_A0001"/>
    <hyperlink ref="E2" location="dBR_01001" display="Draw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17</vt:i4>
      </vt:variant>
    </vt:vector>
  </HeadingPairs>
  <TitlesOfParts>
    <vt:vector size="36" baseType="lpstr">
      <vt:lpstr>Instructions</vt:lpstr>
      <vt:lpstr>BOM</vt:lpstr>
      <vt:lpstr>ST Assembly</vt:lpstr>
      <vt:lpstr>ST_A0100</vt:lpstr>
      <vt:lpstr>ST_01001</vt:lpstr>
      <vt:lpstr>ST_01002</vt:lpstr>
      <vt:lpstr>ST_01003</vt:lpstr>
      <vt:lpstr>ST_01004</vt:lpstr>
      <vt:lpstr>ST_01005</vt:lpstr>
      <vt:lpstr>ST_A0200</vt:lpstr>
      <vt:lpstr>ST_A0300</vt:lpstr>
      <vt:lpstr>ST_03001</vt:lpstr>
      <vt:lpstr>ST_03002</vt:lpstr>
      <vt:lpstr>ST_03003</vt:lpstr>
      <vt:lpstr>ST_0400</vt:lpstr>
      <vt:lpstr>ST_0500</vt:lpstr>
      <vt:lpstr>ST_0600</vt:lpstr>
      <vt:lpstr>ST_ex</vt:lpstr>
      <vt:lpstr>ST_A0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EL_A0001</vt:lpstr>
      <vt:lpstr>EL_A0001_f</vt:lpstr>
      <vt:lpstr>El_A0001_m</vt:lpstr>
      <vt:lpstr>EL_A0001_p</vt:lpstr>
      <vt:lpstr>EL_A0001_q</vt:lpstr>
      <vt:lpstr>EL_A0001_t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Guillaume Touzé</cp:lastModifiedBy>
  <cp:revision>0</cp:revision>
  <dcterms:created xsi:type="dcterms:W3CDTF">2015-05-29T18:57:13Z</dcterms:created>
  <dcterms:modified xsi:type="dcterms:W3CDTF">2018-04-26T10:23:27Z</dcterms:modified>
  <dc:language>fr-FR</dc:language>
</cp:coreProperties>
</file>