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FR_A0300 (Pedal Assy)\Cost\"/>
    </mc:Choice>
  </mc:AlternateContent>
  <bookViews>
    <workbookView xWindow="4740" yWindow="60" windowWidth="16380" windowHeight="8196" firstSheet="19" activeTab="25"/>
  </bookViews>
  <sheets>
    <sheet name="Instructions" sheetId="7" r:id="rId1"/>
    <sheet name="BOM" sheetId="8" r:id="rId2"/>
    <sheet name="FR A0300" sheetId="1" r:id="rId3"/>
    <sheet name="FR_0300_000" sheetId="2" r:id="rId4"/>
    <sheet name="dFR_0300_000" sheetId="9" r:id="rId5"/>
    <sheet name="FR_0300_001" sheetId="13" r:id="rId6"/>
    <sheet name="dFR_0300_001" sheetId="14" r:id="rId7"/>
    <sheet name="FR_0300_002" sheetId="15" r:id="rId8"/>
    <sheet name="dFR_0300_002" sheetId="33" r:id="rId9"/>
    <sheet name="FR_0300_003" sheetId="20" r:id="rId10"/>
    <sheet name="dFR_0300_003" sheetId="34" r:id="rId11"/>
    <sheet name="FR_0300_004" sheetId="21" r:id="rId12"/>
    <sheet name="dFR_0300_004" sheetId="35" r:id="rId13"/>
    <sheet name="FR_0300_005" sheetId="22" r:id="rId14"/>
    <sheet name="dFR_0300_005" sheetId="36" r:id="rId15"/>
    <sheet name="FR_0300_006" sheetId="23" r:id="rId16"/>
    <sheet name="dFR_0300_006" sheetId="37" r:id="rId17"/>
    <sheet name="FR_0300_007" sheetId="24" r:id="rId18"/>
    <sheet name="dFR_0300_007" sheetId="38" r:id="rId19"/>
    <sheet name="FR_0300_008" sheetId="25" r:id="rId20"/>
    <sheet name="dFR_0300_008" sheetId="39" r:id="rId21"/>
    <sheet name="FR_0300_009" sheetId="26" r:id="rId22"/>
    <sheet name="dFR_0300_009" sheetId="40" r:id="rId23"/>
    <sheet name="FR_0300_010" sheetId="27" r:id="rId24"/>
    <sheet name="dFR_0300_010" sheetId="41" r:id="rId25"/>
    <sheet name="FR_0300_011" sheetId="29" r:id="rId26"/>
    <sheet name="dFR_0300_011" sheetId="42" r:id="rId27"/>
    <sheet name="FR_0300_012" sheetId="30" r:id="rId28"/>
    <sheet name="dFR_0300_012" sheetId="43" r:id="rId29"/>
    <sheet name="FR_0300_013" sheetId="31" r:id="rId30"/>
    <sheet name="dFR_0300_013" sheetId="44" r:id="rId3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dFR_0300_000!$B$1</definedName>
    <definedName name="dede">#REF!</definedName>
    <definedName name="dEL_01001">dFR_0300_000!$B$1</definedName>
    <definedName name="dqwdqd">#REF!</definedName>
    <definedName name="eded">#REF!</definedName>
    <definedName name="EL_02001">FR_0300_000!#REF!</definedName>
    <definedName name="EL_02001_f">FR_0300_000!#REF!</definedName>
    <definedName name="EL_02001_m">FR_0300_000!#REF!</definedName>
    <definedName name="EL_02001_p">FR_0300_000!#REF!</definedName>
    <definedName name="EL_02001_q">FR_0300_000!#REF!</definedName>
    <definedName name="EL_02001_t">FR_0300_000!#REF!</definedName>
    <definedName name="EL_02002">FR_0300_000!#REF!</definedName>
    <definedName name="EL_02002_f">FR_0300_000!#REF!</definedName>
    <definedName name="EL_02002_m">FR_0300_000!#REF!</definedName>
    <definedName name="EL_02002_p">FR_0300_000!#REF!</definedName>
    <definedName name="EL_02002_q">FR_0300_000!#REF!</definedName>
    <definedName name="EL_02002_t">FR_0300_000!#REF!</definedName>
    <definedName name="EL_A0002">'FR A0300'!#REF!</definedName>
    <definedName name="er">#REF!</definedName>
    <definedName name="ervcdx">#REF!</definedName>
    <definedName name="ezfdscx">#REF!</definedName>
    <definedName name="FR_0300_000">FR_0300_000!$B$6</definedName>
    <definedName name="FR_0300_000_m">FR_0300_000!$N$12</definedName>
    <definedName name="FR_0300_000_p">FR_0300_000!$I$19</definedName>
    <definedName name="FR_0300_000_q">FR_0300_000!$N$3</definedName>
    <definedName name="FR_0300_001">FR_0300_001!$B$6</definedName>
    <definedName name="FR_0300_001_m">FR_0300_001!$N$12</definedName>
    <definedName name="FR_0300_001_p">FR_0300_001!$I$21</definedName>
    <definedName name="FR_0300_001_q">FR_0300_001!$N$3</definedName>
    <definedName name="FR_0300_002">FR_0300_002!$B$6</definedName>
    <definedName name="FR_0300_002_m">FR_0300_002!$N$12</definedName>
    <definedName name="FR_0300_002_p">FR_0300_002!$I$19</definedName>
    <definedName name="FR_0300_002_q">FR_0300_002!$N$3</definedName>
    <definedName name="FR_0300_003">FR_0300_003!$B$6</definedName>
    <definedName name="FR_0300_003_m">FR_0300_003!$N$12</definedName>
    <definedName name="FR_0300_003_p">FR_0300_003!$I$19</definedName>
    <definedName name="FR_0300_003_q">FR_0300_003!$N$3</definedName>
    <definedName name="FR_0300_004">FR_0300_004!$B$6</definedName>
    <definedName name="FR_0300_004_m">FR_0300_004!$N$12</definedName>
    <definedName name="FR_0300_004_p">FR_0300_004!$I$19</definedName>
    <definedName name="FR_0300_004_q">FR_0300_004!$N$3</definedName>
    <definedName name="FR_0300_005">FR_0300_005!$B$6</definedName>
    <definedName name="FR_0300_005_m">FR_0300_005!$N$12</definedName>
    <definedName name="FR_0300_005_p">FR_0300_005!$I$17</definedName>
    <definedName name="FR_0300_005_q">FR_0300_005!$N$3</definedName>
    <definedName name="FR_0300_006">FR_0300_006!$B$6</definedName>
    <definedName name="FR_0300_006_m">FR_0300_006!$N$12</definedName>
    <definedName name="FR_0300_006_p">FR_0300_006!$I$17</definedName>
    <definedName name="FR_0300_006_q">FR_0300_006!$N$3</definedName>
    <definedName name="FR_0300_007">FR_0300_007!$B$6</definedName>
    <definedName name="FR_0300_007_m">FR_0300_007!$N$12</definedName>
    <definedName name="FR_0300_007_p">FR_0300_007!$I$17</definedName>
    <definedName name="FR_0300_007_q">FR_0300_007!$N$3</definedName>
    <definedName name="FR_0300_008">FR_0300_008!$B$6</definedName>
    <definedName name="FR_0300_008_m">FR_0300_008!$N$12</definedName>
    <definedName name="FR_0300_008_p">FR_0300_008!$I$22</definedName>
    <definedName name="FR_0300_008_q">FR_0300_008!$N$3</definedName>
    <definedName name="FR_0300_009">FR_0300_009!$B$6</definedName>
    <definedName name="FR_0300_009_m">FR_0300_009!$N$12</definedName>
    <definedName name="FR_0300_009_p">FR_0300_009!$I$17</definedName>
    <definedName name="FR_0300_009_q">FR_0300_009!$N$3</definedName>
    <definedName name="FR_0300_010">FR_0300_010!$B$6</definedName>
    <definedName name="FR_0300_010_m">FR_0300_010!$N$12</definedName>
    <definedName name="FR_0300_010_p">FR_0300_010!$I$17</definedName>
    <definedName name="FR_0300_010_q">FR_0300_010!$N$3</definedName>
    <definedName name="FR_0300_011">FR_0300_011!$B$6</definedName>
    <definedName name="FR_0300_011_m">FR_0300_011!$N$12</definedName>
    <definedName name="FR_0300_011_p">FR_0300_011!$I$17</definedName>
    <definedName name="FR_0300_011_q">FR_0300_011!$N$3</definedName>
    <definedName name="FR_0300_012">FR_0300_012!$B$6</definedName>
    <definedName name="FR_0300_012_m">FR_0300_012!$N$12</definedName>
    <definedName name="FR_0300_012_p">FR_0300_012!$I$17</definedName>
    <definedName name="FR_0300_012_q">FR_0300_012!$N$3</definedName>
    <definedName name="FR_0300_013">FR_0300_013!$B$6</definedName>
    <definedName name="FR_0300_013_m">FR_0300_013!$N$12</definedName>
    <definedName name="FR_0300_013_p">FR_0300_013!$I$17</definedName>
    <definedName name="FR_0300_013_q">FR_0300_013!$N$3</definedName>
    <definedName name="FR_0300_015">#REF!</definedName>
    <definedName name="FR_0300_015_m">#REF!</definedName>
    <definedName name="FR_0300_015_p">#REF!</definedName>
    <definedName name="FR_0300_015_q">#REF!</definedName>
    <definedName name="FR_A0300">'FR A0300'!$B$5</definedName>
    <definedName name="FR_A0300_001">FR_0300_001!$B$6</definedName>
    <definedName name="FR_A0300_001_f">FR_0300_001!#REF!</definedName>
    <definedName name="FR_A0300_001_m">FR_0300_001!$N$12</definedName>
    <definedName name="FR_A0300_001_p">FR_0300_001!$I$21</definedName>
    <definedName name="FR_A0300_001_q">FR_0300_001!$N$3</definedName>
    <definedName name="FR_A0300_001_t">FR_0300_001!#REF!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A0300'!$A$5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BOM!$A$1:$N$22</definedName>
  </definedNames>
  <calcPr calcId="162913"/>
</workbook>
</file>

<file path=xl/calcChain.xml><?xml version="1.0" encoding="utf-8"?>
<calcChain xmlns="http://schemas.openxmlformats.org/spreadsheetml/2006/main">
  <c r="N28" i="1" l="1"/>
  <c r="M28" i="1"/>
  <c r="E28" i="1"/>
  <c r="I21" i="13" l="1"/>
  <c r="I19" i="20"/>
  <c r="I19" i="21"/>
  <c r="I18" i="21"/>
  <c r="I18" i="20"/>
  <c r="K10" i="8"/>
  <c r="J21" i="8"/>
  <c r="J20" i="8"/>
  <c r="J19" i="8"/>
  <c r="J18" i="8"/>
  <c r="J17" i="8"/>
  <c r="J16" i="8"/>
  <c r="J15" i="8"/>
  <c r="J14" i="8"/>
  <c r="J13" i="8"/>
  <c r="J12" i="8"/>
  <c r="J10" i="8"/>
  <c r="I21" i="8"/>
  <c r="I20" i="8"/>
  <c r="I19" i="8"/>
  <c r="I18" i="8"/>
  <c r="I17" i="8"/>
  <c r="I16" i="8"/>
  <c r="I15" i="8"/>
  <c r="I14" i="8"/>
  <c r="I13" i="8"/>
  <c r="I12" i="8"/>
  <c r="I11" i="8"/>
  <c r="I10" i="8"/>
  <c r="I8" i="8"/>
  <c r="I7" i="8"/>
  <c r="F21" i="8"/>
  <c r="F20" i="8"/>
  <c r="F19" i="8"/>
  <c r="F18" i="8"/>
  <c r="F17" i="8"/>
  <c r="F16" i="8"/>
  <c r="F15" i="8"/>
  <c r="F14" i="8"/>
  <c r="F13" i="8"/>
  <c r="F12" i="8"/>
  <c r="F11" i="8"/>
  <c r="F10" i="8"/>
  <c r="B18" i="8"/>
  <c r="B19" i="8"/>
  <c r="B20" i="8"/>
  <c r="B21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F34" i="1" l="1"/>
  <c r="D21" i="1" l="1"/>
  <c r="D22" i="1"/>
  <c r="D23" i="1"/>
  <c r="I19" i="25" l="1"/>
  <c r="I20" i="25"/>
  <c r="I15" i="25"/>
  <c r="I16" i="25"/>
  <c r="I16" i="31" l="1"/>
  <c r="I15" i="31"/>
  <c r="N11" i="31"/>
  <c r="N12" i="31" s="1"/>
  <c r="B4" i="31"/>
  <c r="B3" i="31"/>
  <c r="I16" i="30"/>
  <c r="I15" i="30"/>
  <c r="N11" i="30"/>
  <c r="N12" i="30" s="1"/>
  <c r="B4" i="30"/>
  <c r="B3" i="30"/>
  <c r="I16" i="29"/>
  <c r="I15" i="29"/>
  <c r="N11" i="29"/>
  <c r="N12" i="29" s="1"/>
  <c r="B4" i="29"/>
  <c r="B3" i="29"/>
  <c r="D20" i="1"/>
  <c r="I16" i="27"/>
  <c r="I15" i="27"/>
  <c r="N11" i="27"/>
  <c r="N12" i="27" s="1"/>
  <c r="B4" i="27"/>
  <c r="B3" i="27"/>
  <c r="D19" i="1"/>
  <c r="I16" i="26"/>
  <c r="I15" i="26"/>
  <c r="N11" i="26"/>
  <c r="N12" i="26" s="1"/>
  <c r="B4" i="26"/>
  <c r="B3" i="26"/>
  <c r="D18" i="1"/>
  <c r="I21" i="25"/>
  <c r="I18" i="25"/>
  <c r="I17" i="25"/>
  <c r="N11" i="25"/>
  <c r="N12" i="25" s="1"/>
  <c r="B4" i="25"/>
  <c r="B3" i="25"/>
  <c r="D17" i="1"/>
  <c r="I16" i="24"/>
  <c r="I15" i="24"/>
  <c r="N11" i="24"/>
  <c r="N12" i="24" s="1"/>
  <c r="B4" i="24"/>
  <c r="B3" i="24"/>
  <c r="D16" i="1"/>
  <c r="I16" i="23"/>
  <c r="I15" i="23"/>
  <c r="N11" i="23"/>
  <c r="N12" i="23" s="1"/>
  <c r="B4" i="23"/>
  <c r="B3" i="23"/>
  <c r="D15" i="1"/>
  <c r="I16" i="22"/>
  <c r="I15" i="22"/>
  <c r="N11" i="22"/>
  <c r="N12" i="22" s="1"/>
  <c r="B4" i="22"/>
  <c r="B3" i="22"/>
  <c r="D11" i="1"/>
  <c r="D14" i="1"/>
  <c r="I17" i="21"/>
  <c r="I16" i="21"/>
  <c r="I15" i="21"/>
  <c r="N11" i="21"/>
  <c r="N12" i="21" s="1"/>
  <c r="B4" i="21"/>
  <c r="B3" i="21"/>
  <c r="D12" i="1"/>
  <c r="C12" i="1"/>
  <c r="D13" i="1"/>
  <c r="I17" i="20"/>
  <c r="I16" i="20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31" l="1"/>
  <c r="I17" i="30"/>
  <c r="I17" i="29"/>
  <c r="K19" i="8" s="1"/>
  <c r="H19" i="8" s="1"/>
  <c r="N19" i="8" s="1"/>
  <c r="N2" i="29"/>
  <c r="N5" i="29" s="1"/>
  <c r="I17" i="27"/>
  <c r="K18" i="8" s="1"/>
  <c r="H18" i="8" s="1"/>
  <c r="N18" i="8" s="1"/>
  <c r="N2" i="27"/>
  <c r="N5" i="27" s="1"/>
  <c r="I17" i="26"/>
  <c r="I22" i="25"/>
  <c r="I17" i="24"/>
  <c r="K15" i="8" s="1"/>
  <c r="N2" i="24"/>
  <c r="N5" i="24" s="1"/>
  <c r="I17" i="23"/>
  <c r="K14" i="8" s="1"/>
  <c r="I17" i="22"/>
  <c r="K13" i="8" s="1"/>
  <c r="I19" i="15"/>
  <c r="K9" i="8"/>
  <c r="I9" i="8"/>
  <c r="F9" i="8"/>
  <c r="D10" i="1"/>
  <c r="I19" i="13"/>
  <c r="I20" i="13"/>
  <c r="I15" i="13"/>
  <c r="I16" i="13"/>
  <c r="N11" i="13"/>
  <c r="N12" i="13" s="1"/>
  <c r="N2" i="13" s="1"/>
  <c r="C11" i="1" s="1"/>
  <c r="N11" i="2"/>
  <c r="I18" i="13"/>
  <c r="I17" i="13"/>
  <c r="B4" i="13"/>
  <c r="B3" i="13"/>
  <c r="N2" i="25" l="1"/>
  <c r="N5" i="25" s="1"/>
  <c r="K16" i="8"/>
  <c r="N2" i="26"/>
  <c r="N5" i="26" s="1"/>
  <c r="K17" i="8"/>
  <c r="N2" i="31"/>
  <c r="C23" i="1" s="1"/>
  <c r="K21" i="8"/>
  <c r="H21" i="8" s="1"/>
  <c r="N21" i="8" s="1"/>
  <c r="N2" i="23"/>
  <c r="N5" i="23" s="1"/>
  <c r="N2" i="21"/>
  <c r="N5" i="21" s="1"/>
  <c r="K12" i="8"/>
  <c r="N2" i="22"/>
  <c r="N5" i="22" s="1"/>
  <c r="N2" i="30"/>
  <c r="C22" i="1" s="1"/>
  <c r="K20" i="8"/>
  <c r="H20" i="8" s="1"/>
  <c r="N20" i="8" s="1"/>
  <c r="N2" i="20"/>
  <c r="N5" i="20" s="1"/>
  <c r="K11" i="8"/>
  <c r="N5" i="31"/>
  <c r="N5" i="30"/>
  <c r="C21" i="1"/>
  <c r="C20" i="1"/>
  <c r="C17" i="1"/>
  <c r="J9" i="8"/>
  <c r="N2" i="15"/>
  <c r="N5" i="15" s="1"/>
  <c r="N5" i="13"/>
  <c r="I72" i="1"/>
  <c r="D105" i="1"/>
  <c r="J105" i="1" s="1"/>
  <c r="D104" i="1"/>
  <c r="J104" i="1" s="1"/>
  <c r="D87" i="1"/>
  <c r="J87" i="1" s="1"/>
  <c r="D90" i="1"/>
  <c r="J90" i="1" s="1"/>
  <c r="J85" i="1"/>
  <c r="J86" i="1"/>
  <c r="J88" i="1"/>
  <c r="J89" i="1"/>
  <c r="J102" i="1"/>
  <c r="J103" i="1"/>
  <c r="D101" i="1"/>
  <c r="J101" i="1" s="1"/>
  <c r="D98" i="1"/>
  <c r="J98" i="1" s="1"/>
  <c r="D96" i="1"/>
  <c r="J96" i="1" s="1"/>
  <c r="D94" i="1"/>
  <c r="J94" i="1" s="1"/>
  <c r="D93" i="1"/>
  <c r="J93" i="1" s="1"/>
  <c r="D92" i="1"/>
  <c r="J92" i="1" s="1"/>
  <c r="D91" i="1"/>
  <c r="J91" i="1" s="1"/>
  <c r="D84" i="1"/>
  <c r="J84" i="1" s="1"/>
  <c r="D82" i="1"/>
  <c r="J82" i="1" s="1"/>
  <c r="D81" i="1"/>
  <c r="J81" i="1" s="1"/>
  <c r="D79" i="1"/>
  <c r="J79" i="1" s="1"/>
  <c r="D78" i="1"/>
  <c r="J78" i="1" s="1"/>
  <c r="D76" i="1"/>
  <c r="J77" i="1"/>
  <c r="J99" i="1"/>
  <c r="J100" i="1"/>
  <c r="J80" i="1"/>
  <c r="J83" i="1"/>
  <c r="J95" i="1"/>
  <c r="J97" i="1"/>
  <c r="C14" i="1" l="1"/>
  <c r="C18" i="1"/>
  <c r="C19" i="1"/>
  <c r="C16" i="1"/>
  <c r="C15" i="1"/>
  <c r="C13" i="1"/>
  <c r="J76" i="1"/>
  <c r="I34" i="1" l="1"/>
  <c r="I35" i="1"/>
  <c r="I36" i="1"/>
  <c r="F33" i="1"/>
  <c r="I33" i="1" s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F32" i="1"/>
  <c r="N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8" i="8" l="1"/>
  <c r="B3" i="2" l="1"/>
  <c r="B22" i="8"/>
  <c r="B9" i="8"/>
  <c r="B10" i="8"/>
  <c r="B11" i="8"/>
  <c r="B12" i="8"/>
  <c r="B13" i="8"/>
  <c r="B14" i="8"/>
  <c r="B15" i="8"/>
  <c r="B16" i="8"/>
  <c r="B17" i="8"/>
  <c r="B7" i="8"/>
  <c r="B4" i="2" l="1"/>
  <c r="F8" i="8"/>
  <c r="F7" i="8"/>
  <c r="E9" i="8" l="1"/>
  <c r="E13" i="8"/>
  <c r="E17" i="8"/>
  <c r="E21" i="8"/>
  <c r="E10" i="8"/>
  <c r="E14" i="8"/>
  <c r="E18" i="8"/>
  <c r="E8" i="8"/>
  <c r="E11" i="8"/>
  <c r="E15" i="8"/>
  <c r="E19" i="8"/>
  <c r="E12" i="8"/>
  <c r="E16" i="8"/>
  <c r="E20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8" i="2"/>
  <c r="I17" i="2"/>
  <c r="I16" i="2"/>
  <c r="I15" i="2"/>
  <c r="N12" i="2"/>
  <c r="I109" i="1"/>
  <c r="J106" i="1"/>
  <c r="L7" i="8" s="1"/>
  <c r="I32" i="1"/>
  <c r="I73" i="1" s="1"/>
  <c r="K7" i="8" s="1"/>
  <c r="J8" i="8" l="1"/>
  <c r="L22" i="8"/>
  <c r="I110" i="1"/>
  <c r="I19" i="2"/>
  <c r="K8" i="8" s="1"/>
  <c r="N29" i="1"/>
  <c r="J7" i="8" s="1"/>
  <c r="N2" i="2" l="1"/>
  <c r="N5" i="2" s="1"/>
  <c r="M7" i="8"/>
  <c r="M22" i="8" s="1"/>
  <c r="K22" i="8"/>
  <c r="H7" i="8"/>
  <c r="N7" i="8" s="1"/>
  <c r="H8" i="8"/>
  <c r="N8" i="8" s="1"/>
  <c r="O1" i="8"/>
  <c r="C10" i="1" l="1"/>
  <c r="E10" i="1" s="1"/>
  <c r="E24" i="1" s="1"/>
  <c r="N2" i="1" s="1"/>
  <c r="J22" i="8"/>
  <c r="N22" i="8"/>
  <c r="N5" i="1" l="1"/>
</calcChain>
</file>

<file path=xl/sharedStrings.xml><?xml version="1.0" encoding="utf-8"?>
<sst xmlns="http://schemas.openxmlformats.org/spreadsheetml/2006/main" count="1211" uniqueCount="269">
  <si>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</si>
  <si>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</si>
  <si>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</si>
  <si>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</si>
  <si>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</si>
  <si>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</si>
  <si>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</si>
  <si>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</si>
  <si>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</si>
  <si>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</si>
  <si>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</si>
  <si>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</si>
  <si>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</si>
  <si>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</si>
  <si>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</si>
  <si>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</si>
  <si>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</si>
  <si>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</si>
  <si>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</si>
  <si>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</si>
  <si>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</si>
  <si>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</si>
  <si>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</si>
  <si>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</si>
  <si>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</si>
  <si>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</si>
  <si>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</si>
  <si>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</si>
  <si>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</si>
  <si>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</si>
  <si>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</si>
  <si>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</si>
  <si>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</si>
  <si>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</si>
  <si>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</si>
  <si>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</si>
  <si>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</si>
  <si>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</si>
  <si>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</si>
  <si>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</si>
  <si>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</si>
  <si>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</si>
  <si>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</si>
  <si>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</si>
  <si>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</si>
  <si>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</si>
  <si>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</si>
  <si>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</si>
  <si>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</si>
  <si>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</si>
  <si>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</si>
  <si>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</si>
  <si>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</si>
  <si>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</si>
  <si>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</si>
  <si>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</si>
  <si>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</si>
  <si>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</si>
  <si>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</si>
  <si>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</si>
  <si>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</si>
  <si>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</si>
  <si>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</si>
  <si>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</si>
  <si>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</si>
  <si>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</si>
  <si>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</si>
  <si>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</si>
  <si>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</si>
  <si>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</si>
  <si>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</si>
  <si>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</si>
  <si>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</si>
  <si>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</si>
  <si>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</si>
  <si>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</si>
  <si>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</si>
  <si>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</si>
  <si>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</si>
  <si>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</si>
  <si>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</si>
  <si>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</si>
  <si>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</si>
  <si>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</si>
  <si>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</si>
  <si>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</si>
  <si>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</si>
  <si>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</si>
  <si>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</si>
  <si>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</si>
  <si>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</si>
  <si>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</si>
  <si>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</si>
  <si>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</si>
  <si>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</si>
  <si>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</si>
  <si>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</si>
  <si>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</si>
  <si>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</si>
  <si>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</si>
  <si>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</si>
  <si>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</si>
  <si>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</si>
  <si>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</si>
  <si>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</si>
  <si>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</si>
  <si>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</si>
  <si>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</si>
  <si>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</si>
  <si>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</si>
  <si>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</si>
  <si>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</si>
  <si>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</si>
  <si>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</si>
  <si>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</si>
  <si>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</si>
  <si>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</si>
  <si>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</si>
  <si>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</si>
  <si>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</si>
  <si>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</si>
  <si>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</si>
  <si>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</si>
  <si>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</si>
  <si>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</si>
  <si>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</si>
  <si>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</si>
  <si>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</si>
  <si>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</si>
  <si>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</si>
  <si>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</si>
  <si>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</si>
  <si>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</si>
  <si>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</si>
  <si>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</si>
  <si>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</si>
  <si>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</si>
  <si>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</si>
  <si>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Pedal box</t>
  </si>
  <si>
    <t>FR A0300</t>
  </si>
  <si>
    <t>The assembly of brake and accelerator pedals</t>
  </si>
  <si>
    <t>Rail</t>
  </si>
  <si>
    <t xml:space="preserve">Brake pedal </t>
  </si>
  <si>
    <t>Accelerator pedal</t>
  </si>
  <si>
    <t>Heel support</t>
  </si>
  <si>
    <t>Brake pedal support</t>
  </si>
  <si>
    <t>Brake over-travel switch support</t>
  </si>
  <si>
    <t>Accelerator pedal support</t>
  </si>
  <si>
    <t>Cable support</t>
  </si>
  <si>
    <t>internal spacer</t>
  </si>
  <si>
    <t>external spacer</t>
  </si>
  <si>
    <t>Sheath for cable mount</t>
  </si>
  <si>
    <t xml:space="preserve">Foot top support </t>
  </si>
  <si>
    <t>Bearing, Needle</t>
  </si>
  <si>
    <t>Pedal pivot</t>
  </si>
  <si>
    <t>Rear rail mount</t>
  </si>
  <si>
    <t>Front rail mount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</si>
  <si>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</si>
  <si>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</si>
  <si>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</si>
  <si>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</si>
  <si>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</si>
  <si>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</si>
  <si>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</si>
  <si>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</si>
  <si>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</si>
  <si>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</si>
  <si>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</si>
  <si>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</si>
  <si>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</si>
  <si>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</si>
  <si>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</si>
  <si>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</si>
  <si>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</si>
  <si>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</si>
  <si>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</si>
  <si>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</si>
  <si>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Hand, Loose &lt;= 25.4 mm</t>
  </si>
  <si>
    <t>Ratchet &lt;= 25.4 mm</t>
  </si>
  <si>
    <t>Positioning the Heel Support on the Pedal Rails</t>
  </si>
  <si>
    <t>Fixing the Heel Support on the Pedal Rails</t>
  </si>
  <si>
    <t>Positioning the Foot Top Support on the Brake Pedal</t>
  </si>
  <si>
    <t>Positioning the Foot Top Support on the Accelerator Pedal</t>
  </si>
  <si>
    <t>Welding the Sheath for Cable Mount</t>
  </si>
  <si>
    <t>Positioning the Cable in the Cable Support</t>
  </si>
  <si>
    <t>Fixing the Cable to the Cable Support</t>
  </si>
  <si>
    <t>Aerosol Apply</t>
  </si>
  <si>
    <t>Painting of the Mounts</t>
  </si>
  <si>
    <t>m^2</t>
  </si>
  <si>
    <t>Bolt, Grade 8.8 (SAE 5)</t>
  </si>
  <si>
    <t>Inserting the Over-Travel Bolt between the Accelerator Supports</t>
  </si>
  <si>
    <t>Fixing the Over-Travel Bolt to the Accelerator Supports</t>
  </si>
  <si>
    <t>Thread Insert</t>
  </si>
  <si>
    <t>VIS A TETE FRAISEE</t>
  </si>
  <si>
    <t>VIS EPAULEE</t>
  </si>
  <si>
    <t>Fixing the Foot Top Support on the Brake and Accelerator Pedals</t>
  </si>
  <si>
    <t>Fixing the Foot Top Support on the Brake Pedal</t>
  </si>
  <si>
    <t>Fixing the Foot Top Support on the Accelerator Pedal</t>
  </si>
  <si>
    <t>Positioning the Sheath for Cable to Sheath for cable mount</t>
  </si>
  <si>
    <t>Fixing the Sheath for Cable to Sheath for cable mount</t>
  </si>
  <si>
    <t>Mounts welded to the chassis</t>
  </si>
  <si>
    <t>FR_0300_000</t>
  </si>
  <si>
    <t>Rail mounted on the chassis supporting the pedals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</si>
  <si>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</si>
  <si>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</si>
  <si>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</si>
  <si>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</si>
  <si>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</si>
  <si>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</si>
  <si>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Brake pedal</t>
  </si>
  <si>
    <t>Branch of the Brake Pedal</t>
  </si>
  <si>
    <t>Side</t>
  </si>
  <si>
    <t>Back</t>
  </si>
  <si>
    <t>Side and side holes</t>
  </si>
  <si>
    <t xml:space="preserve">Drawing part : </t>
  </si>
  <si>
    <t>FR_0300_001</t>
  </si>
  <si>
    <t>Accelerator Pedal</t>
  </si>
  <si>
    <t>Branch of the Accelerator Pedal</t>
  </si>
  <si>
    <t>FR_0300_002</t>
  </si>
  <si>
    <t>front</t>
  </si>
  <si>
    <t>FR_0300_003</t>
  </si>
  <si>
    <t>Foot Top Support</t>
  </si>
  <si>
    <t>Support for the top of the foot</t>
  </si>
  <si>
    <t>Laser cut</t>
  </si>
  <si>
    <t>Sheet metal bends</t>
  </si>
  <si>
    <t>bend</t>
  </si>
  <si>
    <t>Heel Support</t>
  </si>
  <si>
    <t>Support for the heel</t>
  </si>
  <si>
    <t>FR_0300_004</t>
  </si>
  <si>
    <t>frontal area</t>
  </si>
  <si>
    <t>Brake Pedal Support</t>
  </si>
  <si>
    <t>Side Support for the Brake Pedal</t>
  </si>
  <si>
    <t>FR_0300_005</t>
  </si>
  <si>
    <t>Steel, Alloy</t>
  </si>
  <si>
    <t>FR_0300_006</t>
  </si>
  <si>
    <t>Support for the Brake Over-Travel Switch</t>
  </si>
  <si>
    <t>frontal Area</t>
  </si>
  <si>
    <t>FR_0300_007</t>
  </si>
  <si>
    <t>Side Support for the Accelerator Pedal</t>
  </si>
  <si>
    <t>Cable Support</t>
  </si>
  <si>
    <t>Part supporting the Brake Cable</t>
  </si>
  <si>
    <t>FR_0300_008</t>
  </si>
  <si>
    <t>Internal Spacer</t>
  </si>
  <si>
    <t>Internal Spacer next to the Master Cylinders</t>
  </si>
  <si>
    <t>FR_0300_009</t>
  </si>
  <si>
    <t>FR_0300_010</t>
  </si>
  <si>
    <t>External Spacer next to the Master Cylinders</t>
  </si>
  <si>
    <t>External Spacer</t>
  </si>
  <si>
    <t>FR_0300_011</t>
  </si>
  <si>
    <t>FR_0300_012</t>
  </si>
  <si>
    <t>Rear Rail Mount</t>
  </si>
  <si>
    <t xml:space="preserve">Rear Mount to fix the Rail </t>
  </si>
  <si>
    <t>Front Rail Mount</t>
  </si>
  <si>
    <t>Front Mount to fix the Rail</t>
  </si>
  <si>
    <t>FR_0300_013</t>
  </si>
  <si>
    <t>Mount which hold the Sheath for Cable</t>
  </si>
  <si>
    <t>Threading, External (machining)</t>
  </si>
  <si>
    <t>Drilled holes &lt; 25.4 mm dia.</t>
  </si>
  <si>
    <t>hole</t>
  </si>
  <si>
    <t>Threading, Internal (machining)</t>
  </si>
  <si>
    <t xml:space="preserve">Drawing Part : </t>
  </si>
  <si>
    <t>4 parts cut from a single machine setup</t>
  </si>
  <si>
    <t>Material -Steel</t>
  </si>
  <si>
    <t>Material - Steel</t>
  </si>
  <si>
    <t>2 parts cut from a single machine setup</t>
  </si>
  <si>
    <t>Hand Finish - Material Removal</t>
  </si>
  <si>
    <t>Chamfer</t>
  </si>
  <si>
    <t>Paint</t>
  </si>
  <si>
    <t>Painting the 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</si>
</sst>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0.0000000"/>
    <numFmt numFmtId="179" formatCode="_(\$* #,##0.0000_);_(\$* \(#,##0.0000\);_(\$* \-??_);_(@_)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35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18" fillId="0" borderId="3" xfId="8" applyNumberFormat="1" applyBorder="1" applyAlignment="1" applyProtection="1"/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4" fillId="0" borderId="25" xfId="0" applyFont="1" applyBorder="1"/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0" fillId="0" borderId="25" xfId="7" applyNumberFormat="1" applyFont="1" applyBorder="1" applyAlignment="1">
      <alignment wrapText="1"/>
    </xf>
    <xf numFmtId="165" fontId="4" fillId="0" borderId="25" xfId="7" applyNumberFormat="1" applyFont="1" applyBorder="1" applyAlignment="1" applyProtection="1"/>
    <xf numFmtId="0" fontId="0" fillId="0" borderId="25" xfId="0" applyBorder="1"/>
    <xf numFmtId="0" fontId="4" fillId="0" borderId="3" xfId="0" applyFont="1" applyFill="1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0" fontId="25" fillId="0" borderId="15" xfId="0" applyFont="1" applyBorder="1"/>
    <xf numFmtId="0" fontId="25" fillId="0" borderId="15" xfId="0" applyFont="1" applyBorder="1" applyAlignment="1">
      <alignment wrapText="1"/>
    </xf>
    <xf numFmtId="39" fontId="25" fillId="0" borderId="15" xfId="7" applyNumberFormat="1" applyFont="1" applyBorder="1" applyAlignment="1" applyProtection="1"/>
    <xf numFmtId="37" fontId="25" fillId="0" borderId="15" xfId="7" applyNumberFormat="1" applyFont="1" applyBorder="1" applyAlignment="1" applyProtection="1"/>
    <xf numFmtId="39" fontId="25" fillId="0" borderId="15" xfId="7" applyNumberFormat="1" applyFont="1" applyBorder="1" applyAlignment="1" applyProtection="1">
      <alignment wrapText="1"/>
    </xf>
    <xf numFmtId="37" fontId="25" fillId="0" borderId="15" xfId="7" applyNumberFormat="1" applyFont="1" applyBorder="1" applyAlignment="1" applyProtection="1">
      <alignment wrapText="1"/>
    </xf>
    <xf numFmtId="0" fontId="27" fillId="0" borderId="15" xfId="0" applyFont="1" applyBorder="1"/>
    <xf numFmtId="0" fontId="27" fillId="0" borderId="15" xfId="0" applyFont="1" applyFill="1" applyBorder="1"/>
    <xf numFmtId="0" fontId="24" fillId="0" borderId="7" xfId="0" applyFont="1" applyBorder="1" applyAlignment="1">
      <alignment wrapText="1"/>
    </xf>
    <xf numFmtId="0" fontId="4" fillId="0" borderId="33" xfId="0" applyFont="1" applyBorder="1"/>
    <xf numFmtId="0" fontId="24" fillId="0" borderId="33" xfId="0" applyFont="1" applyBorder="1" applyAlignment="1">
      <alignment wrapText="1"/>
    </xf>
    <xf numFmtId="165" fontId="4" fillId="0" borderId="33" xfId="7" applyNumberFormat="1" applyFont="1" applyBorder="1" applyAlignment="1" applyProtection="1"/>
    <xf numFmtId="0" fontId="0" fillId="0" borderId="33" xfId="0" applyBorder="1"/>
    <xf numFmtId="0" fontId="0" fillId="0" borderId="34" xfId="7" applyNumberFormat="1" applyFont="1" applyBorder="1" applyAlignment="1">
      <alignment wrapText="1"/>
    </xf>
    <xf numFmtId="0" fontId="25" fillId="0" borderId="33" xfId="9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5" xfId="0" applyFont="1" applyBorder="1"/>
    <xf numFmtId="0" fontId="0" fillId="0" borderId="35" xfId="7" applyNumberFormat="1" applyFont="1" applyBorder="1" applyAlignment="1">
      <alignment wrapText="1"/>
    </xf>
    <xf numFmtId="0" fontId="0" fillId="0" borderId="35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5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178" fontId="4" fillId="0" borderId="3" xfId="7" applyNumberFormat="1" applyFont="1" applyBorder="1" applyAlignment="1" applyProtection="1"/>
    <xf numFmtId="1" fontId="4" fillId="0" borderId="35" xfId="0" applyNumberFormat="1" applyFont="1" applyBorder="1"/>
    <xf numFmtId="1" fontId="0" fillId="0" borderId="3" xfId="0" applyNumberFormat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0" fontId="4" fillId="0" borderId="36" xfId="0" applyFont="1" applyBorder="1"/>
    <xf numFmtId="165" fontId="4" fillId="0" borderId="36" xfId="7" applyNumberFormat="1" applyFont="1" applyBorder="1" applyAlignment="1" applyProtection="1"/>
    <xf numFmtId="0" fontId="4" fillId="0" borderId="7" xfId="0" applyFont="1" applyBorder="1"/>
    <xf numFmtId="165" fontId="4" fillId="0" borderId="7" xfId="7" applyNumberFormat="1" applyFont="1" applyBorder="1" applyAlignment="1" applyProtection="1"/>
    <xf numFmtId="0" fontId="0" fillId="0" borderId="37" xfId="7" applyNumberFormat="1" applyFont="1" applyBorder="1" applyAlignment="1">
      <alignment wrapText="1"/>
    </xf>
    <xf numFmtId="0" fontId="0" fillId="0" borderId="37" xfId="0" applyBorder="1"/>
    <xf numFmtId="174" fontId="4" fillId="0" borderId="37" xfId="0" applyNumberFormat="1" applyFont="1" applyBorder="1"/>
    <xf numFmtId="0" fontId="25" fillId="0" borderId="36" xfId="9" applyFont="1" applyFill="1" applyBorder="1" applyAlignment="1">
      <alignment wrapText="1"/>
    </xf>
    <xf numFmtId="173" fontId="4" fillId="0" borderId="3" xfId="0" applyNumberFormat="1" applyFont="1" applyBorder="1"/>
    <xf numFmtId="179" fontId="4" fillId="0" borderId="3" xfId="7" applyNumberFormat="1" applyFont="1" applyBorder="1" applyAlignment="1" applyProtection="1"/>
    <xf numFmtId="0" fontId="11" fillId="9" borderId="38" xfId="1" applyFont="1" applyFill="1" applyBorder="1" applyProtection="1">
      <protection locked="0"/>
    </xf>
    <xf numFmtId="18" fontId="11" fillId="9" borderId="38" xfId="1" applyNumberFormat="1" applyFont="1" applyFill="1" applyBorder="1" applyAlignment="1" applyProtection="1">
      <protection locked="0"/>
    </xf>
    <xf numFmtId="0" fontId="11" fillId="9" borderId="38" xfId="1" applyFont="1" applyFill="1" applyBorder="1" applyAlignment="1">
      <alignment horizontal="center"/>
    </xf>
    <xf numFmtId="0" fontId="11" fillId="0" borderId="39" xfId="1" applyFont="1" applyFill="1" applyBorder="1" applyProtection="1">
      <protection locked="0"/>
    </xf>
    <xf numFmtId="0" fontId="11" fillId="0" borderId="39" xfId="1" applyFont="1" applyFill="1" applyBorder="1" applyAlignment="1">
      <alignment horizontal="left"/>
    </xf>
    <xf numFmtId="18" fontId="11" fillId="0" borderId="39" xfId="1" applyNumberFormat="1" applyFont="1" applyFill="1" applyBorder="1" applyAlignment="1" applyProtection="1">
      <protection locked="0"/>
    </xf>
    <xf numFmtId="170" fontId="11" fillId="0" borderId="39" xfId="5" applyFont="1" applyFill="1" applyBorder="1" applyProtection="1">
      <protection locked="0"/>
    </xf>
    <xf numFmtId="0" fontId="11" fillId="0" borderId="39" xfId="1" applyFont="1" applyFill="1" applyBorder="1" applyAlignment="1" applyProtection="1">
      <alignment horizontal="center"/>
      <protection locked="0"/>
    </xf>
    <xf numFmtId="171" fontId="11" fillId="0" borderId="39" xfId="1" applyNumberFormat="1" applyFont="1" applyFill="1" applyBorder="1" applyAlignment="1">
      <alignment horizontal="right"/>
    </xf>
    <xf numFmtId="0" fontId="11" fillId="0" borderId="39" xfId="1" applyFont="1" applyFill="1" applyBorder="1" applyAlignment="1">
      <alignment horizontal="center"/>
    </xf>
    <xf numFmtId="0" fontId="18" fillId="9" borderId="0" xfId="8" applyFill="1"/>
    <xf numFmtId="0" fontId="18" fillId="9" borderId="38" xfId="8" applyFill="1" applyBorder="1" applyAlignment="1">
      <alignment horizontal="left"/>
    </xf>
    <xf numFmtId="0" fontId="0" fillId="0" borderId="40" xfId="0" applyBorder="1"/>
    <xf numFmtId="0" fontId="25" fillId="0" borderId="41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42" xfId="0" applyBorder="1"/>
    <xf numFmtId="0" fontId="25" fillId="0" borderId="42" xfId="0" applyFont="1" applyBorder="1"/>
    <xf numFmtId="0" fontId="25" fillId="0" borderId="42" xfId="9" applyFont="1" applyFill="1" applyBorder="1" applyAlignment="1">
      <alignment wrapText="1"/>
    </xf>
    <xf numFmtId="165" fontId="25" fillId="0" borderId="42" xfId="7" applyNumberFormat="1" applyFont="1" applyBorder="1" applyAlignment="1" applyProtection="1"/>
    <xf numFmtId="0" fontId="25" fillId="0" borderId="42" xfId="7" applyNumberFormat="1" applyFont="1" applyBorder="1" applyAlignment="1">
      <alignment wrapText="1"/>
    </xf>
    <xf numFmtId="0" fontId="24" fillId="0" borderId="42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43" xfId="0" applyFont="1" applyBorder="1"/>
    <xf numFmtId="164" fontId="4" fillId="0" borderId="29" xfId="7" applyNumberFormat="1" applyFont="1" applyBorder="1" applyAlignment="1" applyProtection="1"/>
    <xf numFmtId="2" fontId="4" fillId="0" borderId="29" xfId="7" applyNumberFormat="1" applyFont="1" applyBorder="1" applyAlignment="1" applyProtection="1"/>
    <xf numFmtId="168" fontId="4" fillId="0" borderId="29" xfId="7" applyNumberFormat="1" applyFont="1" applyBorder="1" applyAlignment="1" applyProtection="1"/>
    <xf numFmtId="11" fontId="4" fillId="0" borderId="29" xfId="7" applyNumberFormat="1" applyFont="1" applyBorder="1" applyAlignment="1" applyProtection="1"/>
    <xf numFmtId="0" fontId="4" fillId="0" borderId="42" xfId="0" applyFont="1" applyBorder="1"/>
    <xf numFmtId="165" fontId="4" fillId="0" borderId="42" xfId="7" applyNumberFormat="1" applyFont="1" applyBorder="1" applyAlignment="1" applyProtection="1"/>
    <xf numFmtId="164" fontId="4" fillId="0" borderId="42" xfId="7" applyNumberFormat="1" applyFont="1" applyBorder="1" applyAlignment="1" applyProtection="1"/>
    <xf numFmtId="2" fontId="4" fillId="0" borderId="42" xfId="7" applyNumberFormat="1" applyFont="1" applyBorder="1" applyAlignment="1" applyProtection="1"/>
    <xf numFmtId="168" fontId="4" fillId="0" borderId="42" xfId="7" applyNumberFormat="1" applyFont="1" applyBorder="1" applyAlignment="1" applyProtection="1"/>
    <xf numFmtId="11" fontId="4" fillId="0" borderId="42" xfId="7" applyNumberFormat="1" applyFont="1" applyBorder="1" applyAlignment="1" applyProtection="1"/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300_000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_009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_010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_011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0_012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_013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3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_005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_007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</xdr:row>
      <xdr:rowOff>114300</xdr:rowOff>
    </xdr:from>
    <xdr:to>
      <xdr:col>10</xdr:col>
      <xdr:colOff>195929</xdr:colOff>
      <xdr:row>31</xdr:row>
      <xdr:rowOff>92315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64F1D-D794-408E-93FF-BD52F40B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297180"/>
          <a:ext cx="7770209" cy="5464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1</xdr:row>
      <xdr:rowOff>114300</xdr:rowOff>
    </xdr:from>
    <xdr:to>
      <xdr:col>10</xdr:col>
      <xdr:colOff>63325</xdr:colOff>
      <xdr:row>31</xdr:row>
      <xdr:rowOff>27538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4D270-997B-4F81-9F05-BFDF55B2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297180"/>
          <a:ext cx="7637605" cy="53996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129540</xdr:rowOff>
    </xdr:from>
    <xdr:to>
      <xdr:col>10</xdr:col>
      <xdr:colOff>213154</xdr:colOff>
      <xdr:row>32</xdr:row>
      <xdr:rowOff>67542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E3ACB-5DB5-4C34-B1EF-9BE2B08E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12420"/>
          <a:ext cx="7909354" cy="56072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144780</xdr:rowOff>
    </xdr:from>
    <xdr:to>
      <xdr:col>10</xdr:col>
      <xdr:colOff>646277</xdr:colOff>
      <xdr:row>33</xdr:row>
      <xdr:rowOff>90407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5C3C0-942F-4C62-AD74-0BA33139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27660"/>
          <a:ext cx="8235796" cy="57977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2</xdr:row>
      <xdr:rowOff>15240</xdr:rowOff>
    </xdr:from>
    <xdr:to>
      <xdr:col>10</xdr:col>
      <xdr:colOff>558861</xdr:colOff>
      <xdr:row>32</xdr:row>
      <xdr:rowOff>130410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15C3C-92F0-4B1E-B609-56011577D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81000"/>
          <a:ext cx="7935020" cy="56015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160020</xdr:rowOff>
    </xdr:from>
    <xdr:to>
      <xdr:col>10</xdr:col>
      <xdr:colOff>28383</xdr:colOff>
      <xdr:row>31</xdr:row>
      <xdr:rowOff>80878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522E4-F675-4910-8974-01CF5D98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42900"/>
          <a:ext cx="7648383" cy="5407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114300</xdr:rowOff>
    </xdr:from>
    <xdr:to>
      <xdr:col>10</xdr:col>
      <xdr:colOff>264837</xdr:colOff>
      <xdr:row>33</xdr:row>
      <xdr:rowOff>54210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12A33-7D9E-462F-A387-63451DD3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297180"/>
          <a:ext cx="8204877" cy="5792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2</xdr:row>
      <xdr:rowOff>22860</xdr:rowOff>
    </xdr:from>
    <xdr:to>
      <xdr:col>10</xdr:col>
      <xdr:colOff>727219</xdr:colOff>
      <xdr:row>34</xdr:row>
      <xdr:rowOff>138030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3D07-C851-4A60-8BAE-710BA44E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88620"/>
          <a:ext cx="8446279" cy="5967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1</xdr:row>
      <xdr:rowOff>111228</xdr:rowOff>
    </xdr:from>
    <xdr:to>
      <xdr:col>9</xdr:col>
      <xdr:colOff>723900</xdr:colOff>
      <xdr:row>30</xdr:row>
      <xdr:rowOff>172317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A013C-448C-4E0E-B377-9D4680CC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294108"/>
          <a:ext cx="7581899" cy="53646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1</xdr:row>
      <xdr:rowOff>129540</xdr:rowOff>
    </xdr:from>
    <xdr:to>
      <xdr:col>10</xdr:col>
      <xdr:colOff>284281</xdr:colOff>
      <xdr:row>32</xdr:row>
      <xdr:rowOff>170414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DFAA5-A8C5-4DC4-A0A5-ED72BA4B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12420"/>
          <a:ext cx="8079540" cy="5710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167640</xdr:rowOff>
    </xdr:from>
    <xdr:to>
      <xdr:col>9</xdr:col>
      <xdr:colOff>588299</xdr:colOff>
      <xdr:row>31</xdr:row>
      <xdr:rowOff>8486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9BDD6-75D8-4101-B2E8-CE36143B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0520"/>
          <a:ext cx="7499639" cy="53272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45720</xdr:rowOff>
    </xdr:from>
    <xdr:to>
      <xdr:col>10</xdr:col>
      <xdr:colOff>50435</xdr:colOff>
      <xdr:row>31</xdr:row>
      <xdr:rowOff>132319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1D88EC-0185-4976-875F-0B4A3F0B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28600"/>
          <a:ext cx="7921895" cy="55729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160020</xdr:rowOff>
    </xdr:from>
    <xdr:to>
      <xdr:col>10</xdr:col>
      <xdr:colOff>243175</xdr:colOff>
      <xdr:row>32</xdr:row>
      <xdr:rowOff>101834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DAA92-E088-4CEF-8CBF-CC68D32C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42900"/>
          <a:ext cx="7939375" cy="5611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152400</xdr:rowOff>
    </xdr:from>
    <xdr:to>
      <xdr:col>10</xdr:col>
      <xdr:colOff>336643</xdr:colOff>
      <xdr:row>33</xdr:row>
      <xdr:rowOff>6587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206D28-89A7-46EC-9EBA-6030470E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35280"/>
          <a:ext cx="8086183" cy="570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I20" sqref="I20"/>
    </sheetView>
  </sheetViews>
  <sheetFormatPr baseColWidth="10" defaultColWidth="9.109375" defaultRowHeight="14.4" x14ac:dyDescent="0.3"/>
  <cols>
    <col min="2" max="2" width="33.4414062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FR_0300_003_m+FR_0300_003_p</f>
        <v>2.1023579199999998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4.2047158399999995</v>
      </c>
      <c r="O5" s="61"/>
    </row>
    <row r="6" spans="1:15" x14ac:dyDescent="0.3">
      <c r="A6" s="119" t="s">
        <v>7</v>
      </c>
      <c r="B6" s="25" t="s">
        <v>220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 t="s">
        <v>229</v>
      </c>
      <c r="J11" s="179">
        <v>1.0919999999999999E-2</v>
      </c>
      <c r="K11" s="183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0.31095792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75">
        <v>35.9</v>
      </c>
      <c r="G16" s="24"/>
      <c r="H16" s="23"/>
      <c r="I16" s="29">
        <f t="shared" si="0"/>
        <v>0.35899999999999999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12">
        <v>30</v>
      </c>
      <c r="B17" s="213" t="s">
        <v>224</v>
      </c>
      <c r="C17" s="214"/>
      <c r="D17" s="193">
        <v>0.25</v>
      </c>
      <c r="E17" s="215" t="s">
        <v>225</v>
      </c>
      <c r="F17" s="214">
        <v>3</v>
      </c>
      <c r="G17" s="214"/>
      <c r="H17" s="214"/>
      <c r="I17" s="193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7">
        <v>40</v>
      </c>
      <c r="B18" s="218" t="s">
        <v>265</v>
      </c>
      <c r="C18" s="217" t="s">
        <v>266</v>
      </c>
      <c r="D18" s="219">
        <v>0.2</v>
      </c>
      <c r="E18" s="220" t="s">
        <v>206</v>
      </c>
      <c r="F18" s="217">
        <v>0.16200000000000001</v>
      </c>
      <c r="G18" s="217"/>
      <c r="H18" s="217"/>
      <c r="I18" s="193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1.7913999999999999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/>
    <hyperlink ref="E3" location="dFR_0300_003!A1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220</v>
      </c>
    </row>
  </sheetData>
  <hyperlinks>
    <hyperlink ref="B1" location="FR_0300_003!A1" display="FR_0300_003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I20" sqref="I20"/>
    </sheetView>
  </sheetViews>
  <sheetFormatPr baseColWidth="10" defaultColWidth="9.109375" defaultRowHeight="14.4" x14ac:dyDescent="0.3"/>
  <cols>
    <col min="2" max="2" width="33.4414062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FR_0300_004_m+FR_0300_004_p</f>
        <v>2.0173139839999998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226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4.0346279679999997</v>
      </c>
      <c r="O5" s="61"/>
    </row>
    <row r="6" spans="1:15" x14ac:dyDescent="0.3">
      <c r="A6" s="119" t="s">
        <v>7</v>
      </c>
      <c r="B6" s="25" t="s">
        <v>228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227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 t="s">
        <v>229</v>
      </c>
      <c r="J11" s="180">
        <v>9.5840000000000005E-3</v>
      </c>
      <c r="K11" s="183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0.27291398400000005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8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223</v>
      </c>
      <c r="C16" s="14"/>
      <c r="D16" s="29">
        <v>0.01</v>
      </c>
      <c r="E16" s="14" t="s">
        <v>47</v>
      </c>
      <c r="F16" s="175">
        <v>31.2</v>
      </c>
      <c r="G16" s="24"/>
      <c r="H16" s="23"/>
      <c r="I16" s="29">
        <f t="shared" si="0"/>
        <v>0.312</v>
      </c>
      <c r="J16" s="55"/>
      <c r="K16" s="55"/>
      <c r="L16" s="55"/>
      <c r="M16" s="55"/>
      <c r="N16" s="55"/>
      <c r="O16" s="61"/>
    </row>
    <row r="17" spans="1:15" s="12" customFormat="1" x14ac:dyDescent="0.3">
      <c r="A17" s="212">
        <v>30</v>
      </c>
      <c r="B17" s="213" t="s">
        <v>224</v>
      </c>
      <c r="C17" s="214"/>
      <c r="D17" s="193">
        <v>0.25</v>
      </c>
      <c r="E17" s="215" t="s">
        <v>225</v>
      </c>
      <c r="F17" s="214">
        <v>3</v>
      </c>
      <c r="G17" s="214"/>
      <c r="H17" s="214"/>
      <c r="I17" s="193">
        <f t="shared" si="0"/>
        <v>0.75</v>
      </c>
      <c r="J17" s="56"/>
      <c r="K17" s="56"/>
      <c r="L17" s="56"/>
      <c r="M17" s="56"/>
      <c r="N17" s="56"/>
      <c r="O17" s="65"/>
    </row>
    <row r="18" spans="1:15" s="12" customFormat="1" x14ac:dyDescent="0.3">
      <c r="A18" s="216">
        <v>40</v>
      </c>
      <c r="B18" s="218" t="s">
        <v>265</v>
      </c>
      <c r="C18" s="217" t="s">
        <v>266</v>
      </c>
      <c r="D18" s="219">
        <v>0.2</v>
      </c>
      <c r="E18" s="220" t="s">
        <v>206</v>
      </c>
      <c r="F18" s="216">
        <v>0.16200000000000001</v>
      </c>
      <c r="G18" s="216"/>
      <c r="H18" s="216"/>
      <c r="I18" s="193">
        <f t="shared" si="0"/>
        <v>3.2400000000000005E-2</v>
      </c>
      <c r="J18" s="56"/>
      <c r="K18" s="56"/>
      <c r="L18" s="56"/>
      <c r="M18" s="56"/>
      <c r="N18" s="56"/>
      <c r="O18" s="65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1.7444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/>
    <hyperlink ref="E3" location="dFR_0300_004!A1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228</v>
      </c>
    </row>
  </sheetData>
  <hyperlinks>
    <hyperlink ref="B1" location="FR_0300_004!A1" display="FR_0300_004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FR_0300_005_m+FR_0300_005_p</f>
        <v>3.1116406249999997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6.2232812499999994</v>
      </c>
      <c r="O5" s="61"/>
    </row>
    <row r="6" spans="1:15" x14ac:dyDescent="0.3">
      <c r="A6" s="119" t="s">
        <v>7</v>
      </c>
      <c r="B6" s="25" t="s">
        <v>232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 t="s">
        <v>229</v>
      </c>
      <c r="J11" s="91">
        <v>8.7500000000000008E-3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0.46364062500000008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0.46364062500000008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5">
        <v>66.599999999999994</v>
      </c>
      <c r="G16" s="24" t="s">
        <v>263</v>
      </c>
      <c r="H16" s="23">
        <v>3</v>
      </c>
      <c r="I16" s="29">
        <f t="shared" si="0"/>
        <v>1.9979999999999998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2.6479999999999997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5!A1" display="Drawing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232</v>
      </c>
    </row>
  </sheetData>
  <hyperlinks>
    <hyperlink ref="B1" location="FR_0300_005!A1" display="FR_0300_005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4.6640625" bestFit="1" customWidth="1"/>
    <col min="7" max="7" width="19.5546875" customWidth="1"/>
    <col min="9" max="9" width="10.77734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FR_0300_006_m+FR_0300_006_p</f>
        <v>1.7216500000000001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1.7216500000000001</v>
      </c>
      <c r="O5" s="61"/>
    </row>
    <row r="6" spans="1:15" x14ac:dyDescent="0.3">
      <c r="A6" s="119" t="s">
        <v>7</v>
      </c>
      <c r="B6" s="25" t="s">
        <v>234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 t="s">
        <v>236</v>
      </c>
      <c r="J11" s="91">
        <v>2E-3</v>
      </c>
      <c r="K11" s="18">
        <v>2E-3</v>
      </c>
      <c r="L11" s="28">
        <v>7850</v>
      </c>
      <c r="M11" s="20">
        <v>1</v>
      </c>
      <c r="N11" s="29">
        <f>IF(J11="",D11*M11,D11*J11*K11*L11*M11)</f>
        <v>7.0650000000000018E-2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7.0650000000000018E-2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5">
        <v>11.7</v>
      </c>
      <c r="G16" s="24" t="s">
        <v>263</v>
      </c>
      <c r="H16" s="23">
        <v>3</v>
      </c>
      <c r="I16" s="29">
        <f t="shared" si="0"/>
        <v>0.35099999999999998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1.651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6!A1" display="Drawing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234</v>
      </c>
    </row>
  </sheetData>
  <hyperlinks>
    <hyperlink ref="B1" location="FR_0300_006!A1" display="FR_0300_006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FR_0300_007_m+FR_0300_007_p</f>
        <v>1.9959815000000003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3.9919630000000006</v>
      </c>
      <c r="O5" s="61"/>
    </row>
    <row r="6" spans="1:15" x14ac:dyDescent="0.3">
      <c r="A6" s="119" t="s">
        <v>7</v>
      </c>
      <c r="B6" s="25" t="s">
        <v>237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238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 t="s">
        <v>229</v>
      </c>
      <c r="J11" s="91">
        <v>4.6800000000000001E-3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0.24798149999999999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0.24798149999999999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75">
        <v>36.6</v>
      </c>
      <c r="G16" s="24" t="s">
        <v>263</v>
      </c>
      <c r="H16" s="23">
        <v>3</v>
      </c>
      <c r="I16" s="29">
        <f t="shared" si="0"/>
        <v>1.0980000000000001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1.7480000000000002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7!A1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237</v>
      </c>
    </row>
  </sheetData>
  <hyperlinks>
    <hyperlink ref="B1" location="FR_0300_007!A1" display="FR_0300_007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8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9" sqref="F19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1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1" t="s">
        <v>0</v>
      </c>
      <c r="B1" s="89" t="s">
        <v>44</v>
      </c>
      <c r="D1" s="42"/>
      <c r="M1" s="54" t="s">
        <v>48</v>
      </c>
      <c r="N1" s="43"/>
      <c r="O1" s="53" t="e">
        <f>#REF!</f>
        <v>#REF!</v>
      </c>
    </row>
    <row r="2" spans="1:15" s="10" customFormat="1" ht="15" thickBot="1" x14ac:dyDescent="0.35">
      <c r="A2" s="49" t="s">
        <v>49</v>
      </c>
      <c r="B2" s="88" t="s">
        <v>133</v>
      </c>
      <c r="C2" s="9"/>
      <c r="F2" s="38"/>
    </row>
    <row r="3" spans="1:15" s="10" customFormat="1" ht="15.6" thickTop="1" thickBot="1" x14ac:dyDescent="0.35">
      <c r="A3" s="50" t="s">
        <v>50</v>
      </c>
      <c r="B3" s="52">
        <v>2018</v>
      </c>
      <c r="C3" s="9"/>
      <c r="F3" s="38"/>
    </row>
    <row r="4" spans="1:15" s="10" customFormat="1" ht="15.6" thickTop="1" thickBot="1" x14ac:dyDescent="0.35">
      <c r="A4" s="48" t="s">
        <v>1</v>
      </c>
      <c r="B4" s="87">
        <v>81</v>
      </c>
      <c r="C4" s="9"/>
      <c r="D4" s="42" t="s">
        <v>51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52</v>
      </c>
      <c r="B6" s="45" t="s">
        <v>53</v>
      </c>
      <c r="C6" s="45" t="s">
        <v>54</v>
      </c>
      <c r="D6" s="45" t="s">
        <v>55</v>
      </c>
      <c r="E6" s="45" t="s">
        <v>56</v>
      </c>
      <c r="F6" s="45" t="s">
        <v>57</v>
      </c>
      <c r="G6" s="45" t="s">
        <v>58</v>
      </c>
      <c r="H6" s="47" t="s">
        <v>59</v>
      </c>
      <c r="I6" s="45" t="s">
        <v>17</v>
      </c>
      <c r="J6" s="45" t="s">
        <v>60</v>
      </c>
      <c r="K6" s="45" t="s">
        <v>61</v>
      </c>
      <c r="L6" s="45" t="s">
        <v>62</v>
      </c>
      <c r="M6" s="45" t="s">
        <v>63</v>
      </c>
      <c r="N6" s="46" t="s">
        <v>64</v>
      </c>
      <c r="O6" s="45" t="s">
        <v>65</v>
      </c>
    </row>
    <row r="7" spans="1:15" ht="14.4" x14ac:dyDescent="0.3">
      <c r="A7" s="98"/>
      <c r="B7" s="99" t="str">
        <f>'FR A0300'!B3</f>
        <v>Frame and Body</v>
      </c>
      <c r="C7" s="100" t="str">
        <f>FR_A0300</f>
        <v>FR A0300</v>
      </c>
      <c r="D7" s="100" t="s">
        <v>11</v>
      </c>
      <c r="E7" s="100"/>
      <c r="F7" s="101" t="str">
        <f>'FR A0300'!B4</f>
        <v>Pedal box</v>
      </c>
      <c r="G7" s="100"/>
      <c r="H7" s="102">
        <f t="shared" ref="H7:H21" si="0">SUM(J7:M7)</f>
        <v>57.217710573964986</v>
      </c>
      <c r="I7" s="103">
        <f>FR_A0300_q</f>
        <v>1</v>
      </c>
      <c r="J7" s="104">
        <f>FR_A0300_m</f>
        <v>17.12</v>
      </c>
      <c r="K7" s="104">
        <f>FR_A0300_p</f>
        <v>33.224999999999994</v>
      </c>
      <c r="L7" s="104">
        <f>FR_A0300_f</f>
        <v>3.8727105739649841</v>
      </c>
      <c r="M7" s="104">
        <f>FR_A0300_t</f>
        <v>3</v>
      </c>
      <c r="N7" s="105">
        <f t="shared" ref="N7:N21" si="1">H7*I7</f>
        <v>57.217710573964986</v>
      </c>
      <c r="O7" s="106"/>
    </row>
    <row r="8" spans="1:15" ht="14.4" x14ac:dyDescent="0.3">
      <c r="A8" s="107"/>
      <c r="B8" s="108" t="str">
        <f>'FR A0300'!B3</f>
        <v>Frame and Body</v>
      </c>
      <c r="C8" s="109" t="str">
        <f>FR_0300_000</f>
        <v>FR_0300_000</v>
      </c>
      <c r="D8" s="110" t="s">
        <v>11</v>
      </c>
      <c r="E8" s="110" t="str">
        <f>$F$7</f>
        <v>Pedal box</v>
      </c>
      <c r="F8" s="111" t="str">
        <f>FR_0300_000!B5</f>
        <v>Rail</v>
      </c>
      <c r="G8" s="110"/>
      <c r="H8" s="112">
        <f t="shared" si="0"/>
        <v>3.10793344</v>
      </c>
      <c r="I8" s="113">
        <f>FR_A0300_q*FR_0300_000_q</f>
        <v>2</v>
      </c>
      <c r="J8" s="114">
        <f>FR_0300_000_m</f>
        <v>0.8383334400000001</v>
      </c>
      <c r="K8" s="114">
        <f>FR_0300_000_p</f>
        <v>2.2696000000000001</v>
      </c>
      <c r="L8" s="114">
        <v>0</v>
      </c>
      <c r="M8" s="114">
        <v>0</v>
      </c>
      <c r="N8" s="115">
        <f t="shared" si="1"/>
        <v>6.2158668800000001</v>
      </c>
      <c r="O8" s="116"/>
    </row>
    <row r="9" spans="1:15" ht="14.4" x14ac:dyDescent="0.3">
      <c r="A9" s="107"/>
      <c r="B9" s="108" t="str">
        <f>'FR A0300'!$B$3</f>
        <v>Frame and Body</v>
      </c>
      <c r="C9" s="110" t="str">
        <f>FR_0300_001</f>
        <v>FR_0300_001</v>
      </c>
      <c r="D9" s="110" t="s">
        <v>11</v>
      </c>
      <c r="E9" s="110" t="str">
        <f t="shared" ref="E9:E21" si="2">$F$7</f>
        <v>Pedal box</v>
      </c>
      <c r="F9" s="111" t="str">
        <f>FR_0300_001!B5</f>
        <v>Brake pedal</v>
      </c>
      <c r="G9" s="110"/>
      <c r="H9" s="112">
        <f t="shared" si="0"/>
        <v>5.6870399999999997</v>
      </c>
      <c r="I9" s="117">
        <f>FR_A0300_q*FR_0300_001_q</f>
        <v>1</v>
      </c>
      <c r="J9" s="114">
        <f>FR_0300_001_m</f>
        <v>1.1390400000000001</v>
      </c>
      <c r="K9" s="114">
        <f>FR_0300_001_p</f>
        <v>4.548</v>
      </c>
      <c r="L9" s="114">
        <v>0</v>
      </c>
      <c r="M9" s="114">
        <v>0</v>
      </c>
      <c r="N9" s="115">
        <f t="shared" si="1"/>
        <v>5.6870399999999997</v>
      </c>
      <c r="O9" s="116"/>
    </row>
    <row r="10" spans="1:15" ht="14.4" x14ac:dyDescent="0.3">
      <c r="A10" s="107"/>
      <c r="B10" s="108" t="str">
        <f>'FR A0300'!$B$3</f>
        <v>Frame and Body</v>
      </c>
      <c r="C10" s="110" t="str">
        <f>FR_0300_002</f>
        <v>FR_0300_002</v>
      </c>
      <c r="D10" s="110" t="s">
        <v>11</v>
      </c>
      <c r="E10" s="110" t="str">
        <f t="shared" si="2"/>
        <v>Pedal box</v>
      </c>
      <c r="F10" s="210" t="str">
        <f>FR_0300_002!B5</f>
        <v>Accelerator Pedal</v>
      </c>
      <c r="G10" s="110"/>
      <c r="H10" s="112">
        <f t="shared" si="0"/>
        <v>4.8410399999999996</v>
      </c>
      <c r="I10" s="113">
        <f>FR_A0300_q*FR_0300_002_q</f>
        <v>1</v>
      </c>
      <c r="J10" s="114">
        <f>FR_0300_002_m</f>
        <v>1.1390400000000001</v>
      </c>
      <c r="K10" s="114">
        <f>FR_0300_002_p</f>
        <v>3.702</v>
      </c>
      <c r="L10" s="114">
        <v>0</v>
      </c>
      <c r="M10" s="114">
        <v>0</v>
      </c>
      <c r="N10" s="115">
        <f t="shared" si="1"/>
        <v>4.8410399999999996</v>
      </c>
      <c r="O10" s="116"/>
    </row>
    <row r="11" spans="1:15" ht="14.4" x14ac:dyDescent="0.3">
      <c r="A11" s="107"/>
      <c r="B11" s="108" t="str">
        <f>'FR A0300'!$B$3</f>
        <v>Frame and Body</v>
      </c>
      <c r="C11" s="110" t="str">
        <f>FR_0300_003</f>
        <v>FR_0300_003</v>
      </c>
      <c r="D11" s="110" t="s">
        <v>11</v>
      </c>
      <c r="E11" s="110" t="str">
        <f t="shared" si="2"/>
        <v>Pedal box</v>
      </c>
      <c r="F11" s="111" t="str">
        <f>FR_0300_003!B5</f>
        <v>Foot Top Support</v>
      </c>
      <c r="G11" s="110"/>
      <c r="H11" s="112">
        <f t="shared" si="0"/>
        <v>2.1023579199999998</v>
      </c>
      <c r="I11" s="113">
        <f>FR_A0300_q*FR_0300_003_q</f>
        <v>2</v>
      </c>
      <c r="J11" s="114">
        <f>FR_0300_003_m</f>
        <v>0.31095792</v>
      </c>
      <c r="K11" s="114">
        <f>FR_0300_003_p</f>
        <v>1.7913999999999999</v>
      </c>
      <c r="L11" s="114">
        <v>0</v>
      </c>
      <c r="M11" s="114">
        <v>0</v>
      </c>
      <c r="N11" s="115">
        <f t="shared" si="1"/>
        <v>4.2047158399999995</v>
      </c>
      <c r="O11" s="116"/>
    </row>
    <row r="12" spans="1:15" ht="14.4" x14ac:dyDescent="0.3">
      <c r="A12" s="107"/>
      <c r="B12" s="108" t="str">
        <f>'FR A0300'!$B$3</f>
        <v>Frame and Body</v>
      </c>
      <c r="C12" s="110" t="str">
        <f>FR_0300_004</f>
        <v>FR_0300_004</v>
      </c>
      <c r="D12" s="110" t="s">
        <v>11</v>
      </c>
      <c r="E12" s="110" t="str">
        <f t="shared" si="2"/>
        <v>Pedal box</v>
      </c>
      <c r="F12" s="111" t="str">
        <f>FR_0300_004!B5</f>
        <v>Heel Support</v>
      </c>
      <c r="G12" s="110"/>
      <c r="H12" s="112">
        <f t="shared" si="0"/>
        <v>2.0173139839999998</v>
      </c>
      <c r="I12" s="113">
        <f>FR_A0300_q*FR_0300_004_q</f>
        <v>2</v>
      </c>
      <c r="J12" s="114">
        <f>FR_0300_004_m</f>
        <v>0.27291398400000005</v>
      </c>
      <c r="K12" s="114">
        <f>FR_0300_004_p</f>
        <v>1.7444</v>
      </c>
      <c r="L12" s="114">
        <v>0</v>
      </c>
      <c r="M12" s="114">
        <v>0</v>
      </c>
      <c r="N12" s="115">
        <f t="shared" si="1"/>
        <v>4.0346279679999997</v>
      </c>
      <c r="O12" s="116"/>
    </row>
    <row r="13" spans="1:15" ht="14.4" x14ac:dyDescent="0.3">
      <c r="A13" s="107"/>
      <c r="B13" s="108" t="str">
        <f>'FR A0300'!$B$3</f>
        <v>Frame and Body</v>
      </c>
      <c r="C13" s="110" t="str">
        <f>FR_0300_005</f>
        <v>FR_0300_005</v>
      </c>
      <c r="D13" s="110" t="s">
        <v>11</v>
      </c>
      <c r="E13" s="110" t="str">
        <f t="shared" si="2"/>
        <v>Pedal box</v>
      </c>
      <c r="F13" s="111" t="str">
        <f>FR_0300_005!B5</f>
        <v>Brake Pedal Support</v>
      </c>
      <c r="G13" s="110"/>
      <c r="H13" s="112">
        <f t="shared" si="0"/>
        <v>3.1116406249999997</v>
      </c>
      <c r="I13" s="113">
        <f>FR_A0300_q*FR_0300_005_q</f>
        <v>2</v>
      </c>
      <c r="J13" s="114">
        <f>FR_0300_005_m</f>
        <v>0.46364062500000008</v>
      </c>
      <c r="K13" s="114">
        <f>FR_0300_005_p</f>
        <v>2.6479999999999997</v>
      </c>
      <c r="L13" s="114">
        <v>0</v>
      </c>
      <c r="M13" s="114">
        <v>0</v>
      </c>
      <c r="N13" s="115">
        <f t="shared" si="1"/>
        <v>6.2232812499999994</v>
      </c>
      <c r="O13" s="116"/>
    </row>
    <row r="14" spans="1:15" ht="14.4" x14ac:dyDescent="0.3">
      <c r="A14" s="107"/>
      <c r="B14" s="108" t="str">
        <f>'FR A0300'!$B$3</f>
        <v>Frame and Body</v>
      </c>
      <c r="C14" s="110" t="str">
        <f>FR_0300_006</f>
        <v>FR_0300_006</v>
      </c>
      <c r="D14" s="110" t="s">
        <v>11</v>
      </c>
      <c r="E14" s="110" t="str">
        <f t="shared" si="2"/>
        <v>Pedal box</v>
      </c>
      <c r="F14" s="111" t="str">
        <f>FR_0300_006!B5</f>
        <v>Brake over-travel switch support</v>
      </c>
      <c r="G14" s="110"/>
      <c r="H14" s="112">
        <f t="shared" si="0"/>
        <v>1.7216500000000001</v>
      </c>
      <c r="I14" s="113">
        <f>FR_A0300_q*FR_0300_006_q</f>
        <v>1</v>
      </c>
      <c r="J14" s="114">
        <f>FR_0300_006_m</f>
        <v>7.0650000000000018E-2</v>
      </c>
      <c r="K14" s="114">
        <f>FR_0300_006_p</f>
        <v>1.651</v>
      </c>
      <c r="L14" s="114">
        <v>0</v>
      </c>
      <c r="M14" s="114">
        <v>0</v>
      </c>
      <c r="N14" s="115">
        <f t="shared" si="1"/>
        <v>1.7216500000000001</v>
      </c>
      <c r="O14" s="116"/>
    </row>
    <row r="15" spans="1:15" ht="14.4" x14ac:dyDescent="0.3">
      <c r="A15" s="107"/>
      <c r="B15" s="108" t="str">
        <f>'FR A0300'!$B$3</f>
        <v>Frame and Body</v>
      </c>
      <c r="C15" s="110" t="str">
        <f>FR_0300_007</f>
        <v>FR_0300_007</v>
      </c>
      <c r="D15" s="110" t="s">
        <v>11</v>
      </c>
      <c r="E15" s="110" t="str">
        <f t="shared" si="2"/>
        <v>Pedal box</v>
      </c>
      <c r="F15" s="111" t="str">
        <f>FR_0300_007!B5</f>
        <v>Accelerator pedal support</v>
      </c>
      <c r="G15" s="118"/>
      <c r="H15" s="112">
        <f t="shared" si="0"/>
        <v>1.9959815000000003</v>
      </c>
      <c r="I15" s="113">
        <f>FR_A0300_q*FR_0300_007_q</f>
        <v>2</v>
      </c>
      <c r="J15" s="114">
        <f>FR_0300_007_m</f>
        <v>0.24798149999999999</v>
      </c>
      <c r="K15" s="114">
        <f>FR_0300_007_p</f>
        <v>1.7480000000000002</v>
      </c>
      <c r="L15" s="114">
        <v>0</v>
      </c>
      <c r="M15" s="114">
        <v>0</v>
      </c>
      <c r="N15" s="115">
        <f t="shared" si="1"/>
        <v>3.9919630000000006</v>
      </c>
      <c r="O15" s="116"/>
    </row>
    <row r="16" spans="1:15" ht="14.4" x14ac:dyDescent="0.3">
      <c r="A16" s="107"/>
      <c r="B16" s="108" t="str">
        <f>'FR A0300'!$B$3</f>
        <v>Frame and Body</v>
      </c>
      <c r="C16" s="110" t="str">
        <f>FR_0300_008</f>
        <v>FR_0300_008</v>
      </c>
      <c r="D16" s="110" t="s">
        <v>11</v>
      </c>
      <c r="E16" s="110" t="str">
        <f t="shared" si="2"/>
        <v>Pedal box</v>
      </c>
      <c r="F16" s="111" t="str">
        <f>FR_0300_008!B5</f>
        <v>Cable Support</v>
      </c>
      <c r="G16" s="110"/>
      <c r="H16" s="112">
        <f t="shared" si="0"/>
        <v>3.8954950875000001</v>
      </c>
      <c r="I16" s="113">
        <f>FR_A0300_q*FR_0300_008_q</f>
        <v>1</v>
      </c>
      <c r="J16" s="114">
        <f>FR_0300_008_m</f>
        <v>0.11549508750000001</v>
      </c>
      <c r="K16" s="114">
        <f>FR_0300_008_p</f>
        <v>3.7800000000000002</v>
      </c>
      <c r="L16" s="114">
        <v>0</v>
      </c>
      <c r="M16" s="114">
        <v>0</v>
      </c>
      <c r="N16" s="115">
        <f t="shared" si="1"/>
        <v>3.8954950875000001</v>
      </c>
      <c r="O16" s="116"/>
    </row>
    <row r="17" spans="1:15" ht="14.4" x14ac:dyDescent="0.3">
      <c r="A17" s="107"/>
      <c r="B17" s="108" t="str">
        <f>'FR A0300'!$B$3</f>
        <v>Frame and Body</v>
      </c>
      <c r="C17" s="110" t="str">
        <f>FR_0300_009</f>
        <v>FR_0300_009</v>
      </c>
      <c r="D17" s="110" t="s">
        <v>11</v>
      </c>
      <c r="E17" s="110" t="str">
        <f t="shared" si="2"/>
        <v>Pedal box</v>
      </c>
      <c r="F17" s="111" t="str">
        <f>FR_0300_009!B5</f>
        <v>Internal Spacer</v>
      </c>
      <c r="G17" s="110"/>
      <c r="H17" s="112">
        <f t="shared" si="0"/>
        <v>0.69077112499999993</v>
      </c>
      <c r="I17" s="113">
        <f>FR_A0300_q*FR_0300_009_q</f>
        <v>2</v>
      </c>
      <c r="J17" s="114">
        <f>FR_0300_009_m</f>
        <v>2.3491125000000002E-2</v>
      </c>
      <c r="K17" s="114">
        <f>FR_0300_009_p</f>
        <v>0.66727999999999998</v>
      </c>
      <c r="L17" s="114">
        <v>0</v>
      </c>
      <c r="M17" s="114">
        <v>0</v>
      </c>
      <c r="N17" s="115">
        <f t="shared" si="1"/>
        <v>1.3815422499999999</v>
      </c>
      <c r="O17" s="116"/>
    </row>
    <row r="18" spans="1:15" ht="14.4" x14ac:dyDescent="0.3">
      <c r="A18" s="200"/>
      <c r="B18" s="108" t="str">
        <f>'FR A0300'!$B$3</f>
        <v>Frame and Body</v>
      </c>
      <c r="C18" s="201" t="str">
        <f>FR_0300_010</f>
        <v>FR_0300_010</v>
      </c>
      <c r="D18" s="110" t="s">
        <v>11</v>
      </c>
      <c r="E18" s="110" t="str">
        <f t="shared" si="2"/>
        <v>Pedal box</v>
      </c>
      <c r="F18" s="211" t="str">
        <f>FR_0300_010!B5</f>
        <v>External Spacer</v>
      </c>
      <c r="G18" s="201"/>
      <c r="H18" s="112">
        <f t="shared" si="0"/>
        <v>0.65891381250000003</v>
      </c>
      <c r="I18" s="113">
        <f>FR_A0300_q*FR_0300_010_q</f>
        <v>2</v>
      </c>
      <c r="J18" s="114">
        <f>FR_0300_010_m</f>
        <v>5.033812500000001E-3</v>
      </c>
      <c r="K18" s="114">
        <f>FR_0300_010_p</f>
        <v>0.65388000000000002</v>
      </c>
      <c r="L18" s="114">
        <v>0</v>
      </c>
      <c r="M18" s="114">
        <v>0</v>
      </c>
      <c r="N18" s="115">
        <f t="shared" si="1"/>
        <v>1.3178276250000001</v>
      </c>
      <c r="O18" s="202"/>
    </row>
    <row r="19" spans="1:15" ht="14.4" x14ac:dyDescent="0.3">
      <c r="A19" s="200"/>
      <c r="B19" s="108" t="str">
        <f>'FR A0300'!$B$3</f>
        <v>Frame and Body</v>
      </c>
      <c r="C19" s="201" t="str">
        <f>FR_0300_011</f>
        <v>FR_0300_011</v>
      </c>
      <c r="D19" s="110" t="s">
        <v>11</v>
      </c>
      <c r="E19" s="110" t="str">
        <f t="shared" si="2"/>
        <v>Pedal box</v>
      </c>
      <c r="F19" s="211" t="str">
        <f>FR_0300_011!B5</f>
        <v>Rear Rail Mount</v>
      </c>
      <c r="G19" s="201"/>
      <c r="H19" s="112">
        <f t="shared" si="0"/>
        <v>0.85994725000000005</v>
      </c>
      <c r="I19" s="113">
        <f>FR_A0300_q*FR_0300_011_q</f>
        <v>4</v>
      </c>
      <c r="J19" s="114">
        <f>FR_0300_011_m</f>
        <v>5.4047250000000005E-2</v>
      </c>
      <c r="K19" s="114">
        <f>FR_0300_011_p</f>
        <v>0.80590000000000006</v>
      </c>
      <c r="L19" s="114">
        <v>0</v>
      </c>
      <c r="M19" s="114">
        <v>0</v>
      </c>
      <c r="N19" s="115">
        <f t="shared" si="1"/>
        <v>3.4397890000000002</v>
      </c>
      <c r="O19" s="202"/>
    </row>
    <row r="20" spans="1:15" ht="14.4" x14ac:dyDescent="0.3">
      <c r="A20" s="200"/>
      <c r="B20" s="108" t="str">
        <f>'FR A0300'!$B$3</f>
        <v>Frame and Body</v>
      </c>
      <c r="C20" s="201" t="str">
        <f>FR_0300_012</f>
        <v>FR_0300_012</v>
      </c>
      <c r="D20" s="110" t="s">
        <v>11</v>
      </c>
      <c r="E20" s="110" t="str">
        <f t="shared" si="2"/>
        <v>Pedal box</v>
      </c>
      <c r="F20" s="211" t="str">
        <f>FR_0300_012!B5</f>
        <v>Front Rail Mount</v>
      </c>
      <c r="G20" s="201"/>
      <c r="H20" s="112">
        <f t="shared" si="0"/>
        <v>0.79530246250000003</v>
      </c>
      <c r="I20" s="113">
        <f>FR_A0300_q*FR_0300_012_q</f>
        <v>4</v>
      </c>
      <c r="J20" s="114">
        <f>FR_0300_012_m</f>
        <v>7.0102462500000004E-2</v>
      </c>
      <c r="K20" s="114">
        <f>FR_0300_012_p</f>
        <v>0.72520000000000007</v>
      </c>
      <c r="L20" s="114">
        <v>0</v>
      </c>
      <c r="M20" s="114">
        <v>0</v>
      </c>
      <c r="N20" s="115">
        <f t="shared" si="1"/>
        <v>3.1812098500000001</v>
      </c>
      <c r="O20" s="202"/>
    </row>
    <row r="21" spans="1:15" ht="14.4" x14ac:dyDescent="0.3">
      <c r="A21" s="200"/>
      <c r="B21" s="108" t="str">
        <f>'FR A0300'!$B$3</f>
        <v>Frame and Body</v>
      </c>
      <c r="C21" s="201" t="str">
        <f>FR_0300_013</f>
        <v>FR_0300_013</v>
      </c>
      <c r="D21" s="110" t="s">
        <v>11</v>
      </c>
      <c r="E21" s="110" t="str">
        <f t="shared" si="2"/>
        <v>Pedal box</v>
      </c>
      <c r="F21" s="211" t="str">
        <f>FR_0300_013!B5</f>
        <v>Sheath for cable mount</v>
      </c>
      <c r="G21" s="201"/>
      <c r="H21" s="112">
        <f t="shared" si="0"/>
        <v>1.8554658250000002</v>
      </c>
      <c r="I21" s="113">
        <f>FR_A0300_q*FR_0300_013_q</f>
        <v>1</v>
      </c>
      <c r="J21" s="114">
        <f>FR_0300_013_m</f>
        <v>6.8565825000000011E-2</v>
      </c>
      <c r="K21" s="114">
        <f>FR_0300_013_p</f>
        <v>1.7869000000000002</v>
      </c>
      <c r="L21" s="114">
        <v>0</v>
      </c>
      <c r="M21" s="114">
        <v>0</v>
      </c>
      <c r="N21" s="115">
        <f t="shared" si="1"/>
        <v>1.8554658250000002</v>
      </c>
      <c r="O21" s="202"/>
    </row>
    <row r="22" spans="1:15" s="7" customFormat="1" ht="14.4" thickBot="1" x14ac:dyDescent="0.3">
      <c r="A22" s="203"/>
      <c r="B22" s="204" t="str">
        <f>'FR A0300'!B3</f>
        <v>Frame and Body</v>
      </c>
      <c r="C22" s="205"/>
      <c r="D22" s="205"/>
      <c r="E22" s="205"/>
      <c r="F22" s="204" t="s">
        <v>66</v>
      </c>
      <c r="G22" s="205"/>
      <c r="H22" s="206"/>
      <c r="I22" s="207"/>
      <c r="J22" s="208">
        <f>SUMPRODUCT($I7:$I17,J7:J17)</f>
        <v>23.898862275500004</v>
      </c>
      <c r="K22" s="208">
        <f>SUMPRODUCT($I7:$I17,K7:K17)</f>
        <v>68.643359999999987</v>
      </c>
      <c r="L22" s="208">
        <f>SUMPRODUCT($I7:$I17,L7:L17)</f>
        <v>3.8727105739649841</v>
      </c>
      <c r="M22" s="208">
        <f>SUMPRODUCT($I7:$I17,M7:M17)</f>
        <v>3</v>
      </c>
      <c r="N22" s="208">
        <f>SUM(N7:N17)</f>
        <v>99.414932849464975</v>
      </c>
      <c r="O22" s="209"/>
    </row>
    <row r="23" spans="1:15" ht="13.8" thickTop="1" x14ac:dyDescent="0.25">
      <c r="A23" s="6"/>
      <c r="B23" s="41"/>
      <c r="C23" s="8"/>
      <c r="D23" s="8"/>
      <c r="E23" s="8"/>
      <c r="F23" s="8"/>
      <c r="G23" s="8"/>
      <c r="H23" s="3"/>
      <c r="I23" s="8"/>
      <c r="J23" s="8"/>
      <c r="K23" s="8"/>
      <c r="L23" s="8"/>
      <c r="M23" s="8"/>
      <c r="N23" s="8"/>
    </row>
    <row r="24" spans="1:15" x14ac:dyDescent="0.25">
      <c r="A24" s="6"/>
      <c r="B24" s="41"/>
      <c r="C24" s="8"/>
      <c r="D24" s="8"/>
      <c r="E24" s="8"/>
      <c r="F24" s="8"/>
      <c r="G24" s="8"/>
      <c r="H24" s="3"/>
      <c r="I24" s="8"/>
      <c r="J24" s="8"/>
      <c r="K24" s="8"/>
      <c r="L24" s="8"/>
      <c r="M24" s="8"/>
      <c r="N24" s="8"/>
    </row>
    <row r="25" spans="1:15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5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44"/>
    </row>
    <row r="27" spans="1:15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5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44"/>
    </row>
    <row r="29" spans="1:15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5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5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5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x14ac:dyDescent="0.25">
      <c r="A47" s="6"/>
      <c r="B47" s="6"/>
      <c r="D47" s="8"/>
      <c r="E47" s="8"/>
      <c r="G47" s="8"/>
      <c r="H47" s="8"/>
      <c r="I47" s="3"/>
      <c r="J47" s="3"/>
      <c r="K47" s="3"/>
      <c r="L47" s="3"/>
      <c r="M47" s="3"/>
      <c r="N47" s="8"/>
    </row>
    <row r="48" spans="1:14" x14ac:dyDescent="0.25">
      <c r="A48" s="6"/>
      <c r="B48" s="6"/>
      <c r="D48" s="8"/>
      <c r="E48" s="8"/>
      <c r="G48" s="8"/>
      <c r="H48" s="8"/>
      <c r="I48" s="3"/>
      <c r="J48" s="3"/>
      <c r="K48" s="3"/>
      <c r="L48" s="3"/>
      <c r="M48" s="3"/>
      <c r="N48" s="8"/>
    </row>
    <row r="49" spans="1:14" x14ac:dyDescent="0.25">
      <c r="A49" s="6"/>
      <c r="B49" s="6"/>
      <c r="D49" s="8"/>
      <c r="E49" s="8"/>
      <c r="G49" s="8"/>
      <c r="H49" s="8"/>
      <c r="I49" s="3"/>
      <c r="J49" s="3"/>
      <c r="K49" s="3"/>
      <c r="L49" s="3"/>
      <c r="M49" s="3"/>
      <c r="N49" s="8"/>
    </row>
    <row r="50" spans="1:14" x14ac:dyDescent="0.25">
      <c r="A50" s="6"/>
      <c r="B50" s="6"/>
      <c r="D50" s="8"/>
      <c r="E50" s="8"/>
      <c r="G50" s="8"/>
      <c r="H50" s="8"/>
      <c r="I50" s="3"/>
      <c r="J50" s="3"/>
      <c r="K50" s="3"/>
      <c r="L50" s="3"/>
      <c r="M50" s="3"/>
      <c r="N50" s="8"/>
    </row>
    <row r="51" spans="1:14" x14ac:dyDescent="0.25">
      <c r="A51" s="6"/>
      <c r="B51" s="6"/>
      <c r="D51" s="8"/>
      <c r="E51" s="8"/>
      <c r="G51" s="8"/>
      <c r="H51" s="8"/>
      <c r="I51" s="3"/>
      <c r="J51" s="3"/>
      <c r="K51" s="3"/>
      <c r="L51" s="3"/>
      <c r="M51" s="3"/>
      <c r="N51" s="8"/>
    </row>
    <row r="52" spans="1:14" x14ac:dyDescent="0.25">
      <c r="A52" s="6"/>
      <c r="B52" s="6"/>
      <c r="D52" s="8"/>
      <c r="E52" s="8"/>
      <c r="G52" s="8"/>
      <c r="H52" s="8"/>
      <c r="I52" s="3"/>
      <c r="J52" s="3"/>
      <c r="K52" s="3"/>
      <c r="L52" s="3"/>
      <c r="M52" s="3"/>
      <c r="N52" s="8"/>
    </row>
    <row r="53" spans="1:14" s="4" customFormat="1" x14ac:dyDescent="0.25">
      <c r="A53" s="2"/>
      <c r="B53" s="6"/>
      <c r="F53" s="41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1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1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1"/>
      <c r="I56" s="1"/>
      <c r="J56" s="1"/>
      <c r="K56" s="1"/>
      <c r="L56" s="1"/>
      <c r="M56" s="1"/>
    </row>
    <row r="57" spans="1:14" s="4" customFormat="1" x14ac:dyDescent="0.25">
      <c r="A57" s="2"/>
      <c r="B57" s="6"/>
      <c r="F57" s="41"/>
      <c r="I57" s="1"/>
      <c r="J57" s="1"/>
      <c r="K57" s="1"/>
      <c r="L57" s="1"/>
      <c r="M57" s="1"/>
    </row>
    <row r="58" spans="1:14" s="4" customFormat="1" x14ac:dyDescent="0.25">
      <c r="A58" s="2"/>
      <c r="B58" s="6"/>
      <c r="F58" s="41"/>
      <c r="I58" s="1"/>
      <c r="J58" s="1"/>
      <c r="K58" s="1"/>
      <c r="L58" s="1"/>
      <c r="M58" s="1"/>
    </row>
    <row r="59" spans="1:14" s="4" customFormat="1" x14ac:dyDescent="0.25">
      <c r="A59" s="2"/>
      <c r="B59" s="6"/>
      <c r="F59" s="41"/>
      <c r="I59" s="1"/>
      <c r="J59" s="1"/>
      <c r="K59" s="1"/>
      <c r="L59" s="1"/>
      <c r="M59" s="1"/>
    </row>
    <row r="60" spans="1:14" s="4" customFormat="1" x14ac:dyDescent="0.25">
      <c r="A60" s="2"/>
      <c r="B60" s="6"/>
      <c r="F60" s="41"/>
      <c r="I60" s="1"/>
      <c r="J60" s="1"/>
      <c r="K60" s="1"/>
      <c r="L60" s="1"/>
      <c r="M60" s="1"/>
    </row>
    <row r="61" spans="1:14" s="4" customFormat="1" x14ac:dyDescent="0.25">
      <c r="A61" s="2"/>
      <c r="B61" s="6"/>
      <c r="F61" s="41"/>
      <c r="I61" s="1"/>
      <c r="J61" s="1"/>
      <c r="K61" s="1"/>
      <c r="L61" s="1"/>
      <c r="M61" s="1"/>
    </row>
    <row r="62" spans="1:14" s="4" customFormat="1" x14ac:dyDescent="0.25">
      <c r="A62" s="2"/>
      <c r="B62" s="6"/>
      <c r="F62" s="41"/>
      <c r="I62" s="1"/>
      <c r="J62" s="1"/>
      <c r="K62" s="1"/>
      <c r="L62" s="1"/>
      <c r="M62" s="1"/>
    </row>
    <row r="63" spans="1:14" s="5" customFormat="1" x14ac:dyDescent="0.25">
      <c r="A63" s="2"/>
      <c r="B63" s="6"/>
      <c r="C63" s="4"/>
      <c r="D63" s="4"/>
      <c r="E63" s="4"/>
      <c r="F63" s="41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1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1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1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1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1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1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1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1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1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1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1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1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1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1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1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1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1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1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1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1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1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1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1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1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1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1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1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1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1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1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1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1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1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1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1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1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1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1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1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1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1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1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1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1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1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1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1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1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1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1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1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1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1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1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1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1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1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1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1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1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1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1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1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1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1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1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1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1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1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1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1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1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1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1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1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1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1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1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1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1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1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1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1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1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1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1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1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1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1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1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1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1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1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1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1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1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1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1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1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5">
      <c r="A163" s="2"/>
      <c r="B163" s="6"/>
      <c r="C163" s="4"/>
      <c r="D163" s="4"/>
      <c r="E163" s="4"/>
      <c r="F163" s="41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5">
      <c r="A164" s="2"/>
      <c r="B164" s="6"/>
      <c r="C164" s="4"/>
      <c r="D164" s="4"/>
      <c r="E164" s="4"/>
      <c r="F164" s="41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5">
      <c r="A165" s="2"/>
      <c r="B165" s="6"/>
      <c r="C165" s="4"/>
      <c r="D165" s="4"/>
      <c r="E165" s="4"/>
      <c r="F165" s="41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5">
      <c r="A166" s="2"/>
      <c r="B166" s="6"/>
      <c r="C166" s="4"/>
      <c r="D166" s="4"/>
      <c r="E166" s="4"/>
      <c r="F166" s="41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5">
      <c r="A167" s="2"/>
      <c r="B167" s="6"/>
      <c r="C167" s="4"/>
      <c r="D167" s="4"/>
      <c r="E167" s="4"/>
      <c r="F167" s="41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5">
      <c r="A168" s="2"/>
      <c r="B168" s="6"/>
      <c r="C168" s="4"/>
      <c r="D168" s="4"/>
      <c r="E168" s="4"/>
      <c r="F168" s="41"/>
      <c r="G168" s="4"/>
      <c r="H168" s="4"/>
      <c r="I168" s="1"/>
      <c r="J168" s="1"/>
      <c r="K168" s="1"/>
      <c r="L168" s="1"/>
      <c r="M168" s="1"/>
      <c r="N168" s="4"/>
    </row>
  </sheetData>
  <hyperlinks>
    <hyperlink ref="F7" location="BR_A0001" display="BR_A0001"/>
    <hyperlink ref="F8" location="BR_01001" display="BR_01001"/>
    <hyperlink ref="F9" location="FR_0300_001!A1" display="FR_0300_001!A1"/>
    <hyperlink ref="F10" location="FR_0300_002!A1" display="FR_0300_002!A1"/>
    <hyperlink ref="F11" location="FR_0300_003!A1" display="FR_0300_003!A1"/>
    <hyperlink ref="F12" location="FR_0300_004!A1" display="FR_0300_004!A1"/>
    <hyperlink ref="F13" location="FR_0300_005!A1" display="FR_0300_005!A1"/>
    <hyperlink ref="F14" location="FR_0300_006!A1" display="FR_0300_006!A1"/>
    <hyperlink ref="F15" location="FR_0300_007!A1" display="FR_0300_007!A1"/>
    <hyperlink ref="F16" location="FR_0300_008!A1" display="FR_0300_008!A1"/>
    <hyperlink ref="F17" location="FR_0300_009!A1" display="FR_0300_009!A1"/>
    <hyperlink ref="F18" location="FR_0300_010!A1" display="FR_0300_010!A1"/>
    <hyperlink ref="F19" location="FR_0300_011!A1" display="FR_0300_011!A1"/>
    <hyperlink ref="F20" location="FR_0300_012!A1" display="FR_0300_012!A1"/>
    <hyperlink ref="F21" location="FR_0300_013!A1" display="FR_0300_013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3"/>
  <sheetViews>
    <sheetView workbookViewId="0">
      <selection activeCell="I22" sqref="I22"/>
    </sheetView>
  </sheetViews>
  <sheetFormatPr baseColWidth="10" defaultColWidth="9.109375" defaultRowHeight="14.4" x14ac:dyDescent="0.3"/>
  <cols>
    <col min="2" max="2" width="33.441406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FR_0300_008_m+FR_0300_008_p</f>
        <v>3.8954950875000001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239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3.8954950875000001</v>
      </c>
      <c r="O5" s="61"/>
    </row>
    <row r="6" spans="1:15" x14ac:dyDescent="0.3">
      <c r="A6" s="119" t="s">
        <v>7</v>
      </c>
      <c r="B6" s="25" t="s">
        <v>241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5">
        <v>5.0300000000000003E-5</v>
      </c>
      <c r="K11" s="18">
        <v>0.13</v>
      </c>
      <c r="L11" s="28">
        <v>7850</v>
      </c>
      <c r="M11" s="20">
        <v>1</v>
      </c>
      <c r="N11" s="29">
        <f>IF(J11="",D11*M11,D11*J11*K11*L11*M11)</f>
        <v>0.11549508750000001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0.11549508750000001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87">
        <v>1</v>
      </c>
      <c r="G15" s="30"/>
      <c r="H15" s="30"/>
      <c r="I15" s="29">
        <f t="shared" ref="I15:I21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256</v>
      </c>
      <c r="C16" s="30"/>
      <c r="D16" s="31">
        <v>0.1</v>
      </c>
      <c r="E16" s="24" t="s">
        <v>47</v>
      </c>
      <c r="F16" s="174">
        <v>4</v>
      </c>
      <c r="G16" s="24"/>
      <c r="H16" s="23"/>
      <c r="I16" s="29">
        <f t="shared" si="0"/>
        <v>0.4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97" t="s">
        <v>204</v>
      </c>
      <c r="C17" s="23"/>
      <c r="D17" s="29">
        <v>0.65</v>
      </c>
      <c r="E17" s="24" t="s">
        <v>35</v>
      </c>
      <c r="F17" s="23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97" t="s">
        <v>257</v>
      </c>
      <c r="C18" s="14"/>
      <c r="D18" s="29">
        <v>0.35</v>
      </c>
      <c r="E18" s="14" t="s">
        <v>258</v>
      </c>
      <c r="F18" s="32">
        <v>1</v>
      </c>
      <c r="G18" s="24"/>
      <c r="H18" s="23"/>
      <c r="I18" s="29">
        <f t="shared" si="0"/>
        <v>0.35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97" t="s">
        <v>259</v>
      </c>
      <c r="C19" s="192"/>
      <c r="D19" s="193">
        <v>0.1</v>
      </c>
      <c r="E19" s="192" t="s">
        <v>47</v>
      </c>
      <c r="F19" s="196">
        <v>0.8</v>
      </c>
      <c r="G19" s="194"/>
      <c r="H19" s="195"/>
      <c r="I19" s="29">
        <f t="shared" si="0"/>
        <v>8.0000000000000016E-2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97" t="s">
        <v>204</v>
      </c>
      <c r="C20" s="188"/>
      <c r="D20" s="189">
        <v>0.65</v>
      </c>
      <c r="E20" s="188" t="s">
        <v>35</v>
      </c>
      <c r="F20" s="186">
        <v>1</v>
      </c>
      <c r="G20" s="172"/>
      <c r="H20" s="173"/>
      <c r="I20" s="29">
        <f t="shared" si="0"/>
        <v>0.65</v>
      </c>
      <c r="J20" s="55"/>
      <c r="K20" s="55"/>
      <c r="L20" s="55"/>
      <c r="M20" s="55"/>
      <c r="N20" s="55"/>
      <c r="O20" s="61"/>
    </row>
    <row r="21" spans="1:15" x14ac:dyDescent="0.3">
      <c r="A21" s="81">
        <v>70</v>
      </c>
      <c r="B21" s="197" t="s">
        <v>257</v>
      </c>
      <c r="C21" s="190"/>
      <c r="D21" s="191">
        <v>0.35</v>
      </c>
      <c r="E21" s="190" t="s">
        <v>258</v>
      </c>
      <c r="F21" s="32">
        <v>1</v>
      </c>
      <c r="G21" s="24"/>
      <c r="H21" s="23"/>
      <c r="I21" s="29">
        <f t="shared" si="0"/>
        <v>0.35</v>
      </c>
      <c r="J21" s="55"/>
      <c r="K21" s="55"/>
      <c r="L21" s="55"/>
      <c r="M21" s="55"/>
      <c r="N21" s="55"/>
      <c r="O21" s="61"/>
    </row>
    <row r="22" spans="1:15" x14ac:dyDescent="0.3">
      <c r="A22" s="67"/>
      <c r="B22" s="21"/>
      <c r="C22" s="21"/>
      <c r="D22" s="21"/>
      <c r="E22" s="21"/>
      <c r="F22" s="21"/>
      <c r="G22" s="21"/>
      <c r="H22" s="128" t="s">
        <v>18</v>
      </c>
      <c r="I22" s="126">
        <f>SUM(I15:I21)</f>
        <v>3.7800000000000002</v>
      </c>
      <c r="J22" s="21"/>
      <c r="K22" s="21"/>
      <c r="L22" s="21"/>
      <c r="M22" s="21"/>
      <c r="N22" s="21"/>
      <c r="O22" s="61"/>
    </row>
    <row r="23" spans="1:15" ht="15" thickBot="1" x14ac:dyDescent="0.35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FR A0300'!A1" display="'FR A0300'!A1"/>
    <hyperlink ref="E3" location="dFR_0300_008!A1" display="Drawing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260</v>
      </c>
      <c r="B1" s="84" t="s">
        <v>241</v>
      </c>
    </row>
  </sheetData>
  <hyperlinks>
    <hyperlink ref="B1" location="FR_0300_008!A1" display="FR_0300_008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7.109375" bestFit="1" customWidth="1"/>
    <col min="7" max="7" width="33.109375" bestFit="1" customWidth="1"/>
    <col min="9" max="9" width="10.3320312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FR_0300_009_m+FR_0300_009_p</f>
        <v>0.69077112499999993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242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1.3815422499999999</v>
      </c>
      <c r="O5" s="61"/>
    </row>
    <row r="6" spans="1:15" x14ac:dyDescent="0.3">
      <c r="A6" s="119" t="s">
        <v>7</v>
      </c>
      <c r="B6" s="25" t="s">
        <v>244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5">
        <v>9.5000000000000005E-5</v>
      </c>
      <c r="K11" s="18">
        <v>1.4E-2</v>
      </c>
      <c r="L11" s="28">
        <v>7850</v>
      </c>
      <c r="M11" s="20">
        <v>1</v>
      </c>
      <c r="N11" s="29">
        <f>IF(J11="",D11*M11,D11*J11*K11*L11*M11)</f>
        <v>2.3491125000000002E-2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2.3491125000000002E-2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87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/>
      <c r="D16" s="29">
        <v>0.04</v>
      </c>
      <c r="E16" s="14" t="s">
        <v>206</v>
      </c>
      <c r="F16" s="198">
        <v>0.432</v>
      </c>
      <c r="G16" s="24"/>
      <c r="H16" s="23"/>
      <c r="I16" s="29">
        <f t="shared" si="0"/>
        <v>1.728E-2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0.66727999999999998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09!A1" display="Draw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M18" sqref="M18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244</v>
      </c>
    </row>
  </sheetData>
  <hyperlinks>
    <hyperlink ref="B1" location="FR_0300_009!A1" display="FR_0300_009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5.33203125" bestFit="1" customWidth="1"/>
    <col min="7" max="7" width="33.109375" bestFit="1" customWidth="1"/>
    <col min="10" max="10" width="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FR_0300_010_m+FR_0300_010_p</f>
        <v>0.65891381250000003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247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1.3178276250000001</v>
      </c>
      <c r="O5" s="61"/>
    </row>
    <row r="6" spans="1:15" x14ac:dyDescent="0.3">
      <c r="A6" s="119" t="s">
        <v>7</v>
      </c>
      <c r="B6" s="25" t="s">
        <v>245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246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5">
        <v>9.5000000000000005E-5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5.033812500000001E-3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5.033812500000001E-3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87">
        <v>1</v>
      </c>
      <c r="G15" s="30" t="s">
        <v>264</v>
      </c>
      <c r="H15" s="30">
        <v>0.5</v>
      </c>
      <c r="I15" s="31">
        <f t="shared" ref="I15:I16" si="0">IF(H15="",D15*F15,D15*F15*H15)</f>
        <v>0.65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97" t="s">
        <v>205</v>
      </c>
      <c r="C16" s="14"/>
      <c r="D16" s="29">
        <v>0.04</v>
      </c>
      <c r="E16" s="14" t="s">
        <v>206</v>
      </c>
      <c r="F16" s="198">
        <v>9.7000000000000003E-2</v>
      </c>
      <c r="G16" s="24"/>
      <c r="H16" s="23"/>
      <c r="I16" s="199">
        <f t="shared" si="0"/>
        <v>3.8800000000000002E-3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0.65388000000000002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0!A1" display="Drawing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16" sqref="K16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245</v>
      </c>
    </row>
  </sheetData>
  <hyperlinks>
    <hyperlink ref="B1" location="FR_0300_010!A1" display="FR_0300_002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tabSelected="1" workbookViewId="0">
      <selection activeCell="J25" sqref="J25"/>
    </sheetView>
  </sheetViews>
  <sheetFormatPr baseColWidth="10" defaultColWidth="9.109375" defaultRowHeight="14.4" x14ac:dyDescent="0.3"/>
  <cols>
    <col min="2" max="2" width="33.44140625" bestFit="1" customWidth="1"/>
    <col min="7" max="7" width="34.218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FR_0300_011_m+FR_0300_011_p</f>
        <v>0.85994725000000005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250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3.4397890000000002</v>
      </c>
      <c r="O5" s="61"/>
    </row>
    <row r="6" spans="1:15" x14ac:dyDescent="0.3">
      <c r="A6" s="119" t="s">
        <v>7</v>
      </c>
      <c r="B6" s="25" t="s">
        <v>248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0">
        <v>1.0200000000000001E-3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5.4047250000000005E-2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5.4047250000000005E-2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9">
        <v>16.03</v>
      </c>
      <c r="G16" s="24" t="s">
        <v>262</v>
      </c>
      <c r="H16" s="23">
        <v>3</v>
      </c>
      <c r="I16" s="29">
        <f t="shared" si="0"/>
        <v>0.48090000000000011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0.80590000000000006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1!A1" display="Drawing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248</v>
      </c>
    </row>
  </sheetData>
  <hyperlinks>
    <hyperlink ref="B1" location="FR_0300_011!A1" display="FR_0300_01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17" sqref="I17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FR_0300_012_m+FR_0300_012_p</f>
        <v>0.79530246250000003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4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252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3.1812098500000001</v>
      </c>
      <c r="O5" s="61"/>
    </row>
    <row r="6" spans="1:15" x14ac:dyDescent="0.3">
      <c r="A6" s="119" t="s">
        <v>7</v>
      </c>
      <c r="B6" s="25" t="s">
        <v>249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0">
        <v>1.323E-3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7.0102462500000004E-2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7.0102462500000004E-2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 t="s">
        <v>261</v>
      </c>
      <c r="H15" s="30">
        <v>0.25</v>
      </c>
      <c r="I15" s="31">
        <f t="shared" ref="I15:I16" si="0">IF(H15="",D15*F15,D15*F15*H15)</f>
        <v>0.32500000000000001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9">
        <v>13.34</v>
      </c>
      <c r="G16" s="24" t="s">
        <v>263</v>
      </c>
      <c r="H16" s="23">
        <v>3</v>
      </c>
      <c r="I16" s="29">
        <f t="shared" si="0"/>
        <v>0.4002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0.72520000000000007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2!A1" display="Drawing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249</v>
      </c>
    </row>
  </sheetData>
  <hyperlinks>
    <hyperlink ref="B1" location="FR_0300_012!A1" display="FR_0300_012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112"/>
  <sheetViews>
    <sheetView topLeftCell="A7" zoomScale="75" zoomScaleNormal="75" zoomScaleSheetLayoutView="80" workbookViewId="0">
      <selection activeCell="B21" sqref="B21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92" t="s">
        <v>0</v>
      </c>
      <c r="B2" s="11" t="s">
        <v>44</v>
      </c>
      <c r="C2" s="55"/>
      <c r="D2" s="55"/>
      <c r="E2" s="55" t="s">
        <v>134</v>
      </c>
      <c r="F2" s="55"/>
      <c r="G2" s="55"/>
      <c r="H2" s="55"/>
      <c r="I2" s="55"/>
      <c r="J2" s="92" t="s">
        <v>1</v>
      </c>
      <c r="K2" s="77">
        <v>81</v>
      </c>
      <c r="L2" s="55"/>
      <c r="M2" s="92" t="s">
        <v>2</v>
      </c>
      <c r="N2" s="90">
        <f>FR_A0300_pa+FR_A0300_m+FR_A0300_p+FR_A0300_f+FR_A0300_t</f>
        <v>109.20922514946497</v>
      </c>
      <c r="O2" s="61"/>
    </row>
    <row r="3" spans="1:15" x14ac:dyDescent="0.3">
      <c r="A3" s="92" t="s">
        <v>3</v>
      </c>
      <c r="B3" s="11" t="s">
        <v>137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92" t="s">
        <v>4</v>
      </c>
      <c r="N3" s="76">
        <v>1</v>
      </c>
      <c r="O3" s="61"/>
    </row>
    <row r="4" spans="1:15" x14ac:dyDescent="0.3">
      <c r="A4" s="92" t="s">
        <v>5</v>
      </c>
      <c r="B4" s="56" t="s">
        <v>138</v>
      </c>
      <c r="C4" s="55"/>
      <c r="D4" s="55"/>
      <c r="E4" s="55"/>
      <c r="F4" s="55"/>
      <c r="G4" s="55"/>
      <c r="H4" s="55"/>
      <c r="I4" s="55"/>
      <c r="J4" s="95" t="s">
        <v>6</v>
      </c>
      <c r="K4" s="55"/>
      <c r="L4" s="55"/>
      <c r="M4" s="55"/>
      <c r="N4" s="55"/>
      <c r="O4" s="61"/>
    </row>
    <row r="5" spans="1:15" x14ac:dyDescent="0.3">
      <c r="A5" s="92" t="s">
        <v>7</v>
      </c>
      <c r="B5" s="13" t="s">
        <v>139</v>
      </c>
      <c r="C5" s="55"/>
      <c r="D5" s="55"/>
      <c r="E5" s="55"/>
      <c r="F5" s="55"/>
      <c r="G5" s="55"/>
      <c r="H5" s="55"/>
      <c r="I5" s="55"/>
      <c r="J5" s="95" t="s">
        <v>8</v>
      </c>
      <c r="K5" s="55"/>
      <c r="L5" s="55"/>
      <c r="M5" s="92" t="s">
        <v>9</v>
      </c>
      <c r="N5" s="73">
        <f>N2*N3</f>
        <v>109.20922514946497</v>
      </c>
      <c r="O5" s="61"/>
    </row>
    <row r="6" spans="1:15" x14ac:dyDescent="0.3">
      <c r="A6" s="92" t="s">
        <v>10</v>
      </c>
      <c r="B6" s="11" t="s">
        <v>11</v>
      </c>
      <c r="C6" s="55"/>
      <c r="D6" s="55"/>
      <c r="E6" s="55"/>
      <c r="F6" s="55"/>
      <c r="G6" s="55"/>
      <c r="H6" s="55"/>
      <c r="I6" s="55"/>
      <c r="J6" s="95" t="s">
        <v>12</v>
      </c>
      <c r="K6" s="55"/>
      <c r="L6" s="55"/>
      <c r="M6" s="55"/>
      <c r="N6" s="55"/>
      <c r="O6" s="61"/>
    </row>
    <row r="7" spans="1:15" x14ac:dyDescent="0.3">
      <c r="A7" s="92" t="s">
        <v>13</v>
      </c>
      <c r="B7" s="11" t="s">
        <v>140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62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131" t="s">
        <v>14</v>
      </c>
      <c r="B9" s="131" t="s">
        <v>15</v>
      </c>
      <c r="C9" s="92" t="s">
        <v>16</v>
      </c>
      <c r="D9" s="92" t="s">
        <v>17</v>
      </c>
      <c r="E9" s="92" t="s">
        <v>18</v>
      </c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4">
        <v>10</v>
      </c>
      <c r="B10" s="133" t="s">
        <v>141</v>
      </c>
      <c r="C10" s="129">
        <f>FR_0300_000!N2</f>
        <v>3.10793344</v>
      </c>
      <c r="D10" s="184">
        <f>FR_0300_000_q</f>
        <v>2</v>
      </c>
      <c r="E10" s="73">
        <f>C10*D10</f>
        <v>6.2158668800000001</v>
      </c>
      <c r="F10" s="55"/>
      <c r="G10" s="55"/>
      <c r="H10" s="55"/>
      <c r="I10" s="55"/>
      <c r="J10" s="55"/>
      <c r="K10" s="55"/>
      <c r="L10" s="55"/>
      <c r="M10" s="55"/>
      <c r="N10" s="55"/>
      <c r="O10" s="61"/>
    </row>
    <row r="11" spans="1:15" x14ac:dyDescent="0.3">
      <c r="A11" s="14">
        <v>20</v>
      </c>
      <c r="B11" s="178" t="s">
        <v>142</v>
      </c>
      <c r="C11" s="129">
        <f>FR_0300_001!N2</f>
        <v>5.6870399999999997</v>
      </c>
      <c r="D11" s="72">
        <f>FR_0300_001_q</f>
        <v>1</v>
      </c>
      <c r="E11" s="73">
        <f t="shared" ref="E11:E23" si="0">C11*D11</f>
        <v>5.6870399999999997</v>
      </c>
      <c r="F11" s="56"/>
      <c r="G11" s="56"/>
      <c r="H11" s="56"/>
      <c r="I11" s="56"/>
      <c r="J11" s="56"/>
      <c r="K11" s="56"/>
      <c r="L11" s="56"/>
      <c r="M11" s="56"/>
      <c r="N11" s="56"/>
      <c r="O11" s="61"/>
    </row>
    <row r="12" spans="1:15" x14ac:dyDescent="0.3">
      <c r="A12" s="14">
        <v>30</v>
      </c>
      <c r="B12" s="178" t="s">
        <v>143</v>
      </c>
      <c r="C12" s="129">
        <f>FR_0300_002!N2</f>
        <v>4.8410399999999996</v>
      </c>
      <c r="D12" s="72">
        <f>FR_0300_002_q</f>
        <v>1</v>
      </c>
      <c r="E12" s="73">
        <f t="shared" si="0"/>
        <v>4.8410399999999996</v>
      </c>
      <c r="F12" s="56"/>
      <c r="G12" s="56"/>
      <c r="H12" s="56"/>
      <c r="I12" s="56"/>
      <c r="J12" s="56"/>
      <c r="K12" s="56"/>
      <c r="L12" s="56"/>
      <c r="M12" s="56"/>
      <c r="N12" s="56"/>
      <c r="O12" s="64"/>
    </row>
    <row r="13" spans="1:15" x14ac:dyDescent="0.3">
      <c r="A13" s="14">
        <v>40</v>
      </c>
      <c r="B13" s="182" t="s">
        <v>152</v>
      </c>
      <c r="C13" s="129">
        <f>FR_0300_003!N2</f>
        <v>2.1023579199999998</v>
      </c>
      <c r="D13" s="72">
        <f>FR_0300_003_q</f>
        <v>2</v>
      </c>
      <c r="E13" s="73">
        <f t="shared" si="0"/>
        <v>4.2047158399999995</v>
      </c>
      <c r="F13" s="56"/>
      <c r="G13" s="56"/>
      <c r="H13" s="56"/>
      <c r="I13" s="56"/>
      <c r="J13" s="56"/>
      <c r="K13" s="56"/>
      <c r="L13" s="56"/>
      <c r="M13" s="56"/>
      <c r="N13" s="56"/>
      <c r="O13" s="64"/>
    </row>
    <row r="14" spans="1:15" x14ac:dyDescent="0.3">
      <c r="A14" s="14">
        <v>50</v>
      </c>
      <c r="B14" s="182" t="s">
        <v>144</v>
      </c>
      <c r="C14" s="129">
        <f>FR_0300_004!N2</f>
        <v>2.0173139839999998</v>
      </c>
      <c r="D14" s="72">
        <f>FR_0300_004_q</f>
        <v>2</v>
      </c>
      <c r="E14" s="73">
        <f t="shared" si="0"/>
        <v>4.0346279679999997</v>
      </c>
      <c r="F14" s="56"/>
      <c r="G14" s="56"/>
      <c r="H14" s="56"/>
      <c r="I14" s="56"/>
      <c r="J14" s="56"/>
      <c r="K14" s="56"/>
      <c r="L14" s="56"/>
      <c r="M14" s="56"/>
      <c r="N14" s="56"/>
      <c r="O14" s="64"/>
    </row>
    <row r="15" spans="1:15" x14ac:dyDescent="0.3">
      <c r="A15" s="14">
        <v>60</v>
      </c>
      <c r="B15" s="182" t="s">
        <v>145</v>
      </c>
      <c r="C15" s="129">
        <f>FR_0300_005!N2</f>
        <v>3.1116406249999997</v>
      </c>
      <c r="D15" s="72">
        <f>FR_0300_005_q</f>
        <v>2</v>
      </c>
      <c r="E15" s="73">
        <f t="shared" si="0"/>
        <v>6.2232812499999994</v>
      </c>
      <c r="F15" s="56"/>
      <c r="G15" s="56"/>
      <c r="H15" s="56"/>
      <c r="I15" s="56"/>
      <c r="J15" s="56"/>
      <c r="K15" s="56"/>
      <c r="L15" s="56"/>
      <c r="M15" s="56"/>
      <c r="N15" s="56"/>
      <c r="O15" s="64"/>
    </row>
    <row r="16" spans="1:15" x14ac:dyDescent="0.3">
      <c r="A16" s="14">
        <v>70</v>
      </c>
      <c r="B16" s="182" t="s">
        <v>146</v>
      </c>
      <c r="C16" s="129">
        <f>FR_0300_006!N2</f>
        <v>1.7216500000000001</v>
      </c>
      <c r="D16" s="72">
        <f>FR_0300_006_q</f>
        <v>1</v>
      </c>
      <c r="E16" s="73">
        <f t="shared" si="0"/>
        <v>1.7216500000000001</v>
      </c>
      <c r="F16" s="56"/>
      <c r="G16" s="56"/>
      <c r="H16" s="56"/>
      <c r="I16" s="56"/>
      <c r="J16" s="56"/>
      <c r="K16" s="56"/>
      <c r="L16" s="56"/>
      <c r="M16" s="56"/>
      <c r="N16" s="56"/>
      <c r="O16" s="64"/>
    </row>
    <row r="17" spans="1:15" x14ac:dyDescent="0.3">
      <c r="A17" s="14">
        <v>80</v>
      </c>
      <c r="B17" s="182" t="s">
        <v>147</v>
      </c>
      <c r="C17" s="129">
        <f>FR_0300_007!N2</f>
        <v>1.9959815000000003</v>
      </c>
      <c r="D17" s="72">
        <f>FR_0300_007_q</f>
        <v>2</v>
      </c>
      <c r="E17" s="73">
        <f t="shared" si="0"/>
        <v>3.9919630000000006</v>
      </c>
      <c r="F17" s="56"/>
      <c r="G17" s="56"/>
      <c r="H17" s="56"/>
      <c r="I17" s="56"/>
      <c r="J17" s="56"/>
      <c r="K17" s="56"/>
      <c r="L17" s="56"/>
      <c r="M17" s="56"/>
      <c r="N17" s="56"/>
      <c r="O17" s="64"/>
    </row>
    <row r="18" spans="1:15" x14ac:dyDescent="0.3">
      <c r="A18" s="14">
        <v>90</v>
      </c>
      <c r="B18" s="182" t="s">
        <v>148</v>
      </c>
      <c r="C18" s="129">
        <f>FR_0300_008!N2</f>
        <v>3.8954950875000001</v>
      </c>
      <c r="D18" s="72">
        <f>FR_0300_008_q</f>
        <v>1</v>
      </c>
      <c r="E18" s="73">
        <f t="shared" si="0"/>
        <v>3.8954950875000001</v>
      </c>
      <c r="F18" s="56"/>
      <c r="G18" s="56"/>
      <c r="H18" s="56"/>
      <c r="I18" s="56"/>
      <c r="J18" s="56"/>
      <c r="K18" s="56"/>
      <c r="L18" s="56"/>
      <c r="M18" s="56"/>
      <c r="N18" s="56"/>
      <c r="O18" s="64"/>
    </row>
    <row r="19" spans="1:15" x14ac:dyDescent="0.3">
      <c r="A19" s="14">
        <v>100</v>
      </c>
      <c r="B19" s="182" t="s">
        <v>149</v>
      </c>
      <c r="C19" s="129">
        <f>FR_0300_009!N2</f>
        <v>0.69077112499999993</v>
      </c>
      <c r="D19" s="72">
        <f>FR_0300_009_q</f>
        <v>2</v>
      </c>
      <c r="E19" s="73">
        <f t="shared" si="0"/>
        <v>1.3815422499999999</v>
      </c>
      <c r="F19" s="56"/>
      <c r="G19" s="56"/>
      <c r="H19" s="56"/>
      <c r="I19" s="56"/>
      <c r="J19" s="56"/>
      <c r="K19" s="56"/>
      <c r="L19" s="56"/>
      <c r="M19" s="56"/>
      <c r="N19" s="56"/>
      <c r="O19" s="64"/>
    </row>
    <row r="20" spans="1:15" x14ac:dyDescent="0.3">
      <c r="A20" s="14">
        <v>110</v>
      </c>
      <c r="B20" s="182" t="s">
        <v>150</v>
      </c>
      <c r="C20" s="129">
        <f>FR_0300_010!N2</f>
        <v>0.65891381250000003</v>
      </c>
      <c r="D20" s="72">
        <f>FR_0300_010_q</f>
        <v>2</v>
      </c>
      <c r="E20" s="73">
        <f t="shared" si="0"/>
        <v>1.3178276250000001</v>
      </c>
      <c r="F20" s="56"/>
      <c r="G20" s="56"/>
      <c r="H20" s="56"/>
      <c r="I20" s="56"/>
      <c r="J20" s="56"/>
      <c r="K20" s="56"/>
      <c r="L20" s="56"/>
      <c r="M20" s="56"/>
      <c r="N20" s="56"/>
      <c r="O20" s="64"/>
    </row>
    <row r="21" spans="1:15" x14ac:dyDescent="0.3">
      <c r="A21" s="14">
        <v>120</v>
      </c>
      <c r="B21" s="182" t="s">
        <v>155</v>
      </c>
      <c r="C21" s="129">
        <f>FR_0300_011!N2</f>
        <v>0.85994725000000005</v>
      </c>
      <c r="D21" s="72">
        <f>FR_0300_011_q</f>
        <v>4</v>
      </c>
      <c r="E21" s="73">
        <f t="shared" si="0"/>
        <v>3.4397890000000002</v>
      </c>
      <c r="F21" s="56"/>
      <c r="G21" s="56"/>
      <c r="H21" s="56"/>
      <c r="I21" s="56"/>
      <c r="J21" s="56"/>
      <c r="K21" s="56"/>
      <c r="L21" s="56"/>
      <c r="M21" s="56"/>
      <c r="N21" s="56"/>
      <c r="O21" s="64"/>
    </row>
    <row r="22" spans="1:15" x14ac:dyDescent="0.3">
      <c r="A22" s="14">
        <v>130</v>
      </c>
      <c r="B22" s="182" t="s">
        <v>156</v>
      </c>
      <c r="C22" s="129">
        <f>FR_0300_012!N2</f>
        <v>0.79530246250000003</v>
      </c>
      <c r="D22" s="72">
        <f>FR_0300_012_q</f>
        <v>4</v>
      </c>
      <c r="E22" s="73">
        <f t="shared" si="0"/>
        <v>3.1812098500000001</v>
      </c>
      <c r="F22" s="56"/>
      <c r="G22" s="56"/>
      <c r="H22" s="56"/>
      <c r="I22" s="56"/>
      <c r="J22" s="56"/>
      <c r="K22" s="56"/>
      <c r="L22" s="56"/>
      <c r="M22" s="56"/>
      <c r="N22" s="56"/>
      <c r="O22" s="64"/>
    </row>
    <row r="23" spans="1:15" x14ac:dyDescent="0.3">
      <c r="A23" s="14">
        <v>140</v>
      </c>
      <c r="B23" s="182" t="s">
        <v>151</v>
      </c>
      <c r="C23" s="129">
        <f>FR_0300_013!N2</f>
        <v>1.8554658250000002</v>
      </c>
      <c r="D23" s="72">
        <f>FR_0300_013_q</f>
        <v>1</v>
      </c>
      <c r="E23" s="73">
        <f t="shared" si="0"/>
        <v>1.8554658250000002</v>
      </c>
      <c r="F23" s="56"/>
      <c r="G23" s="56"/>
      <c r="H23" s="56"/>
      <c r="I23" s="56"/>
      <c r="J23" s="56"/>
      <c r="K23" s="56"/>
      <c r="L23" s="56"/>
      <c r="M23" s="56"/>
      <c r="N23" s="56"/>
      <c r="O23" s="64"/>
    </row>
    <row r="24" spans="1:15" ht="15" thickBot="1" x14ac:dyDescent="0.35">
      <c r="A24" s="62"/>
      <c r="B24" s="132"/>
      <c r="C24" s="55"/>
      <c r="D24" s="93" t="s">
        <v>18</v>
      </c>
      <c r="E24" s="94">
        <f>SUM(E10:E23)</f>
        <v>51.991514575499998</v>
      </c>
      <c r="F24" s="56"/>
      <c r="G24" s="56"/>
      <c r="H24" s="56"/>
      <c r="I24" s="56"/>
      <c r="J24" s="56"/>
      <c r="K24" s="56"/>
      <c r="L24" s="56"/>
      <c r="M24" s="56"/>
      <c r="N24" s="56"/>
      <c r="O24" s="61"/>
    </row>
    <row r="25" spans="1:15" x14ac:dyDescent="0.3">
      <c r="A25" s="62"/>
      <c r="B25" s="13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61"/>
    </row>
    <row r="26" spans="1:15" x14ac:dyDescent="0.3">
      <c r="A26" s="137" t="s">
        <v>14</v>
      </c>
      <c r="B26" s="137" t="s">
        <v>19</v>
      </c>
      <c r="C26" s="137" t="s">
        <v>20</v>
      </c>
      <c r="D26" s="134" t="s">
        <v>21</v>
      </c>
      <c r="E26" s="92" t="s">
        <v>22</v>
      </c>
      <c r="F26" s="92" t="s">
        <v>23</v>
      </c>
      <c r="G26" s="92" t="s">
        <v>24</v>
      </c>
      <c r="H26" s="92" t="s">
        <v>25</v>
      </c>
      <c r="I26" s="92" t="s">
        <v>26</v>
      </c>
      <c r="J26" s="92" t="s">
        <v>27</v>
      </c>
      <c r="K26" s="92" t="s">
        <v>28</v>
      </c>
      <c r="L26" s="92" t="s">
        <v>29</v>
      </c>
      <c r="M26" s="92" t="s">
        <v>17</v>
      </c>
      <c r="N26" s="92" t="s">
        <v>18</v>
      </c>
      <c r="O26" s="61"/>
    </row>
    <row r="27" spans="1:15" x14ac:dyDescent="0.3">
      <c r="A27" s="138">
        <v>10</v>
      </c>
      <c r="B27" s="223" t="s">
        <v>153</v>
      </c>
      <c r="C27" s="224" t="s">
        <v>154</v>
      </c>
      <c r="D27" s="140">
        <v>4.28</v>
      </c>
      <c r="E27" s="138">
        <v>15</v>
      </c>
      <c r="F27" s="138" t="s">
        <v>30</v>
      </c>
      <c r="G27" s="138">
        <v>10</v>
      </c>
      <c r="H27" s="225" t="s">
        <v>30</v>
      </c>
      <c r="I27" s="226"/>
      <c r="J27" s="227"/>
      <c r="K27" s="225"/>
      <c r="L27" s="228"/>
      <c r="M27" s="225">
        <v>4</v>
      </c>
      <c r="N27" s="140">
        <f t="shared" ref="N27:N28" si="1">M27*D27</f>
        <v>17.12</v>
      </c>
      <c r="O27" s="61"/>
    </row>
    <row r="28" spans="1:15" x14ac:dyDescent="0.3">
      <c r="A28" s="229">
        <v>20</v>
      </c>
      <c r="B28" s="221" t="s">
        <v>267</v>
      </c>
      <c r="C28" s="229" t="s">
        <v>268</v>
      </c>
      <c r="D28" s="230">
        <v>10</v>
      </c>
      <c r="E28" s="229">
        <f>F34</f>
        <v>0.18</v>
      </c>
      <c r="F28" s="229" t="s">
        <v>188</v>
      </c>
      <c r="G28" s="229"/>
      <c r="H28" s="231"/>
      <c r="I28" s="232"/>
      <c r="J28" s="233"/>
      <c r="K28" s="231"/>
      <c r="L28" s="234"/>
      <c r="M28" s="231">
        <f>E28</f>
        <v>0.18</v>
      </c>
      <c r="N28" s="140">
        <f t="shared" si="1"/>
        <v>1.7999999999999998</v>
      </c>
      <c r="O28" s="61"/>
    </row>
    <row r="29" spans="1:15" x14ac:dyDescent="0.3">
      <c r="A29" s="6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2" t="s">
        <v>18</v>
      </c>
      <c r="N29" s="97">
        <f>SUM(N27:N27)</f>
        <v>17.12</v>
      </c>
      <c r="O29" s="61"/>
    </row>
    <row r="30" spans="1:15" x14ac:dyDescent="0.3">
      <c r="A30" s="62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61"/>
    </row>
    <row r="31" spans="1:15" s="22" customFormat="1" x14ac:dyDescent="0.3">
      <c r="A31" s="92" t="s">
        <v>14</v>
      </c>
      <c r="B31" s="92" t="s">
        <v>31</v>
      </c>
      <c r="C31" s="92" t="s">
        <v>20</v>
      </c>
      <c r="D31" s="92" t="s">
        <v>21</v>
      </c>
      <c r="E31" s="92" t="s">
        <v>32</v>
      </c>
      <c r="F31" s="92" t="s">
        <v>17</v>
      </c>
      <c r="G31" s="92" t="s">
        <v>33</v>
      </c>
      <c r="H31" s="92" t="s">
        <v>34</v>
      </c>
      <c r="I31" s="92" t="s">
        <v>18</v>
      </c>
      <c r="J31" s="21"/>
      <c r="K31" s="21"/>
      <c r="L31" s="21"/>
      <c r="M31" s="21"/>
      <c r="N31" s="21"/>
      <c r="O31" s="68"/>
    </row>
    <row r="32" spans="1:15" x14ac:dyDescent="0.3">
      <c r="A32" s="72">
        <v>10</v>
      </c>
      <c r="B32" s="72" t="s">
        <v>157</v>
      </c>
      <c r="C32" s="72" t="s">
        <v>158</v>
      </c>
      <c r="D32" s="73">
        <v>0.15</v>
      </c>
      <c r="E32" s="72" t="s">
        <v>47</v>
      </c>
      <c r="F32" s="74">
        <f>2.7*8+1.8*8</f>
        <v>36</v>
      </c>
      <c r="G32" s="74"/>
      <c r="H32" s="74"/>
      <c r="I32" s="73">
        <f t="shared" ref="I32:I72" si="2">IF(H32="",D32*F32,D32*F32*H32)</f>
        <v>5.3999999999999995</v>
      </c>
      <c r="J32" s="55"/>
      <c r="K32" s="55"/>
      <c r="L32" s="55"/>
      <c r="M32" s="55"/>
      <c r="N32" s="55"/>
      <c r="O32" s="61"/>
    </row>
    <row r="33" spans="1:15" x14ac:dyDescent="0.3">
      <c r="A33" s="72">
        <v>20</v>
      </c>
      <c r="B33" s="72" t="s">
        <v>157</v>
      </c>
      <c r="C33" s="72" t="s">
        <v>183</v>
      </c>
      <c r="D33" s="73">
        <v>0.15</v>
      </c>
      <c r="E33" s="72" t="s">
        <v>47</v>
      </c>
      <c r="F33" s="74">
        <f>2*2.1</f>
        <v>4.2</v>
      </c>
      <c r="G33" s="74"/>
      <c r="H33" s="74"/>
      <c r="I33" s="73">
        <f t="shared" si="2"/>
        <v>0.63</v>
      </c>
      <c r="J33" s="55"/>
      <c r="K33" s="55"/>
      <c r="L33" s="55"/>
      <c r="M33" s="55"/>
      <c r="N33" s="55"/>
      <c r="O33" s="61"/>
    </row>
    <row r="34" spans="1:15" x14ac:dyDescent="0.3">
      <c r="A34" s="72">
        <v>30</v>
      </c>
      <c r="B34" s="147" t="s">
        <v>186</v>
      </c>
      <c r="C34" s="72" t="s">
        <v>187</v>
      </c>
      <c r="D34" s="73">
        <v>5.25</v>
      </c>
      <c r="E34" s="75" t="s">
        <v>188</v>
      </c>
      <c r="F34" s="74">
        <f>0.02*9</f>
        <v>0.18</v>
      </c>
      <c r="G34" s="72"/>
      <c r="H34" s="72"/>
      <c r="I34" s="73">
        <f t="shared" si="2"/>
        <v>0.94499999999999995</v>
      </c>
      <c r="J34" s="55"/>
      <c r="K34" s="55"/>
      <c r="L34" s="55"/>
      <c r="M34" s="55"/>
      <c r="N34" s="55"/>
      <c r="O34" s="61"/>
    </row>
    <row r="35" spans="1:15" x14ac:dyDescent="0.3">
      <c r="A35" s="72">
        <v>40</v>
      </c>
      <c r="B35" s="75" t="s">
        <v>159</v>
      </c>
      <c r="C35" s="72" t="s">
        <v>160</v>
      </c>
      <c r="D35" s="73">
        <v>0.06</v>
      </c>
      <c r="E35" s="72"/>
      <c r="F35" s="74">
        <v>2</v>
      </c>
      <c r="G35" s="72"/>
      <c r="H35" s="72"/>
      <c r="I35" s="73">
        <f t="shared" si="2"/>
        <v>0.12</v>
      </c>
      <c r="J35" s="55"/>
      <c r="K35" s="55"/>
      <c r="L35" s="55"/>
      <c r="M35" s="55"/>
      <c r="N35" s="55"/>
      <c r="O35" s="61"/>
    </row>
    <row r="36" spans="1:15" x14ac:dyDescent="0.3">
      <c r="A36" s="72">
        <v>50</v>
      </c>
      <c r="B36" s="75" t="s">
        <v>178</v>
      </c>
      <c r="C36" s="72" t="s">
        <v>161</v>
      </c>
      <c r="D36" s="73">
        <v>0.75</v>
      </c>
      <c r="E36" s="72"/>
      <c r="F36" s="74">
        <v>4</v>
      </c>
      <c r="G36" s="72"/>
      <c r="H36" s="72"/>
      <c r="I36" s="73">
        <f t="shared" si="2"/>
        <v>3</v>
      </c>
      <c r="J36" s="55"/>
      <c r="K36" s="55"/>
      <c r="L36" s="55"/>
      <c r="M36" s="55"/>
      <c r="N36" s="55"/>
      <c r="O36" s="61"/>
    </row>
    <row r="37" spans="1:15" x14ac:dyDescent="0.3">
      <c r="A37" s="72">
        <v>60</v>
      </c>
      <c r="B37" s="75" t="s">
        <v>163</v>
      </c>
      <c r="C37" s="72" t="s">
        <v>161</v>
      </c>
      <c r="D37" s="73">
        <v>0.25</v>
      </c>
      <c r="E37" s="72"/>
      <c r="F37" s="74">
        <v>4</v>
      </c>
      <c r="G37" s="72"/>
      <c r="H37" s="72"/>
      <c r="I37" s="73">
        <f t="shared" si="2"/>
        <v>1</v>
      </c>
      <c r="J37" s="55"/>
      <c r="K37" s="55"/>
      <c r="L37" s="55"/>
      <c r="M37" s="55"/>
      <c r="N37" s="55"/>
      <c r="O37" s="61"/>
    </row>
    <row r="38" spans="1:15" x14ac:dyDescent="0.3">
      <c r="A38" s="72">
        <v>70</v>
      </c>
      <c r="B38" s="75" t="s">
        <v>159</v>
      </c>
      <c r="C38" s="72" t="s">
        <v>164</v>
      </c>
      <c r="D38" s="73">
        <v>0.06</v>
      </c>
      <c r="E38" s="72"/>
      <c r="F38" s="74">
        <v>2</v>
      </c>
      <c r="G38" s="72"/>
      <c r="H38" s="72"/>
      <c r="I38" s="73">
        <f t="shared" si="2"/>
        <v>0.12</v>
      </c>
      <c r="J38" s="55"/>
      <c r="K38" s="55"/>
      <c r="L38" s="55"/>
      <c r="M38" s="55"/>
      <c r="N38" s="55"/>
      <c r="O38" s="61"/>
    </row>
    <row r="39" spans="1:15" x14ac:dyDescent="0.3">
      <c r="A39" s="72">
        <v>80</v>
      </c>
      <c r="B39" s="75" t="s">
        <v>178</v>
      </c>
      <c r="C39" s="72" t="s">
        <v>165</v>
      </c>
      <c r="D39" s="73">
        <v>0.75</v>
      </c>
      <c r="E39" s="72"/>
      <c r="F39" s="74">
        <v>2</v>
      </c>
      <c r="G39" s="72"/>
      <c r="H39" s="72"/>
      <c r="I39" s="73">
        <f t="shared" si="2"/>
        <v>1.5</v>
      </c>
      <c r="J39" s="55"/>
      <c r="K39" s="55"/>
      <c r="L39" s="55"/>
      <c r="M39" s="55"/>
      <c r="N39" s="55"/>
      <c r="O39" s="61"/>
    </row>
    <row r="40" spans="1:15" x14ac:dyDescent="0.3">
      <c r="A40" s="72">
        <v>90</v>
      </c>
      <c r="B40" s="75" t="s">
        <v>163</v>
      </c>
      <c r="C40" s="72" t="s">
        <v>165</v>
      </c>
      <c r="D40" s="73">
        <v>0.25</v>
      </c>
      <c r="E40" s="72"/>
      <c r="F40" s="74">
        <v>2</v>
      </c>
      <c r="G40" s="72"/>
      <c r="H40" s="72"/>
      <c r="I40" s="73">
        <f t="shared" si="2"/>
        <v>0.5</v>
      </c>
      <c r="J40" s="55"/>
      <c r="K40" s="55"/>
      <c r="L40" s="55"/>
      <c r="M40" s="55"/>
      <c r="N40" s="55"/>
      <c r="O40" s="61"/>
    </row>
    <row r="41" spans="1:15" x14ac:dyDescent="0.3">
      <c r="A41" s="72">
        <v>100</v>
      </c>
      <c r="B41" s="75" t="s">
        <v>159</v>
      </c>
      <c r="C41" s="72" t="s">
        <v>166</v>
      </c>
      <c r="D41" s="73">
        <v>0.06</v>
      </c>
      <c r="E41" s="72"/>
      <c r="F41" s="74">
        <v>2</v>
      </c>
      <c r="G41" s="72"/>
      <c r="H41" s="72"/>
      <c r="I41" s="73">
        <f t="shared" si="2"/>
        <v>0.12</v>
      </c>
      <c r="J41" s="55"/>
      <c r="K41" s="55"/>
      <c r="L41" s="55"/>
      <c r="M41" s="55"/>
      <c r="N41" s="55"/>
      <c r="O41" s="61"/>
    </row>
    <row r="42" spans="1:15" x14ac:dyDescent="0.3">
      <c r="A42" s="72">
        <v>110</v>
      </c>
      <c r="B42" s="75" t="s">
        <v>178</v>
      </c>
      <c r="C42" s="72" t="s">
        <v>167</v>
      </c>
      <c r="D42" s="73">
        <v>0.75</v>
      </c>
      <c r="E42" s="72"/>
      <c r="F42" s="74">
        <v>2</v>
      </c>
      <c r="G42" s="72"/>
      <c r="H42" s="72"/>
      <c r="I42" s="73">
        <f t="shared" si="2"/>
        <v>1.5</v>
      </c>
      <c r="J42" s="55"/>
      <c r="K42" s="55"/>
      <c r="L42" s="55"/>
      <c r="M42" s="55"/>
      <c r="N42" s="55"/>
      <c r="O42" s="61"/>
    </row>
    <row r="43" spans="1:15" x14ac:dyDescent="0.3">
      <c r="A43" s="72">
        <v>120</v>
      </c>
      <c r="B43" s="75" t="s">
        <v>163</v>
      </c>
      <c r="C43" s="72" t="s">
        <v>167</v>
      </c>
      <c r="D43" s="73">
        <v>0.25</v>
      </c>
      <c r="E43" s="72"/>
      <c r="F43" s="74">
        <v>2</v>
      </c>
      <c r="G43" s="72"/>
      <c r="H43" s="72"/>
      <c r="I43" s="73">
        <f t="shared" si="2"/>
        <v>0.5</v>
      </c>
      <c r="J43" s="55"/>
      <c r="K43" s="55"/>
      <c r="L43" s="55"/>
      <c r="M43" s="55"/>
      <c r="N43" s="55"/>
      <c r="O43" s="61"/>
    </row>
    <row r="44" spans="1:15" x14ac:dyDescent="0.3">
      <c r="A44" s="72">
        <v>130</v>
      </c>
      <c r="B44" s="75" t="s">
        <v>159</v>
      </c>
      <c r="C44" s="72" t="s">
        <v>168</v>
      </c>
      <c r="D44" s="73">
        <v>0.06</v>
      </c>
      <c r="E44" s="72"/>
      <c r="F44" s="74">
        <v>4</v>
      </c>
      <c r="G44" s="72"/>
      <c r="H44" s="72"/>
      <c r="I44" s="73">
        <f t="shared" si="2"/>
        <v>0.24</v>
      </c>
      <c r="J44" s="55"/>
      <c r="K44" s="55"/>
      <c r="L44" s="55"/>
      <c r="M44" s="55"/>
      <c r="N44" s="55"/>
      <c r="O44" s="61"/>
    </row>
    <row r="45" spans="1:15" x14ac:dyDescent="0.3">
      <c r="A45" s="72">
        <v>140</v>
      </c>
      <c r="B45" s="139" t="s">
        <v>159</v>
      </c>
      <c r="C45" s="138" t="s">
        <v>169</v>
      </c>
      <c r="D45" s="140">
        <v>0.06</v>
      </c>
      <c r="E45" s="138"/>
      <c r="F45" s="141">
        <v>1</v>
      </c>
      <c r="G45" s="138"/>
      <c r="H45" s="72"/>
      <c r="I45" s="73">
        <f t="shared" si="2"/>
        <v>0.06</v>
      </c>
      <c r="J45" s="55"/>
      <c r="K45" s="55"/>
      <c r="L45" s="55"/>
      <c r="M45" s="55"/>
      <c r="N45" s="55"/>
      <c r="O45" s="61"/>
    </row>
    <row r="46" spans="1:15" x14ac:dyDescent="0.3">
      <c r="A46" s="72">
        <v>150</v>
      </c>
      <c r="B46" s="24" t="s">
        <v>178</v>
      </c>
      <c r="C46" s="145" t="s">
        <v>172</v>
      </c>
      <c r="D46" s="140">
        <v>0.75</v>
      </c>
      <c r="E46" s="23"/>
      <c r="F46" s="23">
        <v>1</v>
      </c>
      <c r="G46" s="14"/>
      <c r="H46" s="130"/>
      <c r="I46" s="73">
        <f t="shared" si="2"/>
        <v>0.75</v>
      </c>
      <c r="J46" s="55"/>
      <c r="K46" s="55"/>
      <c r="L46" s="55"/>
      <c r="M46" s="55"/>
      <c r="N46" s="55"/>
      <c r="O46" s="61"/>
    </row>
    <row r="47" spans="1:15" x14ac:dyDescent="0.3">
      <c r="A47" s="72">
        <v>160</v>
      </c>
      <c r="B47" s="24" t="s">
        <v>163</v>
      </c>
      <c r="C47" s="23" t="s">
        <v>172</v>
      </c>
      <c r="D47" s="140">
        <v>0.25</v>
      </c>
      <c r="E47" s="23"/>
      <c r="F47" s="23">
        <v>1</v>
      </c>
      <c r="G47" s="14"/>
      <c r="H47" s="130"/>
      <c r="I47" s="73">
        <f t="shared" si="2"/>
        <v>0.25</v>
      </c>
      <c r="J47" s="55"/>
      <c r="K47" s="55"/>
      <c r="L47" s="55"/>
      <c r="M47" s="55"/>
      <c r="N47" s="55"/>
      <c r="O47" s="61"/>
    </row>
    <row r="48" spans="1:15" x14ac:dyDescent="0.3">
      <c r="A48" s="72">
        <v>170</v>
      </c>
      <c r="B48" s="142" t="s">
        <v>159</v>
      </c>
      <c r="C48" s="136" t="s">
        <v>170</v>
      </c>
      <c r="D48" s="143">
        <v>0.06</v>
      </c>
      <c r="E48" s="136"/>
      <c r="F48" s="144">
        <v>1</v>
      </c>
      <c r="G48" s="136"/>
      <c r="H48" s="72"/>
      <c r="I48" s="73">
        <f t="shared" si="2"/>
        <v>0.06</v>
      </c>
      <c r="J48" s="55"/>
      <c r="K48" s="55"/>
      <c r="L48" s="55"/>
      <c r="M48" s="55"/>
      <c r="N48" s="55"/>
      <c r="O48" s="61"/>
    </row>
    <row r="49" spans="1:15" x14ac:dyDescent="0.3">
      <c r="A49" s="72">
        <v>180</v>
      </c>
      <c r="B49" s="75" t="s">
        <v>178</v>
      </c>
      <c r="C49" s="72" t="s">
        <v>171</v>
      </c>
      <c r="D49" s="73">
        <v>0.75</v>
      </c>
      <c r="E49" s="72"/>
      <c r="F49" s="74">
        <v>1</v>
      </c>
      <c r="G49" s="72"/>
      <c r="H49" s="72"/>
      <c r="I49" s="73">
        <f t="shared" si="2"/>
        <v>0.75</v>
      </c>
      <c r="J49" s="55"/>
      <c r="K49" s="55"/>
      <c r="L49" s="55"/>
      <c r="M49" s="55"/>
      <c r="N49" s="55"/>
      <c r="O49" s="61"/>
    </row>
    <row r="50" spans="1:15" x14ac:dyDescent="0.3">
      <c r="A50" s="72">
        <v>190</v>
      </c>
      <c r="B50" s="75" t="s">
        <v>163</v>
      </c>
      <c r="C50" s="72" t="s">
        <v>171</v>
      </c>
      <c r="D50" s="73">
        <v>0.25</v>
      </c>
      <c r="E50" s="72"/>
      <c r="F50" s="74">
        <v>1</v>
      </c>
      <c r="G50" s="72"/>
      <c r="H50" s="72"/>
      <c r="I50" s="73">
        <f t="shared" si="2"/>
        <v>0.25</v>
      </c>
      <c r="J50" s="55"/>
      <c r="K50" s="55"/>
      <c r="L50" s="55"/>
      <c r="M50" s="55"/>
      <c r="N50" s="55"/>
      <c r="O50" s="61"/>
    </row>
    <row r="51" spans="1:15" x14ac:dyDescent="0.3">
      <c r="A51" s="72">
        <v>200</v>
      </c>
      <c r="B51" s="142" t="s">
        <v>159</v>
      </c>
      <c r="C51" s="72" t="s">
        <v>190</v>
      </c>
      <c r="D51" s="73">
        <v>0.06</v>
      </c>
      <c r="E51" s="72"/>
      <c r="F51" s="74">
        <v>1</v>
      </c>
      <c r="G51" s="72"/>
      <c r="H51" s="72"/>
      <c r="I51" s="73">
        <f t="shared" si="2"/>
        <v>0.06</v>
      </c>
      <c r="J51" s="55"/>
      <c r="K51" s="55"/>
      <c r="L51" s="55"/>
      <c r="M51" s="55"/>
      <c r="N51" s="55"/>
      <c r="O51" s="61"/>
    </row>
    <row r="52" spans="1:15" x14ac:dyDescent="0.3">
      <c r="A52" s="72">
        <v>210</v>
      </c>
      <c r="B52" s="75" t="s">
        <v>178</v>
      </c>
      <c r="C52" s="72" t="s">
        <v>191</v>
      </c>
      <c r="D52" s="73">
        <v>0.75</v>
      </c>
      <c r="E52" s="72"/>
      <c r="F52" s="74">
        <v>2</v>
      </c>
      <c r="G52" s="72"/>
      <c r="H52" s="72"/>
      <c r="I52" s="73">
        <f t="shared" si="2"/>
        <v>1.5</v>
      </c>
      <c r="J52" s="55"/>
      <c r="K52" s="55"/>
      <c r="L52" s="55"/>
      <c r="M52" s="55"/>
      <c r="N52" s="55"/>
      <c r="O52" s="61"/>
    </row>
    <row r="53" spans="1:15" x14ac:dyDescent="0.3">
      <c r="A53" s="72">
        <v>220</v>
      </c>
      <c r="B53" s="75" t="s">
        <v>163</v>
      </c>
      <c r="C53" s="72" t="s">
        <v>191</v>
      </c>
      <c r="D53" s="73">
        <v>0.25</v>
      </c>
      <c r="E53" s="72"/>
      <c r="F53" s="74">
        <v>2</v>
      </c>
      <c r="G53" s="72"/>
      <c r="H53" s="72"/>
      <c r="I53" s="73">
        <f t="shared" si="2"/>
        <v>0.5</v>
      </c>
      <c r="J53" s="55"/>
      <c r="K53" s="55"/>
      <c r="L53" s="55"/>
      <c r="M53" s="55"/>
      <c r="N53" s="55"/>
      <c r="O53" s="61"/>
    </row>
    <row r="54" spans="1:15" x14ac:dyDescent="0.3">
      <c r="A54" s="72">
        <v>230</v>
      </c>
      <c r="B54" s="142" t="s">
        <v>159</v>
      </c>
      <c r="C54" s="72" t="s">
        <v>173</v>
      </c>
      <c r="D54" s="73">
        <v>0.06</v>
      </c>
      <c r="E54" s="72"/>
      <c r="F54" s="74">
        <v>1</v>
      </c>
      <c r="G54" s="72"/>
      <c r="H54" s="72"/>
      <c r="I54" s="73">
        <f t="shared" si="2"/>
        <v>0.06</v>
      </c>
      <c r="J54" s="55"/>
      <c r="K54" s="55"/>
      <c r="L54" s="55"/>
      <c r="M54" s="55"/>
      <c r="N54" s="55"/>
      <c r="O54" s="61"/>
    </row>
    <row r="55" spans="1:15" x14ac:dyDescent="0.3">
      <c r="A55" s="72">
        <v>240</v>
      </c>
      <c r="B55" s="75" t="s">
        <v>178</v>
      </c>
      <c r="C55" s="72" t="s">
        <v>174</v>
      </c>
      <c r="D55" s="73">
        <v>0.75</v>
      </c>
      <c r="E55" s="72"/>
      <c r="F55" s="74">
        <v>1</v>
      </c>
      <c r="G55" s="72"/>
      <c r="H55" s="72"/>
      <c r="I55" s="73">
        <f t="shared" si="2"/>
        <v>0.75</v>
      </c>
      <c r="J55" s="55"/>
      <c r="K55" s="55"/>
      <c r="L55" s="55"/>
      <c r="M55" s="55"/>
      <c r="N55" s="55"/>
      <c r="O55" s="61"/>
    </row>
    <row r="56" spans="1:15" x14ac:dyDescent="0.3">
      <c r="A56" s="72">
        <v>250</v>
      </c>
      <c r="B56" s="75" t="s">
        <v>163</v>
      </c>
      <c r="C56" s="72" t="s">
        <v>174</v>
      </c>
      <c r="D56" s="73">
        <v>0.25</v>
      </c>
      <c r="E56" s="72"/>
      <c r="F56" s="74">
        <v>1</v>
      </c>
      <c r="G56" s="72"/>
      <c r="H56" s="72"/>
      <c r="I56" s="73">
        <f t="shared" si="2"/>
        <v>0.25</v>
      </c>
      <c r="J56" s="55"/>
      <c r="K56" s="55"/>
      <c r="L56" s="55"/>
      <c r="M56" s="55"/>
      <c r="N56" s="55"/>
      <c r="O56" s="61"/>
    </row>
    <row r="57" spans="1:15" s="12" customFormat="1" x14ac:dyDescent="0.3">
      <c r="A57" s="72">
        <v>260</v>
      </c>
      <c r="B57" s="142" t="s">
        <v>159</v>
      </c>
      <c r="C57" s="72" t="s">
        <v>175</v>
      </c>
      <c r="D57" s="73">
        <v>0.06</v>
      </c>
      <c r="E57" s="72"/>
      <c r="F57" s="74">
        <v>1</v>
      </c>
      <c r="G57" s="72"/>
      <c r="H57" s="72"/>
      <c r="I57" s="73">
        <f t="shared" si="2"/>
        <v>0.06</v>
      </c>
      <c r="J57" s="56"/>
      <c r="K57" s="56"/>
      <c r="L57" s="56"/>
      <c r="M57" s="56"/>
      <c r="N57" s="56"/>
      <c r="O57" s="65"/>
    </row>
    <row r="58" spans="1:15" s="12" customFormat="1" x14ac:dyDescent="0.3">
      <c r="A58" s="72">
        <v>270</v>
      </c>
      <c r="B58" s="75" t="s">
        <v>178</v>
      </c>
      <c r="C58" s="72" t="s">
        <v>176</v>
      </c>
      <c r="D58" s="73">
        <v>0.75</v>
      </c>
      <c r="E58" s="72"/>
      <c r="F58" s="74">
        <v>1</v>
      </c>
      <c r="G58" s="72"/>
      <c r="H58" s="72"/>
      <c r="I58" s="73">
        <f t="shared" si="2"/>
        <v>0.75</v>
      </c>
      <c r="J58" s="56"/>
      <c r="K58" s="56"/>
      <c r="L58" s="56"/>
      <c r="M58" s="56"/>
      <c r="N58" s="56"/>
      <c r="O58" s="65"/>
    </row>
    <row r="59" spans="1:15" s="12" customFormat="1" x14ac:dyDescent="0.3">
      <c r="A59" s="72">
        <v>280</v>
      </c>
      <c r="B59" s="75" t="s">
        <v>163</v>
      </c>
      <c r="C59" s="72" t="s">
        <v>176</v>
      </c>
      <c r="D59" s="73">
        <v>0.25</v>
      </c>
      <c r="E59" s="72"/>
      <c r="F59" s="74">
        <v>1</v>
      </c>
      <c r="G59" s="72"/>
      <c r="H59" s="72"/>
      <c r="I59" s="73">
        <f t="shared" si="2"/>
        <v>0.25</v>
      </c>
      <c r="J59" s="56"/>
      <c r="K59" s="56"/>
      <c r="L59" s="56"/>
      <c r="M59" s="56"/>
      <c r="N59" s="56"/>
      <c r="O59" s="65"/>
    </row>
    <row r="60" spans="1:15" s="12" customFormat="1" x14ac:dyDescent="0.3">
      <c r="A60" s="72">
        <v>290</v>
      </c>
      <c r="B60" s="142" t="s">
        <v>159</v>
      </c>
      <c r="C60" s="72" t="s">
        <v>179</v>
      </c>
      <c r="D60" s="73">
        <v>0.06</v>
      </c>
      <c r="E60" s="72"/>
      <c r="F60" s="74">
        <v>4</v>
      </c>
      <c r="G60" s="72"/>
      <c r="H60" s="72"/>
      <c r="I60" s="73">
        <f t="shared" si="2"/>
        <v>0.24</v>
      </c>
      <c r="J60" s="56"/>
      <c r="K60" s="56"/>
      <c r="L60" s="56"/>
      <c r="M60" s="56"/>
      <c r="N60" s="56"/>
      <c r="O60" s="65"/>
    </row>
    <row r="61" spans="1:15" s="12" customFormat="1" x14ac:dyDescent="0.3">
      <c r="A61" s="72">
        <v>300</v>
      </c>
      <c r="B61" s="75" t="s">
        <v>178</v>
      </c>
      <c r="C61" s="72" t="s">
        <v>180</v>
      </c>
      <c r="D61" s="73">
        <v>0.75</v>
      </c>
      <c r="E61" s="72"/>
      <c r="F61" s="74">
        <v>4</v>
      </c>
      <c r="G61" s="72"/>
      <c r="H61" s="72"/>
      <c r="I61" s="73">
        <f t="shared" si="2"/>
        <v>3</v>
      </c>
      <c r="J61" s="56"/>
      <c r="K61" s="56"/>
      <c r="L61" s="56"/>
      <c r="M61" s="56"/>
      <c r="N61" s="56"/>
      <c r="O61" s="65"/>
    </row>
    <row r="62" spans="1:15" s="12" customFormat="1" x14ac:dyDescent="0.3">
      <c r="A62" s="72">
        <v>310</v>
      </c>
      <c r="B62" s="75" t="s">
        <v>163</v>
      </c>
      <c r="C62" s="72" t="s">
        <v>180</v>
      </c>
      <c r="D62" s="73">
        <v>0.25</v>
      </c>
      <c r="E62" s="72"/>
      <c r="F62" s="74">
        <v>4</v>
      </c>
      <c r="G62" s="72"/>
      <c r="H62" s="72"/>
      <c r="I62" s="73">
        <f t="shared" si="2"/>
        <v>1</v>
      </c>
      <c r="J62" s="56"/>
      <c r="K62" s="56"/>
      <c r="L62" s="56"/>
      <c r="M62" s="56"/>
      <c r="N62" s="56"/>
      <c r="O62" s="65"/>
    </row>
    <row r="63" spans="1:15" s="12" customFormat="1" x14ac:dyDescent="0.3">
      <c r="A63" s="72">
        <v>320</v>
      </c>
      <c r="B63" s="142" t="s">
        <v>159</v>
      </c>
      <c r="C63" s="72" t="s">
        <v>181</v>
      </c>
      <c r="D63" s="73">
        <v>0.06</v>
      </c>
      <c r="E63" s="72"/>
      <c r="F63" s="74">
        <v>2</v>
      </c>
      <c r="G63" s="72"/>
      <c r="H63" s="72"/>
      <c r="I63" s="73">
        <f t="shared" si="2"/>
        <v>0.12</v>
      </c>
      <c r="J63" s="56"/>
      <c r="K63" s="56"/>
      <c r="L63" s="56"/>
      <c r="M63" s="56"/>
      <c r="N63" s="56"/>
      <c r="O63" s="65"/>
    </row>
    <row r="64" spans="1:15" s="12" customFormat="1" x14ac:dyDescent="0.3">
      <c r="A64" s="72">
        <v>330</v>
      </c>
      <c r="B64" s="75" t="s">
        <v>178</v>
      </c>
      <c r="C64" s="72" t="s">
        <v>196</v>
      </c>
      <c r="D64" s="73">
        <v>0.75</v>
      </c>
      <c r="E64" s="72"/>
      <c r="F64" s="74">
        <v>2</v>
      </c>
      <c r="G64" s="72"/>
      <c r="H64" s="72"/>
      <c r="I64" s="73">
        <f t="shared" si="2"/>
        <v>1.5</v>
      </c>
      <c r="J64" s="56"/>
      <c r="K64" s="56"/>
      <c r="L64" s="56"/>
      <c r="M64" s="56"/>
      <c r="N64" s="56"/>
      <c r="O64" s="65"/>
    </row>
    <row r="65" spans="1:15" s="12" customFormat="1" x14ac:dyDescent="0.3">
      <c r="A65" s="72">
        <v>340</v>
      </c>
      <c r="B65" s="75" t="s">
        <v>163</v>
      </c>
      <c r="C65" s="72" t="s">
        <v>196</v>
      </c>
      <c r="D65" s="73">
        <v>0.25</v>
      </c>
      <c r="E65" s="72"/>
      <c r="F65" s="74">
        <v>2</v>
      </c>
      <c r="G65" s="72"/>
      <c r="H65" s="72"/>
      <c r="I65" s="73">
        <f t="shared" si="2"/>
        <v>0.5</v>
      </c>
      <c r="J65" s="56"/>
      <c r="K65" s="56"/>
      <c r="L65" s="56"/>
      <c r="M65" s="56"/>
      <c r="N65" s="56"/>
      <c r="O65" s="65"/>
    </row>
    <row r="66" spans="1:15" s="12" customFormat="1" x14ac:dyDescent="0.3">
      <c r="A66" s="72">
        <v>350</v>
      </c>
      <c r="B66" s="142" t="s">
        <v>159</v>
      </c>
      <c r="C66" s="72" t="s">
        <v>182</v>
      </c>
      <c r="D66" s="73">
        <v>0.06</v>
      </c>
      <c r="E66" s="72"/>
      <c r="F66" s="74">
        <v>2</v>
      </c>
      <c r="G66" s="72"/>
      <c r="H66" s="72"/>
      <c r="I66" s="73">
        <f t="shared" si="2"/>
        <v>0.12</v>
      </c>
      <c r="J66" s="56"/>
      <c r="K66" s="56"/>
      <c r="L66" s="56"/>
      <c r="M66" s="56"/>
      <c r="N66" s="56"/>
      <c r="O66" s="65"/>
    </row>
    <row r="67" spans="1:15" s="12" customFormat="1" x14ac:dyDescent="0.3">
      <c r="A67" s="72">
        <v>360</v>
      </c>
      <c r="B67" s="146" t="s">
        <v>162</v>
      </c>
      <c r="C67" s="72" t="s">
        <v>197</v>
      </c>
      <c r="D67" s="73">
        <v>1.5</v>
      </c>
      <c r="E67" s="72"/>
      <c r="F67" s="74">
        <v>2</v>
      </c>
      <c r="G67" s="72"/>
      <c r="H67" s="72"/>
      <c r="I67" s="73">
        <f t="shared" si="2"/>
        <v>3</v>
      </c>
      <c r="J67" s="56"/>
      <c r="K67" s="56"/>
      <c r="L67" s="56"/>
      <c r="M67" s="56"/>
      <c r="N67" s="56"/>
      <c r="O67" s="65"/>
    </row>
    <row r="68" spans="1:15" s="12" customFormat="1" x14ac:dyDescent="0.3">
      <c r="A68" s="72">
        <v>370</v>
      </c>
      <c r="B68" s="75" t="s">
        <v>163</v>
      </c>
      <c r="C68" s="72" t="s">
        <v>197</v>
      </c>
      <c r="D68" s="73">
        <v>0.25</v>
      </c>
      <c r="E68" s="72"/>
      <c r="F68" s="74">
        <v>2</v>
      </c>
      <c r="G68" s="72"/>
      <c r="H68" s="72"/>
      <c r="I68" s="73">
        <f t="shared" si="2"/>
        <v>0.5</v>
      </c>
      <c r="J68" s="56"/>
      <c r="K68" s="56"/>
      <c r="L68" s="56"/>
      <c r="M68" s="56"/>
      <c r="N68" s="56"/>
      <c r="O68" s="65"/>
    </row>
    <row r="69" spans="1:15" s="12" customFormat="1" x14ac:dyDescent="0.3">
      <c r="A69" s="72">
        <v>380</v>
      </c>
      <c r="B69" s="142" t="s">
        <v>159</v>
      </c>
      <c r="C69" s="72" t="s">
        <v>184</v>
      </c>
      <c r="D69" s="73">
        <v>0.06</v>
      </c>
      <c r="E69" s="72"/>
      <c r="F69" s="74">
        <v>1</v>
      </c>
      <c r="G69" s="72"/>
      <c r="H69" s="72"/>
      <c r="I69" s="73">
        <f t="shared" si="2"/>
        <v>0.06</v>
      </c>
      <c r="J69" s="56"/>
      <c r="K69" s="56"/>
      <c r="L69" s="56"/>
      <c r="M69" s="56"/>
      <c r="N69" s="56"/>
      <c r="O69" s="65"/>
    </row>
    <row r="70" spans="1:15" s="12" customFormat="1" x14ac:dyDescent="0.3">
      <c r="A70" s="72">
        <v>390</v>
      </c>
      <c r="B70" s="75" t="s">
        <v>178</v>
      </c>
      <c r="C70" s="72" t="s">
        <v>185</v>
      </c>
      <c r="D70" s="73">
        <v>0.75</v>
      </c>
      <c r="E70" s="72"/>
      <c r="F70" s="74">
        <v>1</v>
      </c>
      <c r="G70" s="72"/>
      <c r="H70" s="72"/>
      <c r="I70" s="73">
        <f t="shared" si="2"/>
        <v>0.75</v>
      </c>
      <c r="J70" s="56"/>
      <c r="K70" s="56"/>
      <c r="L70" s="56"/>
      <c r="M70" s="56"/>
      <c r="N70" s="56"/>
      <c r="O70" s="65"/>
    </row>
    <row r="71" spans="1:15" s="22" customFormat="1" x14ac:dyDescent="0.3">
      <c r="A71" s="72">
        <v>400</v>
      </c>
      <c r="B71" s="166" t="s">
        <v>159</v>
      </c>
      <c r="C71" s="161" t="s">
        <v>198</v>
      </c>
      <c r="D71" s="140">
        <v>0.06</v>
      </c>
      <c r="E71" s="138"/>
      <c r="F71" s="141">
        <v>1</v>
      </c>
      <c r="G71" s="141"/>
      <c r="H71" s="141"/>
      <c r="I71" s="73">
        <f t="shared" si="2"/>
        <v>0.06</v>
      </c>
      <c r="J71" s="56"/>
      <c r="K71" s="56"/>
      <c r="L71" s="56"/>
      <c r="M71" s="56"/>
      <c r="N71" s="56"/>
      <c r="O71" s="68"/>
    </row>
    <row r="72" spans="1:15" s="22" customFormat="1" x14ac:dyDescent="0.3">
      <c r="A72" s="72">
        <v>410</v>
      </c>
      <c r="B72" s="167" t="s">
        <v>177</v>
      </c>
      <c r="C72" s="163" t="s">
        <v>199</v>
      </c>
      <c r="D72" s="164">
        <v>0.5</v>
      </c>
      <c r="E72" s="162"/>
      <c r="F72" s="165">
        <v>1</v>
      </c>
      <c r="G72" s="165"/>
      <c r="H72" s="165"/>
      <c r="I72" s="129">
        <f t="shared" si="2"/>
        <v>0.5</v>
      </c>
      <c r="J72" s="56"/>
      <c r="K72" s="56"/>
      <c r="L72" s="56"/>
      <c r="M72" s="56"/>
      <c r="N72" s="56"/>
      <c r="O72" s="68"/>
    </row>
    <row r="73" spans="1:15" x14ac:dyDescent="0.3">
      <c r="A73" s="67"/>
      <c r="B73" s="21"/>
      <c r="C73" s="21"/>
      <c r="D73" s="21"/>
      <c r="E73" s="21"/>
      <c r="F73" s="21"/>
      <c r="G73" s="21"/>
      <c r="H73" s="96" t="s">
        <v>18</v>
      </c>
      <c r="I73" s="94">
        <f>SUM(I32:I72)</f>
        <v>33.224999999999994</v>
      </c>
      <c r="J73" s="55"/>
      <c r="K73" s="55"/>
      <c r="L73" s="55"/>
      <c r="M73" s="55"/>
      <c r="N73" s="55"/>
      <c r="O73" s="61"/>
    </row>
    <row r="74" spans="1:15" x14ac:dyDescent="0.3">
      <c r="A74" s="62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61"/>
    </row>
    <row r="75" spans="1:15" x14ac:dyDescent="0.3">
      <c r="A75" s="92" t="s">
        <v>14</v>
      </c>
      <c r="B75" s="92" t="s">
        <v>36</v>
      </c>
      <c r="C75" s="92" t="s">
        <v>20</v>
      </c>
      <c r="D75" s="92" t="s">
        <v>21</v>
      </c>
      <c r="E75" s="92" t="s">
        <v>22</v>
      </c>
      <c r="F75" s="92" t="s">
        <v>23</v>
      </c>
      <c r="G75" s="92" t="s">
        <v>24</v>
      </c>
      <c r="H75" s="92" t="s">
        <v>25</v>
      </c>
      <c r="I75" s="92" t="s">
        <v>17</v>
      </c>
      <c r="J75" s="92" t="s">
        <v>18</v>
      </c>
      <c r="K75" s="55"/>
      <c r="L75" s="55"/>
      <c r="M75" s="55"/>
      <c r="N75" s="55"/>
      <c r="O75" s="61"/>
    </row>
    <row r="76" spans="1:15" s="150" customFormat="1" x14ac:dyDescent="0.3">
      <c r="A76" s="152">
        <v>10</v>
      </c>
      <c r="B76" s="152" t="s">
        <v>189</v>
      </c>
      <c r="C76" s="152" t="s">
        <v>161</v>
      </c>
      <c r="D76" s="73">
        <f>0.8/105154*E76^2*G76*SQRT(G76)+(0.003*EXP(0.319*E76))</f>
        <v>0.2106451163693987</v>
      </c>
      <c r="E76" s="152">
        <v>8</v>
      </c>
      <c r="F76" s="152" t="s">
        <v>30</v>
      </c>
      <c r="G76" s="152">
        <v>50</v>
      </c>
      <c r="H76" s="152" t="s">
        <v>30</v>
      </c>
      <c r="I76" s="152">
        <v>4</v>
      </c>
      <c r="J76" s="151">
        <f t="shared" ref="J76:J105" si="3">I76*D76</f>
        <v>0.8425804654775948</v>
      </c>
      <c r="K76" s="148"/>
      <c r="L76" s="148"/>
      <c r="M76" s="148"/>
      <c r="N76" s="148"/>
      <c r="O76" s="149"/>
    </row>
    <row r="77" spans="1:15" s="150" customFormat="1" x14ac:dyDescent="0.3">
      <c r="A77" s="152">
        <v>20</v>
      </c>
      <c r="B77" s="152" t="s">
        <v>37</v>
      </c>
      <c r="C77" s="152" t="s">
        <v>161</v>
      </c>
      <c r="D77" s="73">
        <v>0.01</v>
      </c>
      <c r="E77" s="152"/>
      <c r="F77" s="152"/>
      <c r="G77" s="152"/>
      <c r="H77" s="152"/>
      <c r="I77" s="152">
        <v>8</v>
      </c>
      <c r="J77" s="151">
        <f t="shared" si="3"/>
        <v>0.08</v>
      </c>
      <c r="K77" s="148"/>
      <c r="L77" s="148"/>
      <c r="M77" s="148"/>
      <c r="N77" s="148"/>
      <c r="O77" s="149"/>
    </row>
    <row r="78" spans="1:15" s="150" customFormat="1" x14ac:dyDescent="0.3">
      <c r="A78" s="152">
        <v>30</v>
      </c>
      <c r="B78" s="152" t="s">
        <v>38</v>
      </c>
      <c r="C78" s="152" t="s">
        <v>161</v>
      </c>
      <c r="D78" s="73">
        <f>(0.009*EXP(0.2*E78))</f>
        <v>4.4577291819556032E-2</v>
      </c>
      <c r="E78" s="152">
        <v>8</v>
      </c>
      <c r="F78" s="152" t="s">
        <v>30</v>
      </c>
      <c r="G78" s="152"/>
      <c r="H78" s="152"/>
      <c r="I78" s="152">
        <v>4</v>
      </c>
      <c r="J78" s="151">
        <f t="shared" si="3"/>
        <v>0.17830916727822413</v>
      </c>
      <c r="K78" s="148"/>
      <c r="L78" s="148"/>
      <c r="M78" s="148"/>
      <c r="N78" s="148"/>
      <c r="O78" s="149"/>
    </row>
    <row r="79" spans="1:15" s="150" customFormat="1" x14ac:dyDescent="0.3">
      <c r="A79" s="152">
        <v>40</v>
      </c>
      <c r="B79" s="152" t="s">
        <v>189</v>
      </c>
      <c r="C79" s="72" t="s">
        <v>165</v>
      </c>
      <c r="D79" s="73">
        <f>0.8/105154*E79^2*G79*SQRT(G79)+(0.003*EXP(0.319*E79))</f>
        <v>0.2106451163693987</v>
      </c>
      <c r="E79" s="152">
        <v>8</v>
      </c>
      <c r="F79" s="152" t="s">
        <v>30</v>
      </c>
      <c r="G79" s="152">
        <v>50</v>
      </c>
      <c r="H79" s="152" t="s">
        <v>30</v>
      </c>
      <c r="I79" s="152">
        <v>2</v>
      </c>
      <c r="J79" s="151">
        <f t="shared" si="3"/>
        <v>0.4212902327387974</v>
      </c>
      <c r="K79" s="148"/>
      <c r="L79" s="148"/>
      <c r="M79" s="148"/>
      <c r="N79" s="148"/>
      <c r="O79" s="149"/>
    </row>
    <row r="80" spans="1:15" s="150" customFormat="1" x14ac:dyDescent="0.3">
      <c r="A80" s="152">
        <v>50</v>
      </c>
      <c r="B80" s="152" t="s">
        <v>37</v>
      </c>
      <c r="C80" s="72" t="s">
        <v>165</v>
      </c>
      <c r="D80" s="73">
        <v>0.01</v>
      </c>
      <c r="E80" s="152"/>
      <c r="F80" s="152"/>
      <c r="G80" s="152"/>
      <c r="H80" s="152"/>
      <c r="I80" s="152">
        <v>4</v>
      </c>
      <c r="J80" s="151">
        <f t="shared" si="3"/>
        <v>0.04</v>
      </c>
      <c r="K80" s="148"/>
      <c r="L80" s="148"/>
      <c r="M80" s="148"/>
      <c r="N80" s="148"/>
      <c r="O80" s="149"/>
    </row>
    <row r="81" spans="1:15" s="150" customFormat="1" x14ac:dyDescent="0.3">
      <c r="A81" s="152">
        <v>60</v>
      </c>
      <c r="B81" s="152" t="s">
        <v>38</v>
      </c>
      <c r="C81" s="72" t="s">
        <v>165</v>
      </c>
      <c r="D81" s="73">
        <f>(0.009*EXP(0.2*E81))</f>
        <v>4.4577291819556032E-2</v>
      </c>
      <c r="E81" s="152">
        <v>8</v>
      </c>
      <c r="F81" s="152" t="s">
        <v>30</v>
      </c>
      <c r="G81" s="152"/>
      <c r="H81" s="152"/>
      <c r="I81" s="152">
        <v>2</v>
      </c>
      <c r="J81" s="151">
        <f t="shared" si="3"/>
        <v>8.9154583639112064E-2</v>
      </c>
      <c r="K81" s="148"/>
      <c r="L81" s="148"/>
      <c r="M81" s="148"/>
      <c r="N81" s="148"/>
      <c r="O81" s="149"/>
    </row>
    <row r="82" spans="1:15" s="150" customFormat="1" x14ac:dyDescent="0.3">
      <c r="A82" s="152">
        <v>70</v>
      </c>
      <c r="B82" s="152" t="s">
        <v>189</v>
      </c>
      <c r="C82" s="72" t="s">
        <v>167</v>
      </c>
      <c r="D82" s="73">
        <f>0.8/105154*E82^2*G82*SQRT(G82)+(0.003*EXP(0.319*E82))</f>
        <v>0.2106451163693987</v>
      </c>
      <c r="E82" s="152">
        <v>8</v>
      </c>
      <c r="F82" s="152" t="s">
        <v>30</v>
      </c>
      <c r="G82" s="152">
        <v>50</v>
      </c>
      <c r="H82" s="152" t="s">
        <v>30</v>
      </c>
      <c r="I82" s="152">
        <v>2</v>
      </c>
      <c r="J82" s="151">
        <f t="shared" si="3"/>
        <v>0.4212902327387974</v>
      </c>
      <c r="K82" s="148"/>
      <c r="L82" s="148"/>
      <c r="M82" s="148"/>
      <c r="N82" s="148"/>
      <c r="O82" s="149"/>
    </row>
    <row r="83" spans="1:15" s="150" customFormat="1" x14ac:dyDescent="0.3">
      <c r="A83" s="152">
        <v>80</v>
      </c>
      <c r="B83" s="152" t="s">
        <v>37</v>
      </c>
      <c r="C83" s="72" t="s">
        <v>167</v>
      </c>
      <c r="D83" s="73">
        <v>0.01</v>
      </c>
      <c r="E83" s="152"/>
      <c r="F83" s="152"/>
      <c r="G83" s="152"/>
      <c r="H83" s="152"/>
      <c r="I83" s="152">
        <v>4</v>
      </c>
      <c r="J83" s="151">
        <f t="shared" si="3"/>
        <v>0.04</v>
      </c>
      <c r="K83" s="148"/>
      <c r="L83" s="148"/>
      <c r="M83" s="148"/>
      <c r="N83" s="148"/>
      <c r="O83" s="149"/>
    </row>
    <row r="84" spans="1:15" s="150" customFormat="1" x14ac:dyDescent="0.3">
      <c r="A84" s="152">
        <v>90</v>
      </c>
      <c r="B84" s="152" t="s">
        <v>38</v>
      </c>
      <c r="C84" s="72" t="s">
        <v>167</v>
      </c>
      <c r="D84" s="73">
        <f>(0.009*EXP(0.2*E84))</f>
        <v>4.4577291819556032E-2</v>
      </c>
      <c r="E84" s="152">
        <v>8</v>
      </c>
      <c r="F84" s="152" t="s">
        <v>30</v>
      </c>
      <c r="G84" s="152"/>
      <c r="H84" s="152"/>
      <c r="I84" s="152">
        <v>2</v>
      </c>
      <c r="J84" s="151">
        <f t="shared" si="3"/>
        <v>8.9154583639112064E-2</v>
      </c>
      <c r="K84" s="148"/>
      <c r="L84" s="148"/>
      <c r="M84" s="148"/>
      <c r="N84" s="148"/>
      <c r="O84" s="149"/>
    </row>
    <row r="85" spans="1:15" s="150" customFormat="1" x14ac:dyDescent="0.3">
      <c r="A85" s="152">
        <v>100</v>
      </c>
      <c r="B85" s="160" t="s">
        <v>194</v>
      </c>
      <c r="C85" s="145" t="s">
        <v>172</v>
      </c>
      <c r="D85" s="73">
        <v>0</v>
      </c>
      <c r="E85" s="152"/>
      <c r="F85" s="152"/>
      <c r="G85" s="152"/>
      <c r="H85" s="152"/>
      <c r="I85" s="152"/>
      <c r="J85" s="151">
        <f t="shared" si="3"/>
        <v>0</v>
      </c>
      <c r="K85" s="148"/>
      <c r="L85" s="148"/>
      <c r="M85" s="148"/>
      <c r="N85" s="148"/>
      <c r="O85" s="149"/>
    </row>
    <row r="86" spans="1:15" s="150" customFormat="1" x14ac:dyDescent="0.3">
      <c r="A86" s="152">
        <v>110</v>
      </c>
      <c r="B86" s="152" t="s">
        <v>37</v>
      </c>
      <c r="C86" s="145" t="s">
        <v>172</v>
      </c>
      <c r="D86" s="73">
        <v>0.01</v>
      </c>
      <c r="E86" s="152"/>
      <c r="F86" s="152"/>
      <c r="G86" s="152"/>
      <c r="H86" s="152"/>
      <c r="I86" s="152">
        <v>4</v>
      </c>
      <c r="J86" s="151">
        <f t="shared" si="3"/>
        <v>0.04</v>
      </c>
      <c r="K86" s="148"/>
      <c r="L86" s="148"/>
      <c r="M86" s="148"/>
      <c r="N86" s="148"/>
      <c r="O86" s="149"/>
    </row>
    <row r="87" spans="1:15" s="150" customFormat="1" x14ac:dyDescent="0.3">
      <c r="A87" s="152">
        <v>120</v>
      </c>
      <c r="B87" s="152" t="s">
        <v>38</v>
      </c>
      <c r="C87" s="145" t="s">
        <v>172</v>
      </c>
      <c r="D87" s="73">
        <f>(0.009*EXP(0.2*E87))</f>
        <v>6.6501504890375845E-2</v>
      </c>
      <c r="E87" s="152">
        <v>10</v>
      </c>
      <c r="F87" s="152"/>
      <c r="G87" s="152"/>
      <c r="H87" s="152"/>
      <c r="I87" s="152">
        <v>1</v>
      </c>
      <c r="J87" s="151">
        <f t="shared" si="3"/>
        <v>6.6501504890375845E-2</v>
      </c>
      <c r="K87" s="148"/>
      <c r="L87" s="148"/>
      <c r="M87" s="148"/>
      <c r="N87" s="148"/>
      <c r="O87" s="149"/>
    </row>
    <row r="88" spans="1:15" s="150" customFormat="1" x14ac:dyDescent="0.3">
      <c r="A88" s="152">
        <v>130</v>
      </c>
      <c r="B88" s="160" t="s">
        <v>194</v>
      </c>
      <c r="C88" s="72" t="s">
        <v>171</v>
      </c>
      <c r="D88" s="73">
        <v>0</v>
      </c>
      <c r="E88" s="152"/>
      <c r="F88" s="152"/>
      <c r="G88" s="152"/>
      <c r="H88" s="152"/>
      <c r="I88" s="152"/>
      <c r="J88" s="151">
        <f t="shared" si="3"/>
        <v>0</v>
      </c>
      <c r="K88" s="148"/>
      <c r="L88" s="148"/>
      <c r="M88" s="148"/>
      <c r="N88" s="148"/>
      <c r="O88" s="149"/>
    </row>
    <row r="89" spans="1:15" s="150" customFormat="1" x14ac:dyDescent="0.3">
      <c r="A89" s="152">
        <v>140</v>
      </c>
      <c r="B89" s="152" t="s">
        <v>37</v>
      </c>
      <c r="C89" s="72" t="s">
        <v>171</v>
      </c>
      <c r="D89" s="73">
        <v>0.01</v>
      </c>
      <c r="E89" s="152"/>
      <c r="F89" s="152"/>
      <c r="G89" s="152"/>
      <c r="H89" s="152"/>
      <c r="I89" s="152">
        <v>4</v>
      </c>
      <c r="J89" s="151">
        <f t="shared" si="3"/>
        <v>0.04</v>
      </c>
      <c r="K89" s="148"/>
      <c r="L89" s="148"/>
      <c r="M89" s="148"/>
      <c r="N89" s="148"/>
      <c r="O89" s="149"/>
    </row>
    <row r="90" spans="1:15" s="150" customFormat="1" x14ac:dyDescent="0.3">
      <c r="A90" s="152">
        <v>150</v>
      </c>
      <c r="B90" s="152" t="s">
        <v>38</v>
      </c>
      <c r="C90" s="72" t="s">
        <v>171</v>
      </c>
      <c r="D90" s="73">
        <f>(0.009*EXP(0.2*E90))</f>
        <v>6.6501504890375845E-2</v>
      </c>
      <c r="E90" s="152">
        <v>10</v>
      </c>
      <c r="F90" s="152"/>
      <c r="G90" s="152"/>
      <c r="H90" s="152"/>
      <c r="I90" s="152">
        <v>1</v>
      </c>
      <c r="J90" s="151">
        <f t="shared" si="3"/>
        <v>6.6501504890375845E-2</v>
      </c>
      <c r="K90" s="148"/>
      <c r="L90" s="148"/>
      <c r="M90" s="148"/>
      <c r="N90" s="148"/>
      <c r="O90" s="149"/>
    </row>
    <row r="91" spans="1:15" s="150" customFormat="1" x14ac:dyDescent="0.3">
      <c r="A91" s="152">
        <v>160</v>
      </c>
      <c r="B91" s="152" t="s">
        <v>189</v>
      </c>
      <c r="C91" s="152" t="s">
        <v>191</v>
      </c>
      <c r="D91" s="73">
        <f>0.8/105154*E91^2*G91*SQRT(G91)+(0.003*EXP(0.319*E91))</f>
        <v>5.3783567080586181E-2</v>
      </c>
      <c r="E91" s="152">
        <v>4</v>
      </c>
      <c r="F91" s="152" t="s">
        <v>30</v>
      </c>
      <c r="G91" s="152">
        <v>50</v>
      </c>
      <c r="H91" s="152" t="s">
        <v>30</v>
      </c>
      <c r="I91" s="152">
        <v>1</v>
      </c>
      <c r="J91" s="151">
        <f t="shared" si="3"/>
        <v>5.3783567080586181E-2</v>
      </c>
      <c r="K91" s="148"/>
      <c r="L91" s="148"/>
      <c r="M91" s="148"/>
      <c r="N91" s="148"/>
      <c r="O91" s="149"/>
    </row>
    <row r="92" spans="1:15" s="150" customFormat="1" x14ac:dyDescent="0.3">
      <c r="A92" s="152">
        <v>170</v>
      </c>
      <c r="B92" s="152" t="s">
        <v>192</v>
      </c>
      <c r="C92" s="152" t="s">
        <v>191</v>
      </c>
      <c r="D92" s="73">
        <f>0.1*E92</f>
        <v>0.4</v>
      </c>
      <c r="E92" s="152">
        <v>4</v>
      </c>
      <c r="F92" s="152" t="s">
        <v>30</v>
      </c>
      <c r="G92" s="152"/>
      <c r="H92" s="152"/>
      <c r="I92" s="152">
        <v>2</v>
      </c>
      <c r="J92" s="151">
        <f t="shared" si="3"/>
        <v>0.8</v>
      </c>
      <c r="K92" s="148"/>
      <c r="L92" s="148"/>
      <c r="M92" s="148"/>
      <c r="N92" s="148"/>
      <c r="O92" s="149"/>
    </row>
    <row r="93" spans="1:15" s="150" customFormat="1" x14ac:dyDescent="0.3">
      <c r="A93" s="152">
        <v>180</v>
      </c>
      <c r="B93" s="152" t="s">
        <v>38</v>
      </c>
      <c r="C93" s="152" t="s">
        <v>191</v>
      </c>
      <c r="D93" s="73">
        <f>(0.009*EXP(0.2*E93))</f>
        <v>2.0029868356432209E-2</v>
      </c>
      <c r="E93" s="152">
        <v>4</v>
      </c>
      <c r="F93" s="152"/>
      <c r="G93" s="152"/>
      <c r="H93" s="152"/>
      <c r="I93" s="152">
        <v>1</v>
      </c>
      <c r="J93" s="151">
        <f t="shared" si="3"/>
        <v>2.0029868356432209E-2</v>
      </c>
      <c r="K93" s="148"/>
      <c r="L93" s="148"/>
      <c r="M93" s="148"/>
      <c r="N93" s="148"/>
      <c r="O93" s="149"/>
    </row>
    <row r="94" spans="1:15" s="150" customFormat="1" x14ac:dyDescent="0.3">
      <c r="A94" s="152">
        <v>190</v>
      </c>
      <c r="B94" s="152" t="s">
        <v>189</v>
      </c>
      <c r="C94" s="72" t="s">
        <v>174</v>
      </c>
      <c r="D94" s="73">
        <f>0.8/105154*E94^2*G94*SQRT(G94)+(0.003*EXP(0.319*E94))</f>
        <v>8.9628250610286439E-2</v>
      </c>
      <c r="E94" s="152">
        <v>6</v>
      </c>
      <c r="F94" s="152" t="s">
        <v>30</v>
      </c>
      <c r="G94" s="152">
        <v>40</v>
      </c>
      <c r="H94" s="152" t="s">
        <v>30</v>
      </c>
      <c r="I94" s="152">
        <v>1</v>
      </c>
      <c r="J94" s="151">
        <f t="shared" si="3"/>
        <v>8.9628250610286439E-2</v>
      </c>
      <c r="K94" s="148"/>
      <c r="L94" s="148"/>
      <c r="M94" s="148"/>
      <c r="N94" s="148"/>
      <c r="O94" s="149"/>
    </row>
    <row r="95" spans="1:15" s="150" customFormat="1" x14ac:dyDescent="0.3">
      <c r="A95" s="152">
        <v>200</v>
      </c>
      <c r="B95" s="152" t="s">
        <v>37</v>
      </c>
      <c r="C95" s="72" t="s">
        <v>174</v>
      </c>
      <c r="D95" s="73">
        <v>0.01</v>
      </c>
      <c r="E95" s="152"/>
      <c r="F95" s="152"/>
      <c r="G95" s="152"/>
      <c r="H95" s="152"/>
      <c r="I95" s="152">
        <v>2</v>
      </c>
      <c r="J95" s="151">
        <f t="shared" si="3"/>
        <v>0.02</v>
      </c>
      <c r="K95" s="148"/>
      <c r="L95" s="148"/>
      <c r="M95" s="148"/>
      <c r="N95" s="148"/>
      <c r="O95" s="149"/>
    </row>
    <row r="96" spans="1:15" s="150" customFormat="1" x14ac:dyDescent="0.3">
      <c r="A96" s="152">
        <v>210</v>
      </c>
      <c r="B96" s="152" t="s">
        <v>38</v>
      </c>
      <c r="C96" s="72" t="s">
        <v>174</v>
      </c>
      <c r="D96" s="73">
        <f>(0.009*EXP(0.2*E96))</f>
        <v>2.9881052304628931E-2</v>
      </c>
      <c r="E96" s="152">
        <v>6</v>
      </c>
      <c r="F96" s="152" t="s">
        <v>30</v>
      </c>
      <c r="G96" s="152"/>
      <c r="H96" s="152"/>
      <c r="I96" s="152">
        <v>1</v>
      </c>
      <c r="J96" s="151">
        <f t="shared" si="3"/>
        <v>2.9881052304628931E-2</v>
      </c>
      <c r="K96" s="148"/>
      <c r="L96" s="148"/>
      <c r="M96" s="148"/>
      <c r="N96" s="148"/>
      <c r="O96" s="149"/>
    </row>
    <row r="97" spans="1:15" s="150" customFormat="1" x14ac:dyDescent="0.3">
      <c r="A97" s="152">
        <v>220</v>
      </c>
      <c r="B97" s="152" t="s">
        <v>37</v>
      </c>
      <c r="C97" s="72" t="s">
        <v>176</v>
      </c>
      <c r="D97" s="73">
        <v>0.01</v>
      </c>
      <c r="E97" s="152"/>
      <c r="F97" s="152"/>
      <c r="G97" s="152"/>
      <c r="H97" s="152"/>
      <c r="I97" s="152">
        <v>2</v>
      </c>
      <c r="J97" s="151">
        <f t="shared" si="3"/>
        <v>0.02</v>
      </c>
      <c r="K97" s="148"/>
      <c r="L97" s="148"/>
      <c r="M97" s="148"/>
      <c r="N97" s="148"/>
      <c r="O97" s="149"/>
    </row>
    <row r="98" spans="1:15" s="150" customFormat="1" x14ac:dyDescent="0.3">
      <c r="A98" s="152">
        <v>230</v>
      </c>
      <c r="B98" s="152" t="s">
        <v>38</v>
      </c>
      <c r="C98" s="72" t="s">
        <v>176</v>
      </c>
      <c r="D98" s="73">
        <f>(0.009*EXP(0.2*E98))</f>
        <v>4.4577291819556032E-2</v>
      </c>
      <c r="E98" s="152">
        <v>8</v>
      </c>
      <c r="F98" s="152" t="s">
        <v>30</v>
      </c>
      <c r="G98" s="152"/>
      <c r="H98" s="152"/>
      <c r="I98" s="152">
        <v>2</v>
      </c>
      <c r="J98" s="151">
        <f t="shared" si="3"/>
        <v>8.9154583639112064E-2</v>
      </c>
      <c r="K98" s="148"/>
      <c r="L98" s="148"/>
      <c r="M98" s="148"/>
      <c r="N98" s="148"/>
      <c r="O98" s="149"/>
    </row>
    <row r="99" spans="1:15" x14ac:dyDescent="0.3">
      <c r="A99" s="152">
        <v>240</v>
      </c>
      <c r="B99" s="159" t="s">
        <v>193</v>
      </c>
      <c r="C99" s="72" t="s">
        <v>180</v>
      </c>
      <c r="D99" s="73">
        <v>0</v>
      </c>
      <c r="E99" s="153"/>
      <c r="F99" s="155"/>
      <c r="G99" s="153"/>
      <c r="H99" s="153"/>
      <c r="I99" s="156"/>
      <c r="J99" s="151">
        <f t="shared" si="3"/>
        <v>0</v>
      </c>
      <c r="K99" s="55"/>
      <c r="L99" s="55"/>
      <c r="M99" s="55"/>
      <c r="N99" s="55"/>
      <c r="O99" s="61"/>
    </row>
    <row r="100" spans="1:15" x14ac:dyDescent="0.3">
      <c r="A100" s="152">
        <v>250</v>
      </c>
      <c r="B100" s="152" t="s">
        <v>37</v>
      </c>
      <c r="C100" s="72" t="s">
        <v>180</v>
      </c>
      <c r="D100" s="73">
        <v>0.01</v>
      </c>
      <c r="E100" s="154"/>
      <c r="F100" s="157"/>
      <c r="G100" s="154"/>
      <c r="H100" s="154"/>
      <c r="I100" s="158">
        <v>4</v>
      </c>
      <c r="J100" s="151">
        <f t="shared" si="3"/>
        <v>0.04</v>
      </c>
      <c r="K100" s="57"/>
      <c r="L100" s="57"/>
      <c r="M100" s="57"/>
      <c r="N100" s="57"/>
      <c r="O100" s="61"/>
    </row>
    <row r="101" spans="1:15" x14ac:dyDescent="0.3">
      <c r="A101" s="152">
        <v>260</v>
      </c>
      <c r="B101" s="152" t="s">
        <v>38</v>
      </c>
      <c r="C101" s="72" t="s">
        <v>180</v>
      </c>
      <c r="D101" s="73">
        <f>(0.009*EXP(0.2*E101))</f>
        <v>2.9881052304628931E-2</v>
      </c>
      <c r="E101" s="154">
        <v>6</v>
      </c>
      <c r="F101" s="157"/>
      <c r="G101" s="154"/>
      <c r="H101" s="154"/>
      <c r="I101" s="158">
        <v>4</v>
      </c>
      <c r="J101" s="151">
        <f t="shared" si="3"/>
        <v>0.11952420921851573</v>
      </c>
      <c r="K101" s="57"/>
      <c r="L101" s="57"/>
      <c r="M101" s="57"/>
      <c r="N101" s="57"/>
      <c r="O101" s="61"/>
    </row>
    <row r="102" spans="1:15" x14ac:dyDescent="0.3">
      <c r="A102" s="152">
        <v>270</v>
      </c>
      <c r="B102" s="159" t="s">
        <v>193</v>
      </c>
      <c r="C102" s="72" t="s">
        <v>195</v>
      </c>
      <c r="D102" s="73">
        <v>0</v>
      </c>
      <c r="E102" s="154"/>
      <c r="F102" s="157"/>
      <c r="G102" s="154"/>
      <c r="H102" s="154"/>
      <c r="I102" s="158"/>
      <c r="J102" s="151">
        <f t="shared" si="3"/>
        <v>0</v>
      </c>
      <c r="K102" s="57"/>
      <c r="L102" s="57"/>
      <c r="M102" s="57"/>
      <c r="N102" s="57"/>
      <c r="O102" s="61"/>
    </row>
    <row r="103" spans="1:15" x14ac:dyDescent="0.3">
      <c r="A103" s="152">
        <v>280</v>
      </c>
      <c r="B103" s="152" t="s">
        <v>37</v>
      </c>
      <c r="C103" s="72" t="s">
        <v>195</v>
      </c>
      <c r="D103" s="73">
        <v>0.01</v>
      </c>
      <c r="E103" s="154">
        <v>6</v>
      </c>
      <c r="F103" s="157"/>
      <c r="G103" s="154"/>
      <c r="H103" s="154"/>
      <c r="I103" s="158">
        <v>4</v>
      </c>
      <c r="J103" s="151">
        <f t="shared" si="3"/>
        <v>0.04</v>
      </c>
      <c r="K103" s="57"/>
      <c r="L103" s="57"/>
      <c r="M103" s="57"/>
      <c r="N103" s="57"/>
      <c r="O103" s="61"/>
    </row>
    <row r="104" spans="1:15" x14ac:dyDescent="0.3">
      <c r="A104" s="152">
        <v>290</v>
      </c>
      <c r="B104" s="152" t="s">
        <v>38</v>
      </c>
      <c r="C104" s="72" t="s">
        <v>195</v>
      </c>
      <c r="D104" s="73">
        <f>(0.009*EXP(0.2*E104))</f>
        <v>2.9881052304628931E-2</v>
      </c>
      <c r="E104" s="154">
        <v>6</v>
      </c>
      <c r="F104" s="157"/>
      <c r="G104" s="154"/>
      <c r="H104" s="154"/>
      <c r="I104" s="158">
        <v>4</v>
      </c>
      <c r="J104" s="151">
        <f t="shared" si="3"/>
        <v>0.11952420921851573</v>
      </c>
      <c r="K104" s="57"/>
      <c r="L104" s="57"/>
      <c r="M104" s="57"/>
      <c r="N104" s="57"/>
      <c r="O104" s="61"/>
    </row>
    <row r="105" spans="1:15" x14ac:dyDescent="0.3">
      <c r="A105" s="152">
        <v>300</v>
      </c>
      <c r="B105" s="152" t="s">
        <v>189</v>
      </c>
      <c r="C105" s="72" t="s">
        <v>185</v>
      </c>
      <c r="D105" s="73">
        <f>1.25/105154*E105^2*G105*SQRT(G105)+(0.005*EXP(0.319*E105))</f>
        <v>1.640255824451772E-2</v>
      </c>
      <c r="E105" s="154">
        <v>3</v>
      </c>
      <c r="F105" s="157"/>
      <c r="G105" s="154">
        <v>10</v>
      </c>
      <c r="H105" s="154"/>
      <c r="I105" s="158">
        <v>1</v>
      </c>
      <c r="J105" s="151">
        <f t="shared" si="3"/>
        <v>1.640255824451772E-2</v>
      </c>
      <c r="K105" s="57"/>
      <c r="L105" s="57"/>
      <c r="M105" s="57"/>
      <c r="N105" s="57"/>
      <c r="O105" s="61"/>
    </row>
    <row r="106" spans="1:15" x14ac:dyDescent="0.3">
      <c r="A106" s="67"/>
      <c r="B106" s="21"/>
      <c r="C106" s="21"/>
      <c r="D106" s="21"/>
      <c r="E106" s="21"/>
      <c r="F106" s="21"/>
      <c r="G106" s="21"/>
      <c r="H106" s="21"/>
      <c r="I106" s="93" t="s">
        <v>18</v>
      </c>
      <c r="J106" s="94">
        <f>SUM(J76:J105)</f>
        <v>3.8727105739649841</v>
      </c>
      <c r="K106" s="55"/>
      <c r="L106" s="55"/>
      <c r="M106" s="55"/>
      <c r="N106" s="55"/>
      <c r="O106" s="61"/>
    </row>
    <row r="107" spans="1:15" x14ac:dyDescent="0.3">
      <c r="A107" s="62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61"/>
    </row>
    <row r="108" spans="1:15" x14ac:dyDescent="0.3">
      <c r="A108" s="92" t="s">
        <v>14</v>
      </c>
      <c r="B108" s="92" t="s">
        <v>39</v>
      </c>
      <c r="C108" s="92" t="s">
        <v>20</v>
      </c>
      <c r="D108" s="92" t="s">
        <v>21</v>
      </c>
      <c r="E108" s="92" t="s">
        <v>32</v>
      </c>
      <c r="F108" s="92" t="s">
        <v>17</v>
      </c>
      <c r="G108" s="92" t="s">
        <v>40</v>
      </c>
      <c r="H108" s="92" t="s">
        <v>41</v>
      </c>
      <c r="I108" s="92" t="s">
        <v>18</v>
      </c>
      <c r="J108" s="21"/>
      <c r="K108" s="55"/>
      <c r="L108" s="55"/>
      <c r="M108" s="55"/>
      <c r="N108" s="55"/>
      <c r="O108" s="61"/>
    </row>
    <row r="109" spans="1:15" x14ac:dyDescent="0.3">
      <c r="A109" s="72">
        <v>10</v>
      </c>
      <c r="B109" s="72" t="s">
        <v>42</v>
      </c>
      <c r="C109" s="72" t="s">
        <v>200</v>
      </c>
      <c r="D109" s="73">
        <v>500</v>
      </c>
      <c r="E109" s="72" t="s">
        <v>43</v>
      </c>
      <c r="F109" s="72">
        <v>18</v>
      </c>
      <c r="G109" s="72">
        <v>3000</v>
      </c>
      <c r="H109" s="72">
        <v>1</v>
      </c>
      <c r="I109" s="73">
        <f>D109*F109/G109*H109</f>
        <v>3</v>
      </c>
      <c r="J109" s="21"/>
      <c r="K109" s="55"/>
      <c r="L109" s="55"/>
      <c r="M109" s="55"/>
      <c r="N109" s="55"/>
      <c r="O109" s="61"/>
    </row>
    <row r="110" spans="1:15" x14ac:dyDescent="0.3">
      <c r="A110" s="67"/>
      <c r="B110" s="21"/>
      <c r="C110" s="21"/>
      <c r="D110" s="21"/>
      <c r="E110" s="21"/>
      <c r="F110" s="21"/>
      <c r="G110" s="21"/>
      <c r="H110" s="96" t="s">
        <v>18</v>
      </c>
      <c r="I110" s="97">
        <f>SUM(I109:I109)</f>
        <v>3</v>
      </c>
      <c r="J110" s="21"/>
      <c r="K110" s="55"/>
      <c r="L110" s="55"/>
      <c r="M110" s="55"/>
      <c r="N110" s="55"/>
      <c r="O110" s="61"/>
    </row>
    <row r="111" spans="1:15" ht="15" thickBot="1" x14ac:dyDescent="0.35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1"/>
    </row>
    <row r="112" spans="1:15" x14ac:dyDescent="0.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</sheetData>
  <hyperlinks>
    <hyperlink ref="B10" location="FR_0300_000" display="Rail"/>
    <hyperlink ref="B11" location="FR_0300_001!A1" display="Brake pedal "/>
    <hyperlink ref="B13" location="FR_0300_003!A1" display="Foot top support "/>
    <hyperlink ref="B12" location="FR_0300_002!A1" display="Accelerator pedal"/>
    <hyperlink ref="B14" location="FR_0300_004!A1" display="Heel support"/>
    <hyperlink ref="B15" location="FR_0300_005!A1" display="Brake pedal support"/>
    <hyperlink ref="B16" location="FR_0300_006!A1" display="Brake over-travel switch support"/>
    <hyperlink ref="B17" location="FR_0300_007!A1" display="Accelerator pedal support"/>
    <hyperlink ref="B18" location="FR_0300_008!A1" display="Cable support"/>
    <hyperlink ref="B19" location="FR_0300_009!A1" display="internal spacer"/>
    <hyperlink ref="B20" location="FR_0300_010!A1" display="external spacer"/>
    <hyperlink ref="B21" location="FR_0300_011!A1" display="Rear rail mount"/>
    <hyperlink ref="B22" location="FR_0300_012!A1" display="Front rail mount"/>
    <hyperlink ref="B23" location="FR_0300_013!A1" display="Sheath for cable moun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17.77734375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FR_0300_013_m+FR_0300_013_p</f>
        <v>1.8554658250000002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151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1.8554658250000002</v>
      </c>
      <c r="O5" s="61"/>
    </row>
    <row r="6" spans="1:15" x14ac:dyDescent="0.3">
      <c r="A6" s="119" t="s">
        <v>7</v>
      </c>
      <c r="B6" s="25" t="s">
        <v>254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255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233</v>
      </c>
      <c r="C11" s="16"/>
      <c r="D11" s="29">
        <v>2.25</v>
      </c>
      <c r="E11" s="16"/>
      <c r="F11" s="16"/>
      <c r="G11" s="16"/>
      <c r="H11" s="15"/>
      <c r="I11" s="17"/>
      <c r="J11" s="180">
        <v>1.294E-3</v>
      </c>
      <c r="K11" s="18">
        <v>3.0000000000000001E-3</v>
      </c>
      <c r="L11" s="28">
        <v>7850</v>
      </c>
      <c r="M11" s="20">
        <v>1</v>
      </c>
      <c r="N11" s="29">
        <f>IF(J11="",D11*M11,D11*J11*K11*L11*M11)</f>
        <v>6.8565825000000011E-2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6.8565825000000011E-2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/>
      <c r="H15" s="30"/>
      <c r="I15" s="31">
        <f t="shared" ref="I15:I16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24" t="s">
        <v>46</v>
      </c>
      <c r="C16" s="14"/>
      <c r="D16" s="29">
        <v>0.01</v>
      </c>
      <c r="E16" s="14" t="s">
        <v>47</v>
      </c>
      <c r="F16" s="169">
        <v>16.23</v>
      </c>
      <c r="G16" s="24" t="s">
        <v>263</v>
      </c>
      <c r="H16" s="23">
        <v>3</v>
      </c>
      <c r="I16" s="29">
        <f t="shared" si="0"/>
        <v>0.4869</v>
      </c>
      <c r="J16" s="55"/>
      <c r="K16" s="55"/>
      <c r="L16" s="55"/>
      <c r="M16" s="55"/>
      <c r="N16" s="55"/>
      <c r="O16" s="61"/>
    </row>
    <row r="17" spans="1:15" x14ac:dyDescent="0.3">
      <c r="A17" s="67"/>
      <c r="B17" s="21"/>
      <c r="C17" s="21"/>
      <c r="D17" s="21"/>
      <c r="E17" s="21"/>
      <c r="F17" s="21"/>
      <c r="G17" s="21"/>
      <c r="H17" s="128" t="s">
        <v>18</v>
      </c>
      <c r="I17" s="126">
        <f>SUM(I15:I16)</f>
        <v>1.7869000000000002</v>
      </c>
      <c r="J17" s="21"/>
      <c r="K17" s="21"/>
      <c r="L17" s="21"/>
      <c r="M17" s="21"/>
      <c r="N17" s="21"/>
      <c r="O17" s="61"/>
    </row>
    <row r="18" spans="1:15" ht="15" thickBot="1" x14ac:dyDescent="0.35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1"/>
    </row>
  </sheetData>
  <hyperlinks>
    <hyperlink ref="B4" location="'FR A0300'!A1" display="'FR A0300'!A1"/>
    <hyperlink ref="E3" location="dFR_0300_013!A1" display="Drawing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254</v>
      </c>
    </row>
  </sheetData>
  <hyperlinks>
    <hyperlink ref="B1" location="FR_0300_013!A1" display="FR_0300_013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1"/>
  <sheetViews>
    <sheetView zoomScale="75" zoomScaleNormal="75" workbookViewId="0">
      <selection activeCell="C31" sqref="C30:C31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FR_0300_000_m+FR_0300_000_p</f>
        <v>3.10793344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2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141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6.2158668800000001</v>
      </c>
      <c r="O5" s="61"/>
    </row>
    <row r="6" spans="1:15" x14ac:dyDescent="0.3">
      <c r="A6" s="119" t="s">
        <v>7</v>
      </c>
      <c r="B6" s="25" t="s">
        <v>201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202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/>
      <c r="J11" s="181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0.8383334400000001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68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 t="s">
        <v>208</v>
      </c>
      <c r="D16" s="29">
        <v>0.04</v>
      </c>
      <c r="E16" s="14" t="s">
        <v>206</v>
      </c>
      <c r="F16" s="169">
        <v>3.45</v>
      </c>
      <c r="G16" s="24"/>
      <c r="H16" s="23"/>
      <c r="I16" s="29">
        <f t="shared" si="0"/>
        <v>0.13800000000000001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1">
        <v>30</v>
      </c>
      <c r="B17" s="146" t="s">
        <v>204</v>
      </c>
      <c r="C17" s="23"/>
      <c r="D17" s="29">
        <v>0.65</v>
      </c>
      <c r="E17" s="24" t="s">
        <v>35</v>
      </c>
      <c r="F17" s="170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6" t="s">
        <v>205</v>
      </c>
      <c r="C18" s="14" t="s">
        <v>207</v>
      </c>
      <c r="D18" s="29">
        <v>0.04</v>
      </c>
      <c r="E18" s="14" t="s">
        <v>206</v>
      </c>
      <c r="F18" s="169">
        <v>4.54</v>
      </c>
      <c r="G18" s="24"/>
      <c r="H18" s="23"/>
      <c r="I18" s="29">
        <f t="shared" si="0"/>
        <v>0.18160000000000001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2.2696000000000001</v>
      </c>
      <c r="J19" s="21"/>
      <c r="K19" s="21"/>
      <c r="L19" s="21"/>
      <c r="M19" s="21"/>
      <c r="N19" s="21"/>
      <c r="O19" s="61"/>
    </row>
    <row r="20" spans="1:15" x14ac:dyDescent="0.3">
      <c r="A20" s="62"/>
      <c r="B20" s="55"/>
      <c r="C20" s="55"/>
      <c r="D20" s="55"/>
      <c r="E20" s="55"/>
      <c r="F20" s="55"/>
      <c r="G20" s="55"/>
      <c r="H20" s="55"/>
      <c r="I20" s="56"/>
      <c r="J20" s="55"/>
      <c r="K20" s="55"/>
      <c r="L20" s="55"/>
      <c r="M20" s="55"/>
      <c r="N20" s="55"/>
      <c r="O20" s="61"/>
    </row>
    <row r="21" spans="1:15" ht="15" thickBot="1" x14ac:dyDescent="0.35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B4" location="'FR A0300'!A1" display="'FR A0300'!A1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50" t="s">
        <v>93</v>
      </c>
      <c r="B1" s="178" t="s">
        <v>201</v>
      </c>
    </row>
  </sheetData>
  <hyperlinks>
    <hyperlink ref="B1" location="FR_0300_000!A1" display="FR_03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zoomScale="85" zoomScaleNormal="85" workbookViewId="0">
      <selection activeCell="I22" sqref="I22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FR_0300_001_m+FR_0300_001_p</f>
        <v>5.6870399999999997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209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5.6870399999999997</v>
      </c>
      <c r="O5" s="61"/>
    </row>
    <row r="6" spans="1:15" x14ac:dyDescent="0.3">
      <c r="A6" s="119" t="s">
        <v>7</v>
      </c>
      <c r="B6" s="25" t="s">
        <v>215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74">
        <v>1</v>
      </c>
      <c r="G15" s="30"/>
      <c r="H15" s="30"/>
      <c r="I15" s="29">
        <f t="shared" ref="I15:I20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 t="s">
        <v>213</v>
      </c>
      <c r="D16" s="29">
        <v>0.04</v>
      </c>
      <c r="E16" s="14" t="s">
        <v>206</v>
      </c>
      <c r="F16" s="175">
        <v>18.3</v>
      </c>
      <c r="G16" s="24"/>
      <c r="H16" s="23"/>
      <c r="I16" s="29">
        <f t="shared" si="0"/>
        <v>0.7320000000000001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6" t="s">
        <v>204</v>
      </c>
      <c r="C17" s="23"/>
      <c r="D17" s="29">
        <v>0.65</v>
      </c>
      <c r="E17" s="24" t="s">
        <v>35</v>
      </c>
      <c r="F17" s="176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6" t="s">
        <v>205</v>
      </c>
      <c r="C18" s="14" t="s">
        <v>211</v>
      </c>
      <c r="D18" s="29">
        <v>0.04</v>
      </c>
      <c r="E18" s="14" t="s">
        <v>206</v>
      </c>
      <c r="F18" s="175">
        <v>14.2</v>
      </c>
      <c r="G18" s="24"/>
      <c r="H18" s="23"/>
      <c r="I18" s="29">
        <f t="shared" si="0"/>
        <v>0.56799999999999995</v>
      </c>
      <c r="J18" s="55"/>
      <c r="K18" s="55"/>
      <c r="L18" s="55"/>
      <c r="M18" s="55"/>
      <c r="N18" s="55"/>
      <c r="O18" s="61"/>
    </row>
    <row r="19" spans="1:15" x14ac:dyDescent="0.3">
      <c r="A19" s="80">
        <v>50</v>
      </c>
      <c r="B19" s="146" t="s">
        <v>204</v>
      </c>
      <c r="C19" s="171"/>
      <c r="D19" s="29">
        <v>0.65</v>
      </c>
      <c r="E19" s="24" t="s">
        <v>35</v>
      </c>
      <c r="F19" s="177">
        <v>1</v>
      </c>
      <c r="G19" s="172"/>
      <c r="H19" s="173"/>
      <c r="I19" s="29">
        <f t="shared" si="0"/>
        <v>0.65</v>
      </c>
      <c r="J19" s="55"/>
      <c r="K19" s="55"/>
      <c r="L19" s="55"/>
      <c r="M19" s="55"/>
      <c r="N19" s="55"/>
      <c r="O19" s="61"/>
    </row>
    <row r="20" spans="1:15" x14ac:dyDescent="0.3">
      <c r="A20" s="63">
        <v>60</v>
      </c>
      <c r="B20" s="146" t="s">
        <v>205</v>
      </c>
      <c r="C20" s="14" t="s">
        <v>212</v>
      </c>
      <c r="D20" s="29">
        <v>0.04</v>
      </c>
      <c r="E20" s="14" t="s">
        <v>206</v>
      </c>
      <c r="F20" s="175">
        <v>16.2</v>
      </c>
      <c r="G20" s="24"/>
      <c r="H20" s="23"/>
      <c r="I20" s="29">
        <f t="shared" si="0"/>
        <v>0.64800000000000002</v>
      </c>
      <c r="J20" s="55"/>
      <c r="K20" s="55"/>
      <c r="L20" s="55"/>
      <c r="M20" s="55"/>
      <c r="N20" s="55"/>
      <c r="O20" s="61"/>
    </row>
    <row r="21" spans="1:15" x14ac:dyDescent="0.3">
      <c r="A21" s="67"/>
      <c r="B21" s="21"/>
      <c r="C21" s="21"/>
      <c r="D21" s="21"/>
      <c r="E21" s="21"/>
      <c r="F21" s="21"/>
      <c r="G21" s="21"/>
      <c r="H21" s="128" t="s">
        <v>18</v>
      </c>
      <c r="I21" s="126">
        <f>SUM(I15:I20)</f>
        <v>4.548</v>
      </c>
      <c r="J21" s="21"/>
      <c r="K21" s="21"/>
      <c r="L21" s="21"/>
      <c r="M21" s="21"/>
      <c r="N21" s="21"/>
      <c r="O21" s="61"/>
    </row>
    <row r="22" spans="1:15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FR A0300'!A1" display="'FR A0300'!A1"/>
    <hyperlink ref="E3" location="dFR_0300_001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50" t="s">
        <v>214</v>
      </c>
      <c r="B1" s="178" t="s">
        <v>215</v>
      </c>
    </row>
  </sheetData>
  <hyperlinks>
    <hyperlink ref="B1" location="FR_0300_001!A1" display="FR_A03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I19" sqref="I19"/>
    </sheetView>
  </sheetViews>
  <sheetFormatPr baseColWidth="10" defaultColWidth="9.109375" defaultRowHeight="14.4" x14ac:dyDescent="0.3"/>
  <cols>
    <col min="2" max="2" width="33.44140625" bestFit="1" customWidth="1"/>
    <col min="15" max="15" width="3.109375" customWidth="1"/>
  </cols>
  <sheetData>
    <row r="1" spans="1:15" x14ac:dyDescent="0.3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</row>
    <row r="2" spans="1:15" x14ac:dyDescent="0.3">
      <c r="A2" s="119" t="s">
        <v>0</v>
      </c>
      <c r="B2" s="11" t="s">
        <v>44</v>
      </c>
      <c r="C2" s="55"/>
      <c r="D2" s="55"/>
      <c r="E2" s="55"/>
      <c r="F2" s="55"/>
      <c r="G2" s="55" t="s">
        <v>134</v>
      </c>
      <c r="H2" s="55"/>
      <c r="I2" s="55"/>
      <c r="J2" s="120" t="s">
        <v>1</v>
      </c>
      <c r="K2" s="77">
        <v>81</v>
      </c>
      <c r="L2" s="55"/>
      <c r="M2" s="119" t="s">
        <v>16</v>
      </c>
      <c r="N2" s="73">
        <f>FR_0300_002_m+FR_0300_002_p</f>
        <v>4.8410399999999996</v>
      </c>
      <c r="O2" s="61"/>
    </row>
    <row r="3" spans="1:15" x14ac:dyDescent="0.3">
      <c r="A3" s="119" t="s">
        <v>3</v>
      </c>
      <c r="B3" s="11" t="str">
        <f>'FR A0300'!B3</f>
        <v>Frame and Body</v>
      </c>
      <c r="C3" s="55"/>
      <c r="D3" s="119" t="s">
        <v>6</v>
      </c>
      <c r="E3" s="84" t="s">
        <v>94</v>
      </c>
      <c r="F3" s="55"/>
      <c r="G3" s="55"/>
      <c r="H3" s="55"/>
      <c r="I3" s="55"/>
      <c r="J3" s="55"/>
      <c r="K3" s="55"/>
      <c r="L3" s="55"/>
      <c r="M3" s="119" t="s">
        <v>4</v>
      </c>
      <c r="N3" s="76">
        <v>1</v>
      </c>
      <c r="O3" s="61"/>
    </row>
    <row r="4" spans="1:15" x14ac:dyDescent="0.3">
      <c r="A4" s="119" t="s">
        <v>5</v>
      </c>
      <c r="B4" s="83" t="str">
        <f>'FR A0300'!B4</f>
        <v>Pedal box</v>
      </c>
      <c r="C4" s="55"/>
      <c r="D4" s="119" t="s">
        <v>8</v>
      </c>
      <c r="E4" s="55"/>
      <c r="F4" s="55"/>
      <c r="G4" s="55"/>
      <c r="H4" s="55"/>
      <c r="I4" s="55"/>
      <c r="J4" s="121" t="s">
        <v>6</v>
      </c>
      <c r="K4" s="55"/>
      <c r="L4" s="55"/>
      <c r="M4" s="55"/>
      <c r="N4" s="55"/>
      <c r="O4" s="61"/>
    </row>
    <row r="5" spans="1:15" x14ac:dyDescent="0.3">
      <c r="A5" s="119" t="s">
        <v>15</v>
      </c>
      <c r="B5" s="13" t="s">
        <v>216</v>
      </c>
      <c r="C5" s="55"/>
      <c r="D5" s="119" t="s">
        <v>12</v>
      </c>
      <c r="E5" s="55"/>
      <c r="F5" s="55"/>
      <c r="G5" s="55"/>
      <c r="H5" s="55"/>
      <c r="I5" s="55"/>
      <c r="J5" s="121" t="s">
        <v>8</v>
      </c>
      <c r="K5" s="55"/>
      <c r="L5" s="55"/>
      <c r="M5" s="119" t="s">
        <v>9</v>
      </c>
      <c r="N5" s="73">
        <f>N3*N2</f>
        <v>4.8410399999999996</v>
      </c>
      <c r="O5" s="61"/>
    </row>
    <row r="6" spans="1:15" x14ac:dyDescent="0.3">
      <c r="A6" s="119" t="s">
        <v>7</v>
      </c>
      <c r="B6" s="25" t="s">
        <v>218</v>
      </c>
      <c r="C6" s="55"/>
      <c r="D6" s="55"/>
      <c r="E6" s="55"/>
      <c r="F6" s="55"/>
      <c r="G6" s="55"/>
      <c r="H6" s="55"/>
      <c r="I6" s="55"/>
      <c r="J6" s="121" t="s">
        <v>12</v>
      </c>
      <c r="K6" s="55"/>
      <c r="L6" s="55"/>
      <c r="M6" s="55"/>
      <c r="N6" s="55"/>
      <c r="O6" s="61"/>
    </row>
    <row r="7" spans="1:15" x14ac:dyDescent="0.3">
      <c r="A7" s="119" t="s">
        <v>10</v>
      </c>
      <c r="B7" s="11" t="s">
        <v>11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61"/>
    </row>
    <row r="8" spans="1:15" x14ac:dyDescent="0.3">
      <c r="A8" s="119" t="s">
        <v>13</v>
      </c>
      <c r="B8" s="11" t="s">
        <v>217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61"/>
    </row>
    <row r="9" spans="1:15" x14ac:dyDescent="0.3">
      <c r="A9" s="78"/>
      <c r="B9" s="26"/>
      <c r="C9" s="26"/>
      <c r="D9" s="26"/>
      <c r="E9" s="26"/>
      <c r="F9" s="55"/>
      <c r="G9" s="55"/>
      <c r="H9" s="55"/>
      <c r="I9" s="55"/>
      <c r="J9" s="55"/>
      <c r="K9" s="55"/>
      <c r="L9" s="55"/>
      <c r="M9" s="55"/>
      <c r="N9" s="55"/>
      <c r="O9" s="61"/>
    </row>
    <row r="10" spans="1:15" x14ac:dyDescent="0.3">
      <c r="A10" s="122" t="s">
        <v>14</v>
      </c>
      <c r="B10" s="123" t="s">
        <v>19</v>
      </c>
      <c r="C10" s="123" t="s">
        <v>20</v>
      </c>
      <c r="D10" s="123" t="s">
        <v>21</v>
      </c>
      <c r="E10" s="123" t="s">
        <v>22</v>
      </c>
      <c r="F10" s="124" t="s">
        <v>23</v>
      </c>
      <c r="G10" s="124" t="s">
        <v>24</v>
      </c>
      <c r="H10" s="124" t="s">
        <v>25</v>
      </c>
      <c r="I10" s="124" t="s">
        <v>26</v>
      </c>
      <c r="J10" s="124" t="s">
        <v>27</v>
      </c>
      <c r="K10" s="124" t="s">
        <v>28</v>
      </c>
      <c r="L10" s="124" t="s">
        <v>29</v>
      </c>
      <c r="M10" s="124" t="s">
        <v>17</v>
      </c>
      <c r="N10" s="124" t="s">
        <v>18</v>
      </c>
      <c r="O10" s="61"/>
    </row>
    <row r="11" spans="1:15" s="19" customFormat="1" x14ac:dyDescent="0.3">
      <c r="A11" s="79">
        <v>10</v>
      </c>
      <c r="B11" s="27" t="s">
        <v>203</v>
      </c>
      <c r="C11" s="16"/>
      <c r="D11" s="29">
        <v>4.2</v>
      </c>
      <c r="E11" s="16"/>
      <c r="F11" s="16"/>
      <c r="G11" s="16"/>
      <c r="H11" s="15"/>
      <c r="I11" s="17"/>
      <c r="J11" s="91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6"/>
    </row>
    <row r="12" spans="1:15" x14ac:dyDescent="0.3">
      <c r="A12" s="6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5" t="s">
        <v>18</v>
      </c>
      <c r="N12" s="126">
        <f>SUM(N11:N11)</f>
        <v>1.1390400000000001</v>
      </c>
      <c r="O12" s="61"/>
    </row>
    <row r="13" spans="1:15" x14ac:dyDescent="0.3">
      <c r="A13" s="62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61"/>
    </row>
    <row r="14" spans="1:15" x14ac:dyDescent="0.3">
      <c r="A14" s="127" t="s">
        <v>14</v>
      </c>
      <c r="B14" s="124" t="s">
        <v>31</v>
      </c>
      <c r="C14" s="124" t="s">
        <v>20</v>
      </c>
      <c r="D14" s="124" t="s">
        <v>21</v>
      </c>
      <c r="E14" s="124" t="s">
        <v>32</v>
      </c>
      <c r="F14" s="124" t="s">
        <v>17</v>
      </c>
      <c r="G14" s="124" t="s">
        <v>33</v>
      </c>
      <c r="H14" s="124" t="s">
        <v>34</v>
      </c>
      <c r="I14" s="124" t="s">
        <v>18</v>
      </c>
      <c r="J14" s="21"/>
      <c r="K14" s="21"/>
      <c r="L14" s="21"/>
      <c r="M14" s="21"/>
      <c r="N14" s="21"/>
      <c r="O14" s="61"/>
    </row>
    <row r="15" spans="1:15" s="22" customFormat="1" x14ac:dyDescent="0.3">
      <c r="A15" s="80">
        <v>10</v>
      </c>
      <c r="B15" s="146" t="s">
        <v>45</v>
      </c>
      <c r="C15" s="30"/>
      <c r="D15" s="31">
        <v>1.3</v>
      </c>
      <c r="E15" s="24" t="s">
        <v>35</v>
      </c>
      <c r="F15" s="174">
        <v>1</v>
      </c>
      <c r="G15" s="30"/>
      <c r="H15" s="30"/>
      <c r="I15" s="31">
        <f t="shared" ref="I15:I18" si="0">IF(H15="",D15*F15,D15*F15*H15)</f>
        <v>1.3</v>
      </c>
      <c r="J15" s="57"/>
      <c r="K15" s="57"/>
      <c r="L15" s="57"/>
      <c r="M15" s="57"/>
      <c r="N15" s="57"/>
      <c r="O15" s="68"/>
    </row>
    <row r="16" spans="1:15" x14ac:dyDescent="0.3">
      <c r="A16" s="63">
        <v>20</v>
      </c>
      <c r="B16" s="146" t="s">
        <v>205</v>
      </c>
      <c r="C16" s="14" t="s">
        <v>213</v>
      </c>
      <c r="D16" s="29">
        <v>0.04</v>
      </c>
      <c r="E16" s="14" t="s">
        <v>206</v>
      </c>
      <c r="F16" s="175">
        <v>43.6</v>
      </c>
      <c r="G16" s="24"/>
      <c r="H16" s="23"/>
      <c r="I16" s="29">
        <f t="shared" si="0"/>
        <v>1.744</v>
      </c>
      <c r="J16" s="55"/>
      <c r="K16" s="55"/>
      <c r="L16" s="55"/>
      <c r="M16" s="55"/>
      <c r="N16" s="55"/>
      <c r="O16" s="61"/>
    </row>
    <row r="17" spans="1:15" s="12" customFormat="1" x14ac:dyDescent="0.3">
      <c r="A17" s="80">
        <v>30</v>
      </c>
      <c r="B17" s="146" t="s">
        <v>204</v>
      </c>
      <c r="C17" s="23"/>
      <c r="D17" s="29">
        <v>0.65</v>
      </c>
      <c r="E17" s="24" t="s">
        <v>35</v>
      </c>
      <c r="F17" s="176">
        <v>1</v>
      </c>
      <c r="G17" s="23"/>
      <c r="H17" s="23"/>
      <c r="I17" s="29">
        <f t="shared" si="0"/>
        <v>0.65</v>
      </c>
      <c r="J17" s="56"/>
      <c r="K17" s="56"/>
      <c r="L17" s="56"/>
      <c r="M17" s="56"/>
      <c r="N17" s="56"/>
      <c r="O17" s="65"/>
    </row>
    <row r="18" spans="1:15" x14ac:dyDescent="0.3">
      <c r="A18" s="63">
        <v>40</v>
      </c>
      <c r="B18" s="146" t="s">
        <v>205</v>
      </c>
      <c r="C18" s="14" t="s">
        <v>219</v>
      </c>
      <c r="D18" s="29">
        <v>0.04</v>
      </c>
      <c r="E18" s="14" t="s">
        <v>206</v>
      </c>
      <c r="F18" s="175">
        <v>0.2</v>
      </c>
      <c r="G18" s="24"/>
      <c r="H18" s="23"/>
      <c r="I18" s="29">
        <f t="shared" si="0"/>
        <v>8.0000000000000002E-3</v>
      </c>
      <c r="J18" s="55"/>
      <c r="K18" s="55"/>
      <c r="L18" s="55"/>
      <c r="M18" s="55"/>
      <c r="N18" s="55"/>
      <c r="O18" s="61"/>
    </row>
    <row r="19" spans="1:15" x14ac:dyDescent="0.3">
      <c r="A19" s="67"/>
      <c r="B19" s="21"/>
      <c r="C19" s="21"/>
      <c r="D19" s="21"/>
      <c r="E19" s="21"/>
      <c r="F19" s="21"/>
      <c r="G19" s="21"/>
      <c r="H19" s="128" t="s">
        <v>18</v>
      </c>
      <c r="I19" s="126">
        <f>SUM(I15:I18)</f>
        <v>3.702</v>
      </c>
      <c r="J19" s="21"/>
      <c r="K19" s="21"/>
      <c r="L19" s="21"/>
      <c r="M19" s="21"/>
      <c r="N19" s="21"/>
      <c r="O19" s="61"/>
    </row>
    <row r="20" spans="1:15" ht="15" thickBot="1" x14ac:dyDescent="0.35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</sheetData>
  <hyperlinks>
    <hyperlink ref="B4" location="'FR A0300'!A1" display="'FR A0300'!A1"/>
    <hyperlink ref="E3" location="dFR_0300_002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84" t="s">
        <v>218</v>
      </c>
    </row>
  </sheetData>
  <hyperlinks>
    <hyperlink ref="B1" location="FR_0300_002!A1" display="FR_03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74</vt:i4>
      </vt:variant>
    </vt:vector>
  </HeadingPairs>
  <TitlesOfParts>
    <vt:vector size="105" baseType="lpstr">
      <vt:lpstr>Instructions</vt:lpstr>
      <vt:lpstr>BOM</vt:lpstr>
      <vt:lpstr>FR A0300</vt:lpstr>
      <vt:lpstr>FR_0300_000</vt:lpstr>
      <vt:lpstr>dFR_0300_000</vt:lpstr>
      <vt:lpstr>FR_0300_001</vt:lpstr>
      <vt:lpstr>dFR_0300_001</vt:lpstr>
      <vt:lpstr>FR_0300_002</vt:lpstr>
      <vt:lpstr>dFR_0300_002</vt:lpstr>
      <vt:lpstr>FR_0300_003</vt:lpstr>
      <vt:lpstr>dFR_0300_003</vt:lpstr>
      <vt:lpstr>FR_0300_004</vt:lpstr>
      <vt:lpstr>dFR_0300_004</vt:lpstr>
      <vt:lpstr>FR_0300_005</vt:lpstr>
      <vt:lpstr>dFR_0300_005</vt:lpstr>
      <vt:lpstr>FR_0300_006</vt:lpstr>
      <vt:lpstr>dFR_0300_006</vt:lpstr>
      <vt:lpstr>FR_0300_007</vt:lpstr>
      <vt:lpstr>dFR_0300_007</vt:lpstr>
      <vt:lpstr>FR_0300_008</vt:lpstr>
      <vt:lpstr>dFR_0300_008</vt:lpstr>
      <vt:lpstr>FR_0300_009</vt:lpstr>
      <vt:lpstr>dFR_0300_009</vt:lpstr>
      <vt:lpstr>FR_0300_010</vt:lpstr>
      <vt:lpstr>dFR_0300_010</vt:lpstr>
      <vt:lpstr>FR_0300_011</vt:lpstr>
      <vt:lpstr>dFR_0300_011</vt:lpstr>
      <vt:lpstr>FR_0300_012</vt:lpstr>
      <vt:lpstr>dFR_0300_012</vt:lpstr>
      <vt:lpstr>FR_0300_013</vt:lpstr>
      <vt:lpstr>dFR_0300_013</vt:lpstr>
      <vt:lpstr>BOM!Car</vt:lpstr>
      <vt:lpstr>BOM!CompCode</vt:lpstr>
      <vt:lpstr>dBR_01001</vt:lpstr>
      <vt:lpstr>dEL_01001</vt:lpstr>
      <vt:lpstr>FR_0300_000</vt:lpstr>
      <vt:lpstr>FR_0300_000_m</vt:lpstr>
      <vt:lpstr>FR_0300_000_p</vt:lpstr>
      <vt:lpstr>FR_0300_000_q</vt:lpstr>
      <vt:lpstr>FR_0300_001</vt:lpstr>
      <vt:lpstr>FR_0300_001_m</vt:lpstr>
      <vt:lpstr>FR_0300_001_p</vt:lpstr>
      <vt:lpstr>FR_0300_001_q</vt:lpstr>
      <vt:lpstr>FR_0300_002</vt:lpstr>
      <vt:lpstr>FR_0300_002_m</vt:lpstr>
      <vt:lpstr>FR_0300_002_p</vt:lpstr>
      <vt:lpstr>FR_0300_002_q</vt:lpstr>
      <vt:lpstr>FR_0300_003</vt:lpstr>
      <vt:lpstr>FR_0300_003_m</vt:lpstr>
      <vt:lpstr>FR_0300_003_p</vt:lpstr>
      <vt:lpstr>FR_0300_003_q</vt:lpstr>
      <vt:lpstr>FR_0300_004</vt:lpstr>
      <vt:lpstr>FR_0300_004_m</vt:lpstr>
      <vt:lpstr>FR_0300_004_p</vt:lpstr>
      <vt:lpstr>FR_0300_004_q</vt:lpstr>
      <vt:lpstr>FR_0300_005</vt:lpstr>
      <vt:lpstr>FR_0300_005_m</vt:lpstr>
      <vt:lpstr>FR_0300_005_p</vt:lpstr>
      <vt:lpstr>FR_0300_005_q</vt:lpstr>
      <vt:lpstr>FR_0300_006</vt:lpstr>
      <vt:lpstr>FR_0300_006_m</vt:lpstr>
      <vt:lpstr>FR_0300_006_p</vt:lpstr>
      <vt:lpstr>FR_0300_006_q</vt:lpstr>
      <vt:lpstr>FR_0300_007</vt:lpstr>
      <vt:lpstr>FR_0300_007_m</vt:lpstr>
      <vt:lpstr>FR_0300_007_p</vt:lpstr>
      <vt:lpstr>FR_0300_007_q</vt:lpstr>
      <vt:lpstr>FR_0300_008</vt:lpstr>
      <vt:lpstr>FR_0300_008_m</vt:lpstr>
      <vt:lpstr>FR_0300_008_p</vt:lpstr>
      <vt:lpstr>FR_0300_008_q</vt:lpstr>
      <vt:lpstr>FR_0300_009</vt:lpstr>
      <vt:lpstr>FR_0300_009_m</vt:lpstr>
      <vt:lpstr>FR_0300_009_p</vt:lpstr>
      <vt:lpstr>FR_0300_009_q</vt:lpstr>
      <vt:lpstr>FR_0300_010</vt:lpstr>
      <vt:lpstr>FR_0300_010_m</vt:lpstr>
      <vt:lpstr>FR_0300_010_p</vt:lpstr>
      <vt:lpstr>FR_0300_010_q</vt:lpstr>
      <vt:lpstr>FR_0300_011</vt:lpstr>
      <vt:lpstr>FR_0300_011_m</vt:lpstr>
      <vt:lpstr>FR_0300_011_p</vt:lpstr>
      <vt:lpstr>FR_0300_011_q</vt:lpstr>
      <vt:lpstr>FR_0300_012</vt:lpstr>
      <vt:lpstr>FR_0300_012_m</vt:lpstr>
      <vt:lpstr>FR_0300_012_p</vt:lpstr>
      <vt:lpstr>FR_0300_012_q</vt:lpstr>
      <vt:lpstr>FR_0300_013</vt:lpstr>
      <vt:lpstr>FR_0300_013_m</vt:lpstr>
      <vt:lpstr>FR_0300_013_p</vt:lpstr>
      <vt:lpstr>FR_0300_013_q</vt:lpstr>
      <vt:lpstr>FR_A0300</vt:lpstr>
      <vt:lpstr>FR_A0300_001</vt:lpstr>
      <vt:lpstr>FR_A0300_001_m</vt:lpstr>
      <vt:lpstr>FR_A0300_001_p</vt:lpstr>
      <vt:lpstr>FR_A0300_001_q</vt:lpstr>
      <vt:lpstr>FR_A0300_f</vt:lpstr>
      <vt:lpstr>FR_A0300_m</vt:lpstr>
      <vt:lpstr>FR_A0300_p</vt:lpstr>
      <vt:lpstr>FR_A0300_pa</vt:lpstr>
      <vt:lpstr>FR_A0300_q</vt:lpstr>
      <vt:lpstr>FR_A0300_t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2018-03-27T21:22:55Z</dcterms:modified>
  <dc:language>fr-FR</dc:language>
</cp:coreProperties>
</file>