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99EFA2BF-0518-4F50-88C9-A1F8D957BBF4}" xr6:coauthVersionLast="28" xr6:coauthVersionMax="28" xr10:uidLastSave="{00000000-0000-0000-0000-000000000000}"/>
  <bookViews>
    <workbookView xWindow="4740" yWindow="60" windowWidth="16380" windowHeight="8190" firstSheet="14" activeTab="19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</sheets>
  <externalReferences>
    <externalReference r:id="rId21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<sst xmlns="http://schemas.openxmlformats.org/spreadsheetml/2006/main" count="904" uniqueCount="249">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</sst>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4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</cellXfs>
  <cellStyles count="15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F21" sqref="F21"/>
    </sheetView>
  </sheetViews>
  <sheetFormatPr baseColWidth="10" defaultRowHeight="15" x14ac:dyDescent="0.25"/>
  <sheetData>
    <row r="1" spans="1:2" x14ac:dyDescent="0.25">
      <c r="A1" s="69" t="s">
        <v>121</v>
      </c>
    </row>
    <row r="3" spans="1:2" x14ac:dyDescent="0.25">
      <c r="A3" s="68" t="s">
        <v>66</v>
      </c>
      <c r="B3" s="66" t="s">
        <v>67</v>
      </c>
    </row>
    <row r="5" spans="1:2" x14ac:dyDescent="0.25">
      <c r="A5" t="s">
        <v>122</v>
      </c>
    </row>
    <row r="6" spans="1:2" x14ac:dyDescent="0.25">
      <c r="A6" t="s">
        <v>99</v>
      </c>
    </row>
    <row r="7" spans="1:2" x14ac:dyDescent="0.25">
      <c r="A7" t="s">
        <v>105</v>
      </c>
    </row>
    <row r="8" spans="1:2" x14ac:dyDescent="0.25">
      <c r="A8" t="s">
        <v>103</v>
      </c>
    </row>
    <row r="9" spans="1:2" x14ac:dyDescent="0.25">
      <c r="A9" t="s">
        <v>68</v>
      </c>
    </row>
    <row r="10" spans="1:2" x14ac:dyDescent="0.25">
      <c r="A10" s="66" t="s">
        <v>96</v>
      </c>
    </row>
    <row r="11" spans="1:2" x14ac:dyDescent="0.25">
      <c r="A11" t="s">
        <v>133</v>
      </c>
    </row>
    <row r="12" spans="1:2" x14ac:dyDescent="0.25">
      <c r="A12" t="s">
        <v>69</v>
      </c>
    </row>
    <row r="14" spans="1:2" x14ac:dyDescent="0.25">
      <c r="A14" t="s">
        <v>98</v>
      </c>
    </row>
    <row r="15" spans="1:2" x14ac:dyDescent="0.25">
      <c r="A15" t="s">
        <v>123</v>
      </c>
    </row>
    <row r="16" spans="1:2" x14ac:dyDescent="0.25">
      <c r="A16" t="s">
        <v>109</v>
      </c>
    </row>
    <row r="18" spans="1:3" x14ac:dyDescent="0.25">
      <c r="A18" s="68" t="s">
        <v>70</v>
      </c>
      <c r="B18" s="66" t="s">
        <v>101</v>
      </c>
      <c r="C18" s="66"/>
    </row>
    <row r="20" spans="1:3" x14ac:dyDescent="0.25">
      <c r="A20" t="s">
        <v>108</v>
      </c>
    </row>
    <row r="21" spans="1:3" x14ac:dyDescent="0.25">
      <c r="A21" t="s">
        <v>134</v>
      </c>
    </row>
    <row r="23" spans="1:3" x14ac:dyDescent="0.25">
      <c r="A23" s="68" t="s">
        <v>72</v>
      </c>
      <c r="B23" s="66" t="s">
        <v>73</v>
      </c>
    </row>
    <row r="25" spans="1:3" x14ac:dyDescent="0.25">
      <c r="A25" t="s">
        <v>124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106</v>
      </c>
    </row>
    <row r="29" spans="1:3" x14ac:dyDescent="0.25">
      <c r="A29" t="s">
        <v>104</v>
      </c>
    </row>
    <row r="30" spans="1:3" x14ac:dyDescent="0.25">
      <c r="A30" t="s">
        <v>75</v>
      </c>
    </row>
    <row r="31" spans="1:3" x14ac:dyDescent="0.25">
      <c r="A31" s="66" t="s">
        <v>96</v>
      </c>
    </row>
    <row r="32" spans="1:3" x14ac:dyDescent="0.25">
      <c r="A32" t="s">
        <v>125</v>
      </c>
    </row>
    <row r="33" spans="1:2" x14ac:dyDescent="0.25">
      <c r="A33" t="s">
        <v>126</v>
      </c>
    </row>
    <row r="35" spans="1:2" x14ac:dyDescent="0.25">
      <c r="A35" t="s">
        <v>107</v>
      </c>
    </row>
    <row r="36" spans="1:2" x14ac:dyDescent="0.25">
      <c r="A36" t="s">
        <v>127</v>
      </c>
    </row>
    <row r="37" spans="1:2" x14ac:dyDescent="0.25">
      <c r="A37" t="s">
        <v>110</v>
      </c>
    </row>
    <row r="39" spans="1:2" x14ac:dyDescent="0.25">
      <c r="A39" s="68" t="s">
        <v>76</v>
      </c>
      <c r="B39" s="66" t="s">
        <v>71</v>
      </c>
    </row>
    <row r="41" spans="1:2" x14ac:dyDescent="0.25">
      <c r="A41" t="s">
        <v>115</v>
      </c>
    </row>
    <row r="42" spans="1:2" x14ac:dyDescent="0.25">
      <c r="A42" t="s">
        <v>116</v>
      </c>
    </row>
    <row r="43" spans="1:2" x14ac:dyDescent="0.25">
      <c r="A43" t="s">
        <v>100</v>
      </c>
    </row>
    <row r="45" spans="1:2" x14ac:dyDescent="0.25">
      <c r="A45" s="68" t="s">
        <v>77</v>
      </c>
      <c r="B45" s="66" t="s">
        <v>93</v>
      </c>
    </row>
    <row r="47" spans="1:2" x14ac:dyDescent="0.25">
      <c r="A47" t="s">
        <v>128</v>
      </c>
    </row>
    <row r="48" spans="1:2" x14ac:dyDescent="0.25">
      <c r="A48" t="s">
        <v>94</v>
      </c>
    </row>
    <row r="49" spans="1:2" x14ac:dyDescent="0.25">
      <c r="A49" t="s">
        <v>95</v>
      </c>
    </row>
    <row r="50" spans="1:2" x14ac:dyDescent="0.25">
      <c r="A50" t="s">
        <v>129</v>
      </c>
    </row>
    <row r="51" spans="1:2" x14ac:dyDescent="0.25">
      <c r="A51" t="s">
        <v>117</v>
      </c>
    </row>
    <row r="52" spans="1:2" x14ac:dyDescent="0.25">
      <c r="A52" t="s">
        <v>130</v>
      </c>
    </row>
    <row r="53" spans="1:2" x14ac:dyDescent="0.25">
      <c r="A53" t="s">
        <v>132</v>
      </c>
    </row>
    <row r="55" spans="1:2" x14ac:dyDescent="0.25">
      <c r="A55" t="s">
        <v>111</v>
      </c>
    </row>
    <row r="57" spans="1:2" x14ac:dyDescent="0.25">
      <c r="A57" s="68" t="s">
        <v>81</v>
      </c>
      <c r="B57" s="66" t="s">
        <v>78</v>
      </c>
    </row>
    <row r="59" spans="1:2" x14ac:dyDescent="0.25">
      <c r="A59" t="s">
        <v>80</v>
      </c>
    </row>
    <row r="60" spans="1:2" x14ac:dyDescent="0.25">
      <c r="A60" t="s">
        <v>112</v>
      </c>
    </row>
    <row r="61" spans="1:2" x14ac:dyDescent="0.25">
      <c r="A61" t="s">
        <v>131</v>
      </c>
    </row>
    <row r="63" spans="1:2" x14ac:dyDescent="0.25">
      <c r="A63" s="68" t="s">
        <v>92</v>
      </c>
      <c r="B63" s="66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113</v>
      </c>
    </row>
    <row r="72" spans="1:1" x14ac:dyDescent="0.25">
      <c r="A72" t="s">
        <v>114</v>
      </c>
    </row>
    <row r="74" spans="1:1" x14ac:dyDescent="0.25">
      <c r="A74" t="s">
        <v>118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113</v>
      </c>
    </row>
    <row r="78" spans="1:1" x14ac:dyDescent="0.25">
      <c r="A78" t="s">
        <v>114</v>
      </c>
    </row>
    <row r="80" spans="1:1" x14ac:dyDescent="0.25">
      <c r="A80" s="66" t="s">
        <v>97</v>
      </c>
    </row>
    <row r="82" spans="1:1" x14ac:dyDescent="0.25">
      <c r="A82" s="69" t="s">
        <v>102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4" t="s">
        <v>224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D3" sqref="D3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EN_0900_005_m+EN_0900_005_p</f>
        <v>17.198412672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231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17.198412672</v>
      </c>
      <c r="O5" s="164"/>
    </row>
    <row r="6" spans="1:15" x14ac:dyDescent="0.25">
      <c r="A6" s="183" t="s">
        <v>7</v>
      </c>
      <c r="B6" s="176" t="s">
        <v>232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206">
        <v>10</v>
      </c>
      <c r="B11" s="207" t="s">
        <v>155</v>
      </c>
      <c r="C11" s="208" t="s">
        <v>226</v>
      </c>
      <c r="D11" s="209">
        <v>4.2</v>
      </c>
      <c r="E11" s="210">
        <f>J11*K11*L11</f>
        <v>1.3388601600000001</v>
      </c>
      <c r="F11" s="198" t="s">
        <v>156</v>
      </c>
      <c r="G11" s="198"/>
      <c r="H11" s="211"/>
      <c r="I11" s="212" t="s">
        <v>233</v>
      </c>
      <c r="J11" s="213">
        <f>374*120/1000000</f>
        <v>4.4880000000000003E-2</v>
      </c>
      <c r="K11" s="214">
        <f>11/1000</f>
        <v>1.0999999999999999E-2</v>
      </c>
      <c r="L11" s="215">
        <v>2712</v>
      </c>
      <c r="M11" s="215">
        <v>1</v>
      </c>
      <c r="N11" s="216">
        <f>IF(J11="",D11*M11,D11*J11*K11*L11*M11)</f>
        <v>5.6232126720000002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5.6232126720000002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88">
        <v>10</v>
      </c>
      <c r="B16" s="217" t="s">
        <v>44</v>
      </c>
      <c r="C16" s="217" t="s">
        <v>228</v>
      </c>
      <c r="D16" s="209">
        <v>1.3</v>
      </c>
      <c r="E16" s="195" t="s">
        <v>32</v>
      </c>
      <c r="F16" s="218">
        <v>1</v>
      </c>
      <c r="G16" s="218"/>
      <c r="H16" s="205"/>
      <c r="I16" s="216">
        <f>IF(H16="",D16*F16,D16*F16*H16)</f>
        <v>1.3</v>
      </c>
      <c r="J16" s="48"/>
      <c r="K16" s="48"/>
      <c r="L16" s="48"/>
      <c r="M16" s="48"/>
      <c r="N16" s="48"/>
      <c r="O16" s="170"/>
    </row>
    <row r="17" spans="1:15" ht="30" x14ac:dyDescent="0.25">
      <c r="A17" s="188">
        <v>20</v>
      </c>
      <c r="B17" s="217" t="s">
        <v>162</v>
      </c>
      <c r="C17" s="217" t="s">
        <v>229</v>
      </c>
      <c r="D17" s="209">
        <v>0.04</v>
      </c>
      <c r="E17" s="198" t="s">
        <v>163</v>
      </c>
      <c r="F17" s="204">
        <v>256.88</v>
      </c>
      <c r="G17" s="195" t="s">
        <v>230</v>
      </c>
      <c r="H17" s="205">
        <v>1</v>
      </c>
      <c r="I17" s="216">
        <f>IF(H17="",D17*F17,D17*F17*H17)</f>
        <v>10.2752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11.575200000000001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178"/>
      <c r="F22" s="219"/>
      <c r="G22" s="219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219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x14ac:dyDescent="0.25">
      <c r="A26" s="16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64"/>
    </row>
    <row r="27" spans="1:15" x14ac:dyDescent="0.25">
      <c r="A27" s="16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164"/>
    </row>
    <row r="28" spans="1:15" ht="15.75" thickBot="1" x14ac:dyDescent="0.3">
      <c r="A28" s="173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5"/>
    </row>
  </sheetData>
  <hyperlinks>
    <hyperlink ref="D3" location="'EN_0900_005 Drawing'!A1" display="FileLink1" xr:uid="{61892D57-9684-4295-9529-3CA5DC00953C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7" t="s">
        <v>232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topLeftCell="B1" workbookViewId="0">
      <selection activeCell="D3" sqref="D3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EN_0900_006_m+EN_0900_006_p</f>
        <v>0.83337245000000004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4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215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3.3334898000000002</v>
      </c>
      <c r="O5" s="164"/>
    </row>
    <row r="6" spans="1:15" x14ac:dyDescent="0.25">
      <c r="A6" s="183" t="s">
        <v>7</v>
      </c>
      <c r="B6" s="176" t="s">
        <v>234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3.6832200000000002E-2</v>
      </c>
      <c r="F11" s="140" t="s">
        <v>156</v>
      </c>
      <c r="G11" s="140"/>
      <c r="H11" s="143"/>
      <c r="I11" s="144" t="s">
        <v>237</v>
      </c>
      <c r="J11" s="144">
        <f>46*34/1000000</f>
        <v>1.5640000000000001E-3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8.287245E-2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8.287245E-2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238</v>
      </c>
      <c r="H16" s="196">
        <f>1/8</f>
        <v>0.125</v>
      </c>
      <c r="I16" s="141">
        <f>IF(H16="",D16*F16,D16*F16*H16)</f>
        <v>0.16250000000000001</v>
      </c>
      <c r="J16" s="48"/>
      <c r="K16" s="48"/>
      <c r="L16" s="48"/>
      <c r="M16" s="48"/>
      <c r="N16" s="48"/>
      <c r="O16" s="170"/>
    </row>
    <row r="17" spans="1:15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19.600000000000001</v>
      </c>
      <c r="G17" s="198" t="s">
        <v>239</v>
      </c>
      <c r="H17" s="198">
        <v>3</v>
      </c>
      <c r="I17" s="141">
        <f>IF(H17="",D17*F17,D17*F17*H17)</f>
        <v>0.58800000000000008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0.75050000000000006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17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178"/>
      <c r="D22" s="178"/>
      <c r="E22" s="178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x14ac:dyDescent="0.25">
      <c r="A26" s="16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64"/>
    </row>
    <row r="27" spans="1:15" ht="15.75" thickBot="1" x14ac:dyDescent="0.3">
      <c r="A27" s="173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5"/>
    </row>
  </sheetData>
  <hyperlinks>
    <hyperlink ref="D3" location="'EN_0900_006 Drawing'!A1" display="FileLink1" xr:uid="{731B3E14-BD29-4A7B-8AEC-C7E1C65CD6E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7" t="s">
        <v>234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topLeftCell="B1" workbookViewId="0">
      <selection activeCell="D3" sqref="D3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EN_0900_007_m+EN_0900_007_p</f>
        <v>0.806785325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4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216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3.2271413</v>
      </c>
      <c r="O5" s="164"/>
    </row>
    <row r="6" spans="1:15" x14ac:dyDescent="0.25">
      <c r="A6" s="183" t="s">
        <v>7</v>
      </c>
      <c r="B6" s="176" t="s">
        <v>241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3.1415699999999998E-2</v>
      </c>
      <c r="F11" s="140" t="s">
        <v>156</v>
      </c>
      <c r="G11" s="140"/>
      <c r="H11" s="143"/>
      <c r="I11" s="144" t="s">
        <v>242</v>
      </c>
      <c r="J11" s="144">
        <f>46*29/1000000</f>
        <v>1.3339999999999999E-3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7.0685324999999993E-2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7.0685324999999993E-2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238</v>
      </c>
      <c r="H16" s="196">
        <f>1/8</f>
        <v>0.125</v>
      </c>
      <c r="I16" s="141">
        <f>IF(H16="",D16*F16,D16*F16*H16)</f>
        <v>0.16250000000000001</v>
      </c>
      <c r="J16" s="48"/>
      <c r="K16" s="48"/>
      <c r="L16" s="48"/>
      <c r="M16" s="48"/>
      <c r="N16" s="48"/>
      <c r="O16" s="170"/>
    </row>
    <row r="17" spans="1:15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19.12</v>
      </c>
      <c r="G17" s="198" t="s">
        <v>239</v>
      </c>
      <c r="H17" s="198">
        <v>3</v>
      </c>
      <c r="I17" s="141">
        <f>IF(H17="",D17*F17,D17*F17*H17)</f>
        <v>0.5736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0.73609999999999998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</row>
  </sheetData>
  <hyperlinks>
    <hyperlink ref="D3" location="'EN_0900_007 Drawing'!A1" display="FileLink1" xr:uid="{456BD7D5-0F5C-4D47-BE9E-315D5EC71C92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7" t="s">
        <v>241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D3" sqref="D3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EN_0900_008_m+EN_0900_008_p</f>
        <v>1.5521247499999999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153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1.5521247499999999</v>
      </c>
      <c r="O5" s="164"/>
    </row>
    <row r="6" spans="1:15" x14ac:dyDescent="0.25">
      <c r="A6" s="183" t="s">
        <v>7</v>
      </c>
      <c r="B6" s="176" t="s">
        <v>243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6.6410999999999998E-2</v>
      </c>
      <c r="F11" s="140" t="s">
        <v>156</v>
      </c>
      <c r="G11" s="140"/>
      <c r="H11" s="143"/>
      <c r="I11" s="144" t="s">
        <v>244</v>
      </c>
      <c r="J11" s="144">
        <f>60*47/1000000</f>
        <v>2.82E-3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0.14942475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0.14942475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245</v>
      </c>
      <c r="H16" s="196">
        <f>1/2</f>
        <v>0.5</v>
      </c>
      <c r="I16" s="141">
        <f>IF(H16="",D16*F16,D16*F16*H16)</f>
        <v>0.65</v>
      </c>
      <c r="J16" s="48"/>
      <c r="K16" s="48"/>
      <c r="L16" s="48"/>
      <c r="M16" s="48"/>
      <c r="N16" s="48"/>
      <c r="O16" s="170"/>
    </row>
    <row r="17" spans="1:15" ht="30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25.09</v>
      </c>
      <c r="G17" s="198" t="s">
        <v>239</v>
      </c>
      <c r="H17" s="198">
        <v>3</v>
      </c>
      <c r="I17" s="141">
        <f>IF(H17="",D17*F17,D17*F17*H17)</f>
        <v>0.75270000000000004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1.4027000000000001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ht="15.75" thickBot="1" x14ac:dyDescent="0.3">
      <c r="A25" s="173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5"/>
    </row>
  </sheetData>
  <hyperlinks>
    <hyperlink ref="D3" location="'EN_0900_008 Drawing'!A1" display="FileLink1" xr:uid="{CF540C9A-7D70-4139-B381-37726EB07E31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7" t="s">
        <v>243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workbookViewId="0">
      <selection activeCell="D3" sqref="D3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EN_0900_009_m+EN_0900_009_p</f>
        <v>1.5630151625000002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246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1.5630151625000002</v>
      </c>
      <c r="O5" s="164"/>
    </row>
    <row r="6" spans="1:15" x14ac:dyDescent="0.25">
      <c r="A6" s="183" t="s">
        <v>7</v>
      </c>
      <c r="B6" s="176" t="s">
        <v>247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6.7517850000000004E-2</v>
      </c>
      <c r="F11" s="140" t="s">
        <v>156</v>
      </c>
      <c r="G11" s="140"/>
      <c r="H11" s="143"/>
      <c r="I11" s="144" t="s">
        <v>248</v>
      </c>
      <c r="J11" s="144">
        <f>61*47/1000000</f>
        <v>2.8670000000000002E-3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0.15191516250000001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0.15191516250000001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245</v>
      </c>
      <c r="H16" s="196">
        <f>1/2</f>
        <v>0.5</v>
      </c>
      <c r="I16" s="141">
        <f>IF(H16="",D16*F16,D16*F16*H16)</f>
        <v>0.65</v>
      </c>
      <c r="J16" s="48"/>
      <c r="K16" s="48"/>
      <c r="L16" s="48"/>
      <c r="M16" s="48"/>
      <c r="N16" s="48"/>
      <c r="O16" s="170"/>
    </row>
    <row r="17" spans="1:15" ht="30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25.37</v>
      </c>
      <c r="G17" s="198" t="s">
        <v>239</v>
      </c>
      <c r="H17" s="198">
        <v>3</v>
      </c>
      <c r="I17" s="141">
        <f>IF(H17="",D17*F17,D17*F17*H17)</f>
        <v>0.76110000000000011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1.4111000000000002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ht="15.75" thickBot="1" x14ac:dyDescent="0.3">
      <c r="A25" s="173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5"/>
    </row>
  </sheetData>
  <hyperlinks>
    <hyperlink ref="D3" location="'EN_0900_009 Drawing'!A1" display="FileLink1" xr:uid="{C0B6B514-8E88-4C67-A76D-070A1E227D8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2" t="s">
        <v>0</v>
      </c>
      <c r="B1" s="72" t="s">
        <v>43</v>
      </c>
      <c r="D1" s="33"/>
      <c r="M1" s="45" t="s">
        <v>47</v>
      </c>
      <c r="N1" s="34"/>
      <c r="O1" s="44" t="e">
        <f>#REF!</f>
        <v>#REF!</v>
      </c>
    </row>
    <row r="2" spans="1:15" s="15" customFormat="1" ht="15.75" thickBot="1" x14ac:dyDescent="0.3">
      <c r="A2" s="40" t="s">
        <v>48</v>
      </c>
      <c r="B2" s="71" t="s">
        <v>119</v>
      </c>
      <c r="C2" s="14"/>
      <c r="F2" s="28"/>
    </row>
    <row r="3" spans="1:15" s="15" customFormat="1" ht="16.5" thickTop="1" thickBot="1" x14ac:dyDescent="0.3">
      <c r="A3" s="41" t="s">
        <v>49</v>
      </c>
      <c r="B3" s="43">
        <v>2018</v>
      </c>
      <c r="C3" s="14"/>
      <c r="F3" s="28"/>
    </row>
    <row r="4" spans="1:15" s="15" customFormat="1" ht="16.5" thickTop="1" thickBot="1" x14ac:dyDescent="0.3">
      <c r="A4" s="39" t="s">
        <v>1</v>
      </c>
      <c r="B4" s="70">
        <v>81</v>
      </c>
      <c r="C4" s="14"/>
      <c r="D4" s="33" t="s">
        <v>50</v>
      </c>
      <c r="F4" s="28"/>
    </row>
    <row r="5" spans="1:15" s="26" customFormat="1" ht="15.75" thickTop="1" x14ac:dyDescent="0.25">
      <c r="A5" s="25"/>
      <c r="B5" s="29"/>
      <c r="C5" s="27"/>
      <c r="F5" s="30"/>
    </row>
    <row r="6" spans="1:15" s="24" customFormat="1" ht="49.5" customHeight="1" x14ac:dyDescent="0.25">
      <c r="A6" s="23" t="s">
        <v>51</v>
      </c>
      <c r="B6" s="36" t="s">
        <v>52</v>
      </c>
      <c r="C6" s="36" t="s">
        <v>53</v>
      </c>
      <c r="D6" s="36" t="s">
        <v>54</v>
      </c>
      <c r="E6" s="36" t="s">
        <v>55</v>
      </c>
      <c r="F6" s="36" t="s">
        <v>56</v>
      </c>
      <c r="G6" s="36" t="s">
        <v>57</v>
      </c>
      <c r="H6" s="38" t="s">
        <v>58</v>
      </c>
      <c r="I6" s="36" t="s">
        <v>17</v>
      </c>
      <c r="J6" s="36" t="s">
        <v>59</v>
      </c>
      <c r="K6" s="36" t="s">
        <v>60</v>
      </c>
      <c r="L6" s="36" t="s">
        <v>61</v>
      </c>
      <c r="M6" s="36" t="s">
        <v>62</v>
      </c>
      <c r="N6" s="37" t="s">
        <v>63</v>
      </c>
      <c r="O6" s="36" t="s">
        <v>64</v>
      </c>
    </row>
    <row r="7" spans="1:15" ht="15" x14ac:dyDescent="0.25">
      <c r="A7" s="75"/>
      <c r="B7" s="76" t="str">
        <f>EN_A0900!B3</f>
        <v>Engine &amp; Drivetrain</v>
      </c>
      <c r="C7" s="77" t="e">
        <f>EN_A0001</f>
        <v>#NAME?</v>
      </c>
      <c r="D7" s="77" t="s">
        <v>11</v>
      </c>
      <c r="E7" s="77"/>
      <c r="F7" s="78" t="str">
        <f>'[1]BR Assembly'!B4</f>
        <v>Nom de l'assemblage 1</v>
      </c>
      <c r="G7" s="77"/>
      <c r="H7" s="79" t="e">
        <f>SUM(J7:M7)</f>
        <v>#NAME?</v>
      </c>
      <c r="I7" s="80" t="e">
        <f>EN_A0001_q</f>
        <v>#NAME?</v>
      </c>
      <c r="J7" s="81" t="e">
        <f>EN_A0001_m</f>
        <v>#NAME?</v>
      </c>
      <c r="K7" s="81" t="e">
        <f>EN_A0001_p</f>
        <v>#NAME?</v>
      </c>
      <c r="L7" s="81" t="e">
        <f>EN_A0001_f</f>
        <v>#NAME?</v>
      </c>
      <c r="M7" s="81" t="e">
        <f>EN_A0001_t</f>
        <v>#NAME?</v>
      </c>
      <c r="N7" s="82" t="e">
        <f t="shared" ref="N7:N17" si="0">H7*I7</f>
        <v>#NAME?</v>
      </c>
      <c r="O7" s="83"/>
    </row>
    <row r="8" spans="1:15" ht="15" x14ac:dyDescent="0.25">
      <c r="A8" s="84"/>
      <c r="B8" s="85" t="str">
        <f>EN_A0900!$B$3</f>
        <v>Engine &amp; Drivetrain</v>
      </c>
      <c r="C8" s="86" t="e">
        <f>EN_01001</f>
        <v>#NAME?</v>
      </c>
      <c r="D8" s="87" t="s">
        <v>11</v>
      </c>
      <c r="E8" s="87" t="str">
        <f>F7</f>
        <v>Nom de l'assemblage 1</v>
      </c>
      <c r="F8" s="88" t="str">
        <f>EN_0900_001!B5</f>
        <v>Housing</v>
      </c>
      <c r="G8" s="87"/>
      <c r="H8" s="89" t="e">
        <f t="shared" ref="H8:H17" si="1">SUM(J8:M8)</f>
        <v>#NAME?</v>
      </c>
      <c r="I8" s="90" t="e">
        <f>EN_A0001_q*EN_01001_q</f>
        <v>#NAME?</v>
      </c>
      <c r="J8" s="91" t="e">
        <f>EN_01001_m</f>
        <v>#NAME?</v>
      </c>
      <c r="K8" s="91" t="e">
        <f>EN_01001_p</f>
        <v>#NAME?</v>
      </c>
      <c r="L8" s="91" t="e">
        <f>EN_01001_f</f>
        <v>#NAME?</v>
      </c>
      <c r="M8" s="91" t="e">
        <f>EN_01001_t</f>
        <v>#NAME?</v>
      </c>
      <c r="N8" s="92" t="e">
        <f t="shared" si="0"/>
        <v>#NAME?</v>
      </c>
      <c r="O8" s="93"/>
    </row>
    <row r="9" spans="1:15" ht="14.25" x14ac:dyDescent="0.2">
      <c r="A9" s="84"/>
      <c r="B9" s="85" t="str">
        <f>EN_A0900!$B$3</f>
        <v>Engine &amp; Drivetrain</v>
      </c>
      <c r="C9" s="87"/>
      <c r="D9" s="87" t="s">
        <v>11</v>
      </c>
      <c r="E9" s="87"/>
      <c r="F9" s="85"/>
      <c r="G9" s="87"/>
      <c r="H9" s="89">
        <f t="shared" si="1"/>
        <v>0</v>
      </c>
      <c r="I9" s="94"/>
      <c r="J9" s="91"/>
      <c r="K9" s="91"/>
      <c r="L9" s="91"/>
      <c r="M9" s="91"/>
      <c r="N9" s="92">
        <f t="shared" si="0"/>
        <v>0</v>
      </c>
      <c r="O9" s="93"/>
    </row>
    <row r="10" spans="1:15" ht="14.25" x14ac:dyDescent="0.2">
      <c r="A10" s="84"/>
      <c r="B10" s="85" t="str">
        <f>EN_A0900!$B$3</f>
        <v>Engine &amp; Drivetrain</v>
      </c>
      <c r="C10" s="87"/>
      <c r="D10" s="87" t="s">
        <v>11</v>
      </c>
      <c r="E10" s="87"/>
      <c r="F10" s="85"/>
      <c r="G10" s="87"/>
      <c r="H10" s="89">
        <f t="shared" si="1"/>
        <v>0</v>
      </c>
      <c r="I10" s="94"/>
      <c r="J10" s="91"/>
      <c r="K10" s="91"/>
      <c r="L10" s="91"/>
      <c r="M10" s="91"/>
      <c r="N10" s="92">
        <f t="shared" si="0"/>
        <v>0</v>
      </c>
      <c r="O10" s="93"/>
    </row>
    <row r="11" spans="1:15" ht="14.25" x14ac:dyDescent="0.2">
      <c r="A11" s="84"/>
      <c r="B11" s="85" t="str">
        <f>EN_A0900!$B$3</f>
        <v>Engine &amp; Drivetrain</v>
      </c>
      <c r="C11" s="87"/>
      <c r="D11" s="87" t="s">
        <v>11</v>
      </c>
      <c r="E11" s="87"/>
      <c r="F11" s="85"/>
      <c r="G11" s="87"/>
      <c r="H11" s="89">
        <f t="shared" si="1"/>
        <v>0</v>
      </c>
      <c r="I11" s="94"/>
      <c r="J11" s="91"/>
      <c r="K11" s="91"/>
      <c r="L11" s="91"/>
      <c r="M11" s="91"/>
      <c r="N11" s="92">
        <f t="shared" si="0"/>
        <v>0</v>
      </c>
      <c r="O11" s="93"/>
    </row>
    <row r="12" spans="1:15" ht="14.25" x14ac:dyDescent="0.2">
      <c r="A12" s="84"/>
      <c r="B12" s="85" t="str">
        <f>EN_A0900!$B$3</f>
        <v>Engine &amp; Drivetrain</v>
      </c>
      <c r="C12" s="87"/>
      <c r="D12" s="87" t="s">
        <v>11</v>
      </c>
      <c r="E12" s="87"/>
      <c r="F12" s="85"/>
      <c r="G12" s="87"/>
      <c r="H12" s="89">
        <f t="shared" si="1"/>
        <v>0</v>
      </c>
      <c r="I12" s="94"/>
      <c r="J12" s="91"/>
      <c r="K12" s="91"/>
      <c r="L12" s="91"/>
      <c r="M12" s="91"/>
      <c r="N12" s="92">
        <f t="shared" si="0"/>
        <v>0</v>
      </c>
      <c r="O12" s="93"/>
    </row>
    <row r="13" spans="1:15" ht="14.25" x14ac:dyDescent="0.2">
      <c r="A13" s="84"/>
      <c r="B13" s="85" t="str">
        <f>EN_A0900!$B$3</f>
        <v>Engine &amp; Drivetrain</v>
      </c>
      <c r="C13" s="87"/>
      <c r="D13" s="87" t="s">
        <v>11</v>
      </c>
      <c r="E13" s="87"/>
      <c r="F13" s="85"/>
      <c r="G13" s="87"/>
      <c r="H13" s="89">
        <f t="shared" si="1"/>
        <v>0</v>
      </c>
      <c r="I13" s="94"/>
      <c r="J13" s="91"/>
      <c r="K13" s="91"/>
      <c r="L13" s="91"/>
      <c r="M13" s="91"/>
      <c r="N13" s="92">
        <f t="shared" si="0"/>
        <v>0</v>
      </c>
      <c r="O13" s="93"/>
    </row>
    <row r="14" spans="1:15" ht="14.25" x14ac:dyDescent="0.2">
      <c r="A14" s="84"/>
      <c r="B14" s="85" t="str">
        <f>EN_A0900!$B$3</f>
        <v>Engine &amp; Drivetrain</v>
      </c>
      <c r="C14" s="87"/>
      <c r="D14" s="87" t="s">
        <v>11</v>
      </c>
      <c r="E14" s="87"/>
      <c r="F14" s="85"/>
      <c r="G14" s="87"/>
      <c r="H14" s="89">
        <f t="shared" si="1"/>
        <v>0</v>
      </c>
      <c r="I14" s="94"/>
      <c r="J14" s="91"/>
      <c r="K14" s="91"/>
      <c r="L14" s="91"/>
      <c r="M14" s="91"/>
      <c r="N14" s="92">
        <f t="shared" si="0"/>
        <v>0</v>
      </c>
      <c r="O14" s="93"/>
    </row>
    <row r="15" spans="1:15" ht="14.25" x14ac:dyDescent="0.2">
      <c r="A15" s="84"/>
      <c r="B15" s="85" t="str">
        <f>EN_A0900!$B$3</f>
        <v>Engine &amp; Drivetrain</v>
      </c>
      <c r="C15" s="87"/>
      <c r="D15" s="87" t="s">
        <v>11</v>
      </c>
      <c r="E15" s="87"/>
      <c r="F15" s="85"/>
      <c r="G15" s="95"/>
      <c r="H15" s="89">
        <f t="shared" si="1"/>
        <v>0</v>
      </c>
      <c r="I15" s="94"/>
      <c r="J15" s="91"/>
      <c r="K15" s="91"/>
      <c r="L15" s="91"/>
      <c r="M15" s="91"/>
      <c r="N15" s="92">
        <f t="shared" si="0"/>
        <v>0</v>
      </c>
      <c r="O15" s="93"/>
    </row>
    <row r="16" spans="1:15" ht="14.25" x14ac:dyDescent="0.2">
      <c r="A16" s="84"/>
      <c r="B16" s="85" t="str">
        <f>EN_A0900!$B$3</f>
        <v>Engine &amp; Drivetrain</v>
      </c>
      <c r="C16" s="87"/>
      <c r="D16" s="87" t="s">
        <v>11</v>
      </c>
      <c r="E16" s="87"/>
      <c r="F16" s="85"/>
      <c r="G16" s="87"/>
      <c r="H16" s="89">
        <f t="shared" si="1"/>
        <v>0</v>
      </c>
      <c r="I16" s="94"/>
      <c r="J16" s="91"/>
      <c r="K16" s="91"/>
      <c r="L16" s="91"/>
      <c r="M16" s="91"/>
      <c r="N16" s="92">
        <f t="shared" si="0"/>
        <v>0</v>
      </c>
      <c r="O16" s="93"/>
    </row>
    <row r="17" spans="1:15" ht="15" thickBot="1" x14ac:dyDescent="0.25">
      <c r="A17" s="84"/>
      <c r="B17" s="85" t="str">
        <f>EN_A0900!$B$3</f>
        <v>Engine &amp; Drivetrain</v>
      </c>
      <c r="C17" s="87"/>
      <c r="D17" s="87" t="s">
        <v>11</v>
      </c>
      <c r="E17" s="87"/>
      <c r="F17" s="85"/>
      <c r="G17" s="87"/>
      <c r="H17" s="89">
        <f t="shared" si="1"/>
        <v>0</v>
      </c>
      <c r="I17" s="94"/>
      <c r="J17" s="91"/>
      <c r="K17" s="91"/>
      <c r="L17" s="91"/>
      <c r="M17" s="91"/>
      <c r="N17" s="92">
        <f t="shared" si="0"/>
        <v>0</v>
      </c>
      <c r="O17" s="93"/>
    </row>
    <row r="18" spans="1:15" s="12" customFormat="1" ht="15.75" thickTop="1" thickBot="1" x14ac:dyDescent="0.25">
      <c r="A18" s="5"/>
      <c r="B18" s="31" t="str">
        <f>EN_A0900!B3</f>
        <v>Engine &amp; Drivetrain</v>
      </c>
      <c r="C18" s="1"/>
      <c r="D18" s="1"/>
      <c r="E18" s="1"/>
      <c r="F18" s="31" t="s">
        <v>65</v>
      </c>
      <c r="G18" s="1"/>
      <c r="H18" s="3"/>
      <c r="I18" s="4"/>
      <c r="J18" s="74" t="e">
        <f>SUMPRODUCT($I7:$I17,J7:J17)</f>
        <v>#NAME?</v>
      </c>
      <c r="K18" s="74" t="e">
        <f>SUMPRODUCT($I7:$I17,K7:K17)</f>
        <v>#NAME?</v>
      </c>
      <c r="L18" s="74" t="e">
        <f>SUMPRODUCT($I7:$I17,L7:L17)</f>
        <v>#NAME?</v>
      </c>
      <c r="M18" s="74" t="e">
        <f>SUMPRODUCT($I7:$I17,M7:M17)</f>
        <v>#NAME?</v>
      </c>
      <c r="N18" s="74" t="e">
        <f>SUM(N7:N17)</f>
        <v>#NAME?</v>
      </c>
      <c r="O18" s="2"/>
    </row>
    <row r="19" spans="1:15" ht="13.5" thickTop="1" x14ac:dyDescent="0.2">
      <c r="A19" s="11"/>
      <c r="B19" s="3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tabSelected="1" workbookViewId="0">
      <selection activeCell="R15" sqref="R15"/>
    </sheetView>
  </sheetViews>
  <sheetFormatPr baseColWidth="10" defaultRowHeight="15" x14ac:dyDescent="0.25"/>
  <sheetData>
    <row r="1" spans="1:1" x14ac:dyDescent="0.25">
      <c r="A1" s="67" t="s">
        <v>247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J16" sqref="J16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63" t="s">
        <v>0</v>
      </c>
      <c r="B2" s="112" t="s">
        <v>43</v>
      </c>
      <c r="C2" s="46"/>
      <c r="D2" s="46"/>
      <c r="E2" s="46" t="s">
        <v>120</v>
      </c>
      <c r="F2" s="46"/>
      <c r="G2" s="46"/>
      <c r="H2" s="46"/>
      <c r="I2" s="46"/>
      <c r="J2" s="96" t="s">
        <v>1</v>
      </c>
      <c r="K2" s="64">
        <v>81</v>
      </c>
      <c r="L2" s="46"/>
      <c r="M2" s="96" t="s">
        <v>2</v>
      </c>
      <c r="N2" s="73">
        <f>EN_A0900_pa+EN_A0900_m+EN_A0900_p+EN_A0900_f+EN_A0900_t</f>
        <v>388.78260637517604</v>
      </c>
      <c r="O2" s="164"/>
    </row>
    <row r="3" spans="1:15" x14ac:dyDescent="0.25">
      <c r="A3" s="163" t="s">
        <v>3</v>
      </c>
      <c r="B3" s="112" t="s">
        <v>135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96" t="s">
        <v>4</v>
      </c>
      <c r="N3" s="63">
        <v>1</v>
      </c>
      <c r="O3" s="164"/>
    </row>
    <row r="4" spans="1:15" x14ac:dyDescent="0.25">
      <c r="A4" s="163" t="s">
        <v>5</v>
      </c>
      <c r="B4" s="112" t="s">
        <v>141</v>
      </c>
      <c r="C4" s="46"/>
      <c r="D4" s="46"/>
      <c r="E4" s="46"/>
      <c r="F4" s="46"/>
      <c r="G4" s="46"/>
      <c r="H4" s="46"/>
      <c r="I4" s="46"/>
      <c r="J4" s="99" t="s">
        <v>6</v>
      </c>
      <c r="K4" s="46"/>
      <c r="L4" s="46"/>
      <c r="M4" s="46"/>
      <c r="N4" s="46"/>
      <c r="O4" s="164"/>
    </row>
    <row r="5" spans="1:15" x14ac:dyDescent="0.25">
      <c r="A5" s="163" t="s">
        <v>7</v>
      </c>
      <c r="B5" s="113" t="s">
        <v>160</v>
      </c>
      <c r="C5" s="46"/>
      <c r="D5" s="46"/>
      <c r="E5" s="46"/>
      <c r="F5" s="46"/>
      <c r="G5" s="46"/>
      <c r="H5" s="46"/>
      <c r="I5" s="46"/>
      <c r="J5" s="99" t="s">
        <v>8</v>
      </c>
      <c r="K5" s="46"/>
      <c r="L5" s="46"/>
      <c r="M5" s="96" t="s">
        <v>9</v>
      </c>
      <c r="N5" s="62">
        <f>N2*N3</f>
        <v>388.78260637517604</v>
      </c>
      <c r="O5" s="164"/>
    </row>
    <row r="6" spans="1:15" x14ac:dyDescent="0.25">
      <c r="A6" s="163" t="s">
        <v>10</v>
      </c>
      <c r="B6" s="112" t="s">
        <v>11</v>
      </c>
      <c r="C6" s="46"/>
      <c r="D6" s="46"/>
      <c r="E6" s="46"/>
      <c r="F6" s="46"/>
      <c r="G6" s="46"/>
      <c r="H6" s="46"/>
      <c r="I6" s="46"/>
      <c r="J6" s="99" t="s">
        <v>12</v>
      </c>
      <c r="K6" s="46"/>
      <c r="L6" s="46"/>
      <c r="M6" s="46"/>
      <c r="N6" s="46"/>
      <c r="O6" s="164"/>
    </row>
    <row r="7" spans="1:15" x14ac:dyDescent="0.25">
      <c r="A7" s="163" t="s">
        <v>13</v>
      </c>
      <c r="B7" s="112" t="s">
        <v>137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6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63" t="s">
        <v>14</v>
      </c>
      <c r="B9" s="118" t="s">
        <v>15</v>
      </c>
      <c r="C9" s="96" t="s">
        <v>16</v>
      </c>
      <c r="D9" s="96" t="s">
        <v>17</v>
      </c>
      <c r="E9" s="96" t="s">
        <v>18</v>
      </c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66">
        <v>10</v>
      </c>
      <c r="B10" s="21" t="s">
        <v>138</v>
      </c>
      <c r="C10" s="115">
        <f>EN_0900_001!N$2</f>
        <v>112.52931553333677</v>
      </c>
      <c r="D10" s="177">
        <f>EN_0900_001!N$3</f>
        <v>1</v>
      </c>
      <c r="E10" s="117">
        <f>C10*D10</f>
        <v>112.52931553333677</v>
      </c>
      <c r="F10" s="46"/>
      <c r="G10" s="46"/>
      <c r="H10" s="46"/>
      <c r="I10" s="46"/>
      <c r="J10" s="46"/>
      <c r="K10" s="46"/>
      <c r="L10" s="46"/>
      <c r="M10" s="46"/>
      <c r="N10" s="46"/>
      <c r="O10" s="164"/>
    </row>
    <row r="11" spans="1:15" x14ac:dyDescent="0.25">
      <c r="A11" s="166">
        <v>20</v>
      </c>
      <c r="B11" s="21" t="s">
        <v>140</v>
      </c>
      <c r="C11" s="115">
        <f>EN_0900_002!N$2</f>
        <v>10.904564699673662</v>
      </c>
      <c r="D11" s="177">
        <f>EN_0900_002!N$3</f>
        <v>1</v>
      </c>
      <c r="E11" s="117">
        <f>C11*D11</f>
        <v>10.904564699673662</v>
      </c>
      <c r="F11" s="47"/>
      <c r="G11" s="47"/>
      <c r="H11" s="47"/>
      <c r="I11" s="47"/>
      <c r="J11" s="47"/>
      <c r="K11" s="47"/>
      <c r="L11" s="47"/>
      <c r="M11" s="47"/>
      <c r="N11" s="47"/>
      <c r="O11" s="167"/>
    </row>
    <row r="12" spans="1:15" x14ac:dyDescent="0.25">
      <c r="A12" s="166">
        <v>30</v>
      </c>
      <c r="B12" s="21" t="s">
        <v>139</v>
      </c>
      <c r="C12" s="115">
        <f>EN_0900_003!N$2</f>
        <v>8.5389646196590014</v>
      </c>
      <c r="D12" s="177">
        <f>EN_0900_003!N$3</f>
        <v>1</v>
      </c>
      <c r="E12" s="117">
        <f t="shared" ref="E12:E18" si="0">C12*D12</f>
        <v>8.5389646196590014</v>
      </c>
      <c r="F12" s="47"/>
      <c r="G12" s="47"/>
      <c r="H12" s="47"/>
      <c r="I12" s="47"/>
      <c r="J12" s="47"/>
      <c r="K12" s="47"/>
      <c r="L12" s="47"/>
      <c r="M12" s="47"/>
      <c r="N12" s="47"/>
      <c r="O12" s="167"/>
    </row>
    <row r="13" spans="1:15" x14ac:dyDescent="0.25">
      <c r="A13" s="166">
        <v>40</v>
      </c>
      <c r="B13" s="21" t="s">
        <v>213</v>
      </c>
      <c r="C13" s="115">
        <f>EN_0900_004!N$2</f>
        <v>23.956417471999998</v>
      </c>
      <c r="D13" s="177">
        <f>EN_0900_004!N$3</f>
        <v>1</v>
      </c>
      <c r="E13" s="117">
        <f>C13*D13</f>
        <v>23.956417471999998</v>
      </c>
      <c r="F13" s="47"/>
      <c r="G13" s="47"/>
      <c r="H13" s="47"/>
      <c r="I13" s="47"/>
      <c r="J13" s="47"/>
      <c r="K13" s="47"/>
      <c r="L13" s="47"/>
      <c r="M13" s="47"/>
      <c r="N13" s="47"/>
      <c r="O13" s="164"/>
    </row>
    <row r="14" spans="1:15" x14ac:dyDescent="0.25">
      <c r="A14" s="166">
        <v>50</v>
      </c>
      <c r="B14" s="21" t="s">
        <v>214</v>
      </c>
      <c r="C14" s="115">
        <f>EN_0900_005!N$2</f>
        <v>17.198412672</v>
      </c>
      <c r="D14" s="177">
        <f>EN_0900_005!N$3</f>
        <v>1</v>
      </c>
      <c r="E14" s="117">
        <f>C14*D14</f>
        <v>17.198412672</v>
      </c>
      <c r="F14" s="47"/>
      <c r="G14" s="47"/>
      <c r="H14" s="47"/>
      <c r="I14" s="47"/>
      <c r="J14" s="47"/>
      <c r="K14" s="47"/>
      <c r="L14" s="47"/>
      <c r="M14" s="47"/>
      <c r="N14" s="47"/>
      <c r="O14" s="164"/>
    </row>
    <row r="15" spans="1:15" x14ac:dyDescent="0.25">
      <c r="A15" s="166">
        <v>60</v>
      </c>
      <c r="B15" s="21" t="s">
        <v>215</v>
      </c>
      <c r="C15" s="115">
        <f>EN_0900_006!N$2</f>
        <v>0.83337245000000004</v>
      </c>
      <c r="D15" s="177">
        <f>EN_0900_006!N$3</f>
        <v>4</v>
      </c>
      <c r="E15" s="117">
        <f>C15*D15</f>
        <v>3.3334898000000002</v>
      </c>
      <c r="F15" s="47"/>
      <c r="G15" s="47"/>
      <c r="H15" s="47"/>
      <c r="I15" s="47"/>
      <c r="J15" s="47"/>
      <c r="K15" s="47"/>
      <c r="L15" s="47"/>
      <c r="M15" s="47"/>
      <c r="N15" s="47"/>
      <c r="O15" s="164"/>
    </row>
    <row r="16" spans="1:15" x14ac:dyDescent="0.25">
      <c r="A16" s="166">
        <v>70</v>
      </c>
      <c r="B16" s="21" t="s">
        <v>216</v>
      </c>
      <c r="C16" s="115">
        <f>EN_0900_007!N$2</f>
        <v>0.806785325</v>
      </c>
      <c r="D16" s="177">
        <f>EN_0900_007!N$3</f>
        <v>4</v>
      </c>
      <c r="E16" s="117">
        <f>C16*D16</f>
        <v>3.2271413</v>
      </c>
      <c r="F16" s="47"/>
      <c r="G16" s="47"/>
      <c r="H16" s="47"/>
      <c r="I16" s="47"/>
      <c r="J16" s="47"/>
      <c r="K16" s="47"/>
      <c r="L16" s="47"/>
      <c r="M16" s="47"/>
      <c r="N16" s="47"/>
      <c r="O16" s="167"/>
    </row>
    <row r="17" spans="1:15" x14ac:dyDescent="0.25">
      <c r="A17" s="166">
        <v>80</v>
      </c>
      <c r="B17" s="21" t="s">
        <v>153</v>
      </c>
      <c r="C17" s="115">
        <f>EN_0900_008!N$2</f>
        <v>1.5521247499999999</v>
      </c>
      <c r="D17" s="177">
        <f>EN_0900_008!N$3</f>
        <v>1</v>
      </c>
      <c r="E17" s="117">
        <f t="shared" si="0"/>
        <v>1.5521247499999999</v>
      </c>
      <c r="F17" s="47"/>
      <c r="G17" s="47"/>
      <c r="H17" s="47"/>
      <c r="I17" s="47"/>
      <c r="J17" s="47"/>
      <c r="K17" s="47"/>
      <c r="L17" s="47"/>
      <c r="M17" s="47"/>
      <c r="N17" s="47"/>
      <c r="O17" s="167"/>
    </row>
    <row r="18" spans="1:15" x14ac:dyDescent="0.25">
      <c r="A18" s="166">
        <v>90</v>
      </c>
      <c r="B18" s="21" t="s">
        <v>246</v>
      </c>
      <c r="C18" s="115">
        <f>EN_0900_009!N$2</f>
        <v>1.5630151625000002</v>
      </c>
      <c r="D18" s="177">
        <f>EN_0900_009!N$3</f>
        <v>1</v>
      </c>
      <c r="E18" s="117">
        <f t="shared" si="0"/>
        <v>1.5630151625000002</v>
      </c>
      <c r="F18" s="47"/>
      <c r="G18" s="47"/>
      <c r="H18" s="47"/>
      <c r="I18" s="47"/>
      <c r="J18" s="47"/>
      <c r="K18" s="47"/>
      <c r="L18" s="47"/>
      <c r="M18" s="47"/>
      <c r="N18" s="47"/>
      <c r="O18" s="167"/>
    </row>
    <row r="19" spans="1:15" x14ac:dyDescent="0.25">
      <c r="A19" s="165"/>
      <c r="B19" s="46"/>
      <c r="C19" s="46"/>
      <c r="D19" s="100" t="s">
        <v>18</v>
      </c>
      <c r="E19" s="101">
        <f>SUM(E10:E18)</f>
        <v>182.80344600916939</v>
      </c>
      <c r="F19" s="47"/>
      <c r="G19" s="47"/>
      <c r="H19" s="47"/>
      <c r="I19" s="47"/>
      <c r="J19" s="47"/>
      <c r="K19" s="47"/>
      <c r="L19" s="47"/>
      <c r="M19" s="47"/>
      <c r="N19" s="47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3" t="s">
        <v>14</v>
      </c>
      <c r="B21" s="96" t="s">
        <v>19</v>
      </c>
      <c r="C21" s="96" t="s">
        <v>20</v>
      </c>
      <c r="D21" s="96" t="s">
        <v>21</v>
      </c>
      <c r="E21" s="96" t="s">
        <v>22</v>
      </c>
      <c r="F21" s="96" t="s">
        <v>23</v>
      </c>
      <c r="G21" s="96" t="s">
        <v>24</v>
      </c>
      <c r="H21" s="96" t="s">
        <v>25</v>
      </c>
      <c r="I21" s="96" t="s">
        <v>26</v>
      </c>
      <c r="J21" s="96" t="s">
        <v>27</v>
      </c>
      <c r="K21" s="96" t="s">
        <v>28</v>
      </c>
      <c r="L21" s="96" t="s">
        <v>29</v>
      </c>
      <c r="M21" s="96" t="s">
        <v>17</v>
      </c>
      <c r="N21" s="96" t="s">
        <v>18</v>
      </c>
      <c r="O21" s="164"/>
    </row>
    <row r="22" spans="1:15" s="17" customFormat="1" x14ac:dyDescent="0.25">
      <c r="A22" s="166">
        <v>20</v>
      </c>
      <c r="B22" s="114" t="s">
        <v>151</v>
      </c>
      <c r="C22" s="114" t="s">
        <v>143</v>
      </c>
      <c r="D22" s="115">
        <f>0.1*(E22^2*G22)^0.5</f>
        <v>38.183766184073569</v>
      </c>
      <c r="E22" s="114">
        <v>90</v>
      </c>
      <c r="F22" s="114" t="s">
        <v>30</v>
      </c>
      <c r="G22" s="114">
        <v>18</v>
      </c>
      <c r="H22" s="119" t="s">
        <v>30</v>
      </c>
      <c r="I22" s="120"/>
      <c r="J22" s="121"/>
      <c r="K22" s="119"/>
      <c r="L22" s="119"/>
      <c r="M22" s="122">
        <v>1</v>
      </c>
      <c r="N22" s="123">
        <f>IF(J22="",D22*M22,D22*J22*K22*L22*M22)</f>
        <v>38.183766184073569</v>
      </c>
      <c r="O22" s="168"/>
    </row>
    <row r="23" spans="1:15" x14ac:dyDescent="0.25">
      <c r="A23" s="166">
        <v>10</v>
      </c>
      <c r="B23" s="114" t="s">
        <v>151</v>
      </c>
      <c r="C23" s="114" t="s">
        <v>142</v>
      </c>
      <c r="D23" s="115">
        <f>0.1*(E23^2*G23)^0.5</f>
        <v>32</v>
      </c>
      <c r="E23" s="114">
        <v>80</v>
      </c>
      <c r="F23" s="114" t="s">
        <v>30</v>
      </c>
      <c r="G23" s="114">
        <v>16</v>
      </c>
      <c r="H23" s="119" t="s">
        <v>30</v>
      </c>
      <c r="I23" s="120"/>
      <c r="J23" s="121"/>
      <c r="K23" s="119"/>
      <c r="L23" s="119"/>
      <c r="M23" s="122">
        <v>1</v>
      </c>
      <c r="N23" s="123">
        <f>IF(J23="",D23*M23,D23*J23*K23*L23*M23)</f>
        <v>32</v>
      </c>
      <c r="O23" s="164"/>
    </row>
    <row r="24" spans="1:15" s="17" customFormat="1" x14ac:dyDescent="0.25">
      <c r="A24" s="166">
        <v>30</v>
      </c>
      <c r="B24" s="114" t="s">
        <v>144</v>
      </c>
      <c r="C24" s="116" t="s">
        <v>152</v>
      </c>
      <c r="D24" s="115">
        <v>10</v>
      </c>
      <c r="E24" s="114">
        <v>8.0000000000000002E-3</v>
      </c>
      <c r="F24" s="114" t="s">
        <v>146</v>
      </c>
      <c r="G24" s="114"/>
      <c r="H24" s="119"/>
      <c r="I24" s="120"/>
      <c r="J24" s="121"/>
      <c r="K24" s="119"/>
      <c r="L24" s="119"/>
      <c r="M24" s="122">
        <v>8.0000000000000002E-3</v>
      </c>
      <c r="N24" s="123">
        <f>IF(J24="",D24*M24,D24*J24*K24*L24*M24)</f>
        <v>0.08</v>
      </c>
      <c r="O24" s="168"/>
    </row>
    <row r="25" spans="1:15" s="17" customFormat="1" x14ac:dyDescent="0.25">
      <c r="A25" s="166">
        <v>40</v>
      </c>
      <c r="B25" s="114" t="s">
        <v>147</v>
      </c>
      <c r="C25" s="114" t="s">
        <v>148</v>
      </c>
      <c r="D25" s="115">
        <v>0.75</v>
      </c>
      <c r="E25" s="114">
        <v>0.06</v>
      </c>
      <c r="F25" s="114" t="s">
        <v>149</v>
      </c>
      <c r="G25" s="114"/>
      <c r="H25" s="119"/>
      <c r="I25" s="124"/>
      <c r="J25" s="121"/>
      <c r="K25" s="119"/>
      <c r="L25" s="125"/>
      <c r="M25" s="122">
        <v>0.06</v>
      </c>
      <c r="N25" s="123">
        <f>IF(J25="",D25*M25,D25*J25*K25*L25*M25)</f>
        <v>4.4999999999999998E-2</v>
      </c>
      <c r="O25" s="168"/>
    </row>
    <row r="26" spans="1:15" ht="30" x14ac:dyDescent="0.25">
      <c r="A26" s="166">
        <v>50</v>
      </c>
      <c r="B26" s="126" t="s">
        <v>150</v>
      </c>
      <c r="C26" s="114"/>
      <c r="D26" s="115">
        <v>110</v>
      </c>
      <c r="E26" s="114">
        <v>1</v>
      </c>
      <c r="F26" s="114" t="s">
        <v>35</v>
      </c>
      <c r="G26" s="114"/>
      <c r="H26" s="119"/>
      <c r="I26" s="124"/>
      <c r="J26" s="121"/>
      <c r="K26" s="119"/>
      <c r="L26" s="125"/>
      <c r="M26" s="122">
        <v>1</v>
      </c>
      <c r="N26" s="123">
        <f>IF(J26="",D26*M26,D26*J26*K26*L26*M26)</f>
        <v>110</v>
      </c>
      <c r="O26" s="164"/>
    </row>
    <row r="27" spans="1:15" x14ac:dyDescent="0.25">
      <c r="A27" s="16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6" t="s">
        <v>18</v>
      </c>
      <c r="N27" s="98">
        <f>SUM(N22:N26)</f>
        <v>180.30876618407356</v>
      </c>
      <c r="O27" s="164"/>
    </row>
    <row r="28" spans="1:15" x14ac:dyDescent="0.25">
      <c r="A28" s="16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164"/>
    </row>
    <row r="29" spans="1:15" s="20" customFormat="1" x14ac:dyDescent="0.25">
      <c r="A29" s="163" t="s">
        <v>14</v>
      </c>
      <c r="B29" s="96" t="s">
        <v>31</v>
      </c>
      <c r="C29" s="96" t="s">
        <v>20</v>
      </c>
      <c r="D29" s="96" t="s">
        <v>21</v>
      </c>
      <c r="E29" s="96" t="s">
        <v>32</v>
      </c>
      <c r="F29" s="96" t="s">
        <v>17</v>
      </c>
      <c r="G29" s="96" t="s">
        <v>33</v>
      </c>
      <c r="H29" s="96" t="s">
        <v>34</v>
      </c>
      <c r="I29" s="96" t="s">
        <v>18</v>
      </c>
      <c r="J29" s="19"/>
      <c r="K29" s="19"/>
      <c r="L29" s="19"/>
      <c r="M29" s="19"/>
      <c r="N29" s="19"/>
      <c r="O29" s="170"/>
    </row>
    <row r="30" spans="1:15" s="20" customFormat="1" x14ac:dyDescent="0.25">
      <c r="A30" s="166">
        <v>10</v>
      </c>
      <c r="B30" s="116" t="s">
        <v>184</v>
      </c>
      <c r="C30" s="116" t="s">
        <v>185</v>
      </c>
      <c r="D30" s="115">
        <v>0.15</v>
      </c>
      <c r="E30" s="114" t="s">
        <v>46</v>
      </c>
      <c r="F30" s="114">
        <v>56.54</v>
      </c>
      <c r="G30" s="114"/>
      <c r="H30" s="114">
        <v>1</v>
      </c>
      <c r="I30" s="115">
        <f t="shared" ref="I30:I43" si="1">D30*F30*H30</f>
        <v>8.4809999999999999</v>
      </c>
      <c r="J30" s="112"/>
      <c r="K30" s="112"/>
      <c r="L30" s="112"/>
      <c r="M30" s="47"/>
      <c r="N30" s="47"/>
      <c r="O30" s="170"/>
    </row>
    <row r="31" spans="1:15" s="16" customFormat="1" x14ac:dyDescent="0.25">
      <c r="A31" s="166">
        <v>20</v>
      </c>
      <c r="B31" s="116" t="s">
        <v>186</v>
      </c>
      <c r="C31" s="116" t="s">
        <v>145</v>
      </c>
      <c r="D31" s="115">
        <v>5.25</v>
      </c>
      <c r="E31" s="114" t="s">
        <v>146</v>
      </c>
      <c r="F31" s="114">
        <v>8.0000000000000002E-3</v>
      </c>
      <c r="G31" s="114"/>
      <c r="H31" s="114">
        <v>1</v>
      </c>
      <c r="I31" s="115">
        <f t="shared" si="1"/>
        <v>4.2000000000000003E-2</v>
      </c>
      <c r="J31" s="112"/>
      <c r="K31" s="112"/>
      <c r="L31" s="112"/>
      <c r="M31" s="47"/>
      <c r="N31" s="47"/>
      <c r="O31" s="171"/>
    </row>
    <row r="32" spans="1:15" x14ac:dyDescent="0.25">
      <c r="A32" s="166">
        <v>30</v>
      </c>
      <c r="B32" s="151" t="s">
        <v>187</v>
      </c>
      <c r="C32" s="116" t="s">
        <v>188</v>
      </c>
      <c r="D32" s="115">
        <v>0.56000000000000005</v>
      </c>
      <c r="E32" s="114" t="s">
        <v>35</v>
      </c>
      <c r="F32" s="114">
        <v>2</v>
      </c>
      <c r="G32" s="114"/>
      <c r="H32" s="114">
        <v>1</v>
      </c>
      <c r="I32" s="115">
        <f t="shared" si="1"/>
        <v>1.1200000000000001</v>
      </c>
      <c r="J32" s="112"/>
      <c r="K32" s="112"/>
      <c r="L32" s="112"/>
      <c r="M32" s="46"/>
      <c r="N32" s="46"/>
      <c r="O32" s="164"/>
    </row>
    <row r="33" spans="1:15" x14ac:dyDescent="0.25">
      <c r="A33" s="166">
        <v>40</v>
      </c>
      <c r="B33" s="151" t="s">
        <v>189</v>
      </c>
      <c r="C33" s="116" t="s">
        <v>190</v>
      </c>
      <c r="D33" s="115">
        <v>0.19</v>
      </c>
      <c r="E33" s="114" t="s">
        <v>35</v>
      </c>
      <c r="F33" s="114">
        <v>1</v>
      </c>
      <c r="G33" s="114"/>
      <c r="H33" s="114">
        <v>1</v>
      </c>
      <c r="I33" s="115">
        <f t="shared" si="1"/>
        <v>0.19</v>
      </c>
      <c r="J33" s="112"/>
      <c r="K33" s="112"/>
      <c r="L33" s="112"/>
      <c r="M33" s="46"/>
      <c r="N33" s="46"/>
      <c r="O33" s="164"/>
    </row>
    <row r="34" spans="1:15" x14ac:dyDescent="0.25">
      <c r="A34" s="166">
        <v>50</v>
      </c>
      <c r="B34" s="116" t="s">
        <v>189</v>
      </c>
      <c r="C34" s="116" t="s">
        <v>191</v>
      </c>
      <c r="D34" s="115">
        <v>0.19</v>
      </c>
      <c r="E34" s="114" t="s">
        <v>35</v>
      </c>
      <c r="F34" s="114">
        <v>1</v>
      </c>
      <c r="G34" s="114"/>
      <c r="H34" s="114">
        <v>1</v>
      </c>
      <c r="I34" s="115">
        <f t="shared" si="1"/>
        <v>0.19</v>
      </c>
      <c r="J34" s="112"/>
      <c r="K34" s="112"/>
      <c r="L34" s="112"/>
      <c r="M34" s="46"/>
      <c r="N34" s="46"/>
      <c r="O34" s="164"/>
    </row>
    <row r="35" spans="1:15" x14ac:dyDescent="0.25">
      <c r="A35" s="166">
        <v>60</v>
      </c>
      <c r="B35" s="116" t="s">
        <v>189</v>
      </c>
      <c r="C35" s="116" t="s">
        <v>192</v>
      </c>
      <c r="D35" s="115">
        <v>0.19</v>
      </c>
      <c r="E35" s="114" t="s">
        <v>35</v>
      </c>
      <c r="F35" s="114">
        <v>2</v>
      </c>
      <c r="G35" s="114"/>
      <c r="H35" s="114">
        <v>1</v>
      </c>
      <c r="I35" s="115">
        <f t="shared" si="1"/>
        <v>0.38</v>
      </c>
      <c r="J35" s="112"/>
      <c r="K35" s="112"/>
      <c r="L35" s="112"/>
      <c r="M35" s="46"/>
      <c r="N35" s="46"/>
      <c r="O35" s="164"/>
    </row>
    <row r="36" spans="1:15" x14ac:dyDescent="0.25">
      <c r="A36" s="166">
        <v>70</v>
      </c>
      <c r="B36" s="116" t="s">
        <v>193</v>
      </c>
      <c r="C36" s="116" t="s">
        <v>194</v>
      </c>
      <c r="D36" s="115">
        <v>0.5</v>
      </c>
      <c r="E36" s="114" t="s">
        <v>35</v>
      </c>
      <c r="F36" s="114">
        <v>4</v>
      </c>
      <c r="G36" s="114"/>
      <c r="H36" s="114">
        <v>1</v>
      </c>
      <c r="I36" s="115">
        <f t="shared" si="1"/>
        <v>2</v>
      </c>
      <c r="J36" s="112"/>
      <c r="K36" s="112"/>
      <c r="L36" s="112"/>
      <c r="M36" s="46"/>
      <c r="N36" s="46"/>
      <c r="O36" s="164"/>
    </row>
    <row r="37" spans="1:15" x14ac:dyDescent="0.25">
      <c r="A37" s="166">
        <v>80</v>
      </c>
      <c r="B37" s="116" t="s">
        <v>195</v>
      </c>
      <c r="C37" s="116" t="s">
        <v>194</v>
      </c>
      <c r="D37" s="115">
        <v>0.25</v>
      </c>
      <c r="E37" s="114" t="s">
        <v>35</v>
      </c>
      <c r="F37" s="114">
        <v>4</v>
      </c>
      <c r="G37" s="114"/>
      <c r="H37" s="114">
        <v>1</v>
      </c>
      <c r="I37" s="115">
        <f t="shared" si="1"/>
        <v>1</v>
      </c>
      <c r="J37" s="112"/>
      <c r="K37" s="112"/>
      <c r="L37" s="112"/>
      <c r="M37" s="46"/>
      <c r="N37" s="46"/>
      <c r="O37" s="164"/>
    </row>
    <row r="38" spans="1:15" x14ac:dyDescent="0.25">
      <c r="A38" s="166">
        <v>90</v>
      </c>
      <c r="B38" s="116" t="s">
        <v>196</v>
      </c>
      <c r="C38" s="116" t="s">
        <v>197</v>
      </c>
      <c r="D38" s="115">
        <v>0.38</v>
      </c>
      <c r="E38" s="114" t="s">
        <v>35</v>
      </c>
      <c r="F38" s="114">
        <v>2</v>
      </c>
      <c r="G38" s="114"/>
      <c r="H38" s="114">
        <v>1</v>
      </c>
      <c r="I38" s="115">
        <f t="shared" si="1"/>
        <v>0.76</v>
      </c>
      <c r="J38" s="112"/>
      <c r="K38" s="156"/>
      <c r="L38" s="156"/>
      <c r="M38" s="48"/>
      <c r="N38" s="48"/>
      <c r="O38" s="164"/>
    </row>
    <row r="39" spans="1:15" x14ac:dyDescent="0.25">
      <c r="A39" s="166">
        <v>100</v>
      </c>
      <c r="B39" s="116" t="s">
        <v>198</v>
      </c>
      <c r="C39" s="116" t="s">
        <v>199</v>
      </c>
      <c r="D39" s="115">
        <v>0.06</v>
      </c>
      <c r="E39" s="114" t="s">
        <v>35</v>
      </c>
      <c r="F39" s="114">
        <v>4</v>
      </c>
      <c r="G39" s="114"/>
      <c r="H39" s="114">
        <v>1</v>
      </c>
      <c r="I39" s="115">
        <f t="shared" si="1"/>
        <v>0.24</v>
      </c>
      <c r="J39" s="112"/>
      <c r="K39" s="112"/>
      <c r="L39" s="112"/>
      <c r="M39" s="48"/>
      <c r="N39" s="48"/>
      <c r="O39" s="164"/>
    </row>
    <row r="40" spans="1:15" s="16" customFormat="1" x14ac:dyDescent="0.25">
      <c r="A40" s="166">
        <v>110</v>
      </c>
      <c r="B40" s="116" t="s">
        <v>200</v>
      </c>
      <c r="C40" s="116" t="s">
        <v>201</v>
      </c>
      <c r="D40" s="115">
        <v>0.75</v>
      </c>
      <c r="E40" s="114" t="s">
        <v>35</v>
      </c>
      <c r="F40" s="114">
        <v>2</v>
      </c>
      <c r="G40" s="114"/>
      <c r="H40" s="114">
        <v>1</v>
      </c>
      <c r="I40" s="115">
        <f t="shared" si="1"/>
        <v>1.5</v>
      </c>
      <c r="J40" s="112"/>
      <c r="K40" s="112"/>
      <c r="L40" s="156"/>
      <c r="M40" s="47"/>
      <c r="N40" s="47"/>
      <c r="O40" s="171"/>
    </row>
    <row r="41" spans="1:15" x14ac:dyDescent="0.25">
      <c r="A41" s="166">
        <v>120</v>
      </c>
      <c r="B41" s="116" t="s">
        <v>202</v>
      </c>
      <c r="C41" s="116" t="s">
        <v>201</v>
      </c>
      <c r="D41" s="115">
        <v>0.25</v>
      </c>
      <c r="E41" s="114" t="s">
        <v>35</v>
      </c>
      <c r="F41" s="114">
        <v>2</v>
      </c>
      <c r="G41" s="114"/>
      <c r="H41" s="114">
        <v>1</v>
      </c>
      <c r="I41" s="115">
        <f t="shared" si="1"/>
        <v>0.5</v>
      </c>
      <c r="J41" s="112"/>
      <c r="K41" s="112"/>
      <c r="L41" s="112"/>
      <c r="M41" s="48"/>
      <c r="N41" s="48"/>
      <c r="O41" s="164"/>
    </row>
    <row r="42" spans="1:15" x14ac:dyDescent="0.25">
      <c r="A42" s="166">
        <v>130</v>
      </c>
      <c r="B42" s="116" t="s">
        <v>200</v>
      </c>
      <c r="C42" s="116" t="s">
        <v>203</v>
      </c>
      <c r="D42" s="115">
        <v>0.75</v>
      </c>
      <c r="E42" s="114" t="s">
        <v>35</v>
      </c>
      <c r="F42" s="114">
        <v>2</v>
      </c>
      <c r="G42" s="114"/>
      <c r="H42" s="114">
        <v>1</v>
      </c>
      <c r="I42" s="115">
        <f t="shared" si="1"/>
        <v>1.5</v>
      </c>
      <c r="J42" s="112"/>
      <c r="K42" s="112"/>
      <c r="L42" s="112"/>
      <c r="M42" s="46"/>
      <c r="N42" s="46"/>
      <c r="O42" s="164"/>
    </row>
    <row r="43" spans="1:15" x14ac:dyDescent="0.25">
      <c r="A43" s="166">
        <v>140</v>
      </c>
      <c r="B43" s="116" t="s">
        <v>202</v>
      </c>
      <c r="C43" s="116" t="s">
        <v>203</v>
      </c>
      <c r="D43" s="115">
        <v>0.25</v>
      </c>
      <c r="E43" s="114" t="s">
        <v>35</v>
      </c>
      <c r="F43" s="114">
        <v>2</v>
      </c>
      <c r="G43" s="114"/>
      <c r="H43" s="114">
        <v>1</v>
      </c>
      <c r="I43" s="115">
        <f t="shared" si="1"/>
        <v>0.5</v>
      </c>
      <c r="J43" s="112"/>
      <c r="K43" s="112"/>
      <c r="L43" s="112"/>
      <c r="M43" s="46"/>
      <c r="N43" s="46"/>
      <c r="O43" s="164"/>
    </row>
    <row r="44" spans="1:15" x14ac:dyDescent="0.25">
      <c r="A44" s="169"/>
      <c r="B44" s="19"/>
      <c r="C44" s="19"/>
      <c r="D44" s="19"/>
      <c r="E44" s="19"/>
      <c r="F44" s="19"/>
      <c r="G44" s="19"/>
      <c r="H44" s="97" t="s">
        <v>18</v>
      </c>
      <c r="I44" s="98">
        <f>SUM(I30:I43)</f>
        <v>18.402999999999999</v>
      </c>
      <c r="J44" s="46"/>
      <c r="K44" s="46"/>
      <c r="L44" s="46"/>
      <c r="M44" s="46"/>
      <c r="N44" s="46"/>
      <c r="O44" s="164"/>
    </row>
    <row r="45" spans="1:15" x14ac:dyDescent="0.25">
      <c r="A45" s="16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164"/>
    </row>
    <row r="46" spans="1:15" x14ac:dyDescent="0.25">
      <c r="A46" s="163" t="s">
        <v>14</v>
      </c>
      <c r="B46" s="96" t="s">
        <v>36</v>
      </c>
      <c r="C46" s="96" t="s">
        <v>20</v>
      </c>
      <c r="D46" s="96" t="s">
        <v>21</v>
      </c>
      <c r="E46" s="96" t="s">
        <v>22</v>
      </c>
      <c r="F46" s="96" t="s">
        <v>23</v>
      </c>
      <c r="G46" s="96" t="s">
        <v>24</v>
      </c>
      <c r="H46" s="96" t="s">
        <v>25</v>
      </c>
      <c r="I46" s="96" t="s">
        <v>17</v>
      </c>
      <c r="J46" s="96" t="s">
        <v>18</v>
      </c>
      <c r="K46" s="46"/>
      <c r="L46" s="46"/>
      <c r="M46" s="46"/>
      <c r="N46" s="46"/>
      <c r="O46" s="164"/>
    </row>
    <row r="47" spans="1:15" x14ac:dyDescent="0.25">
      <c r="A47" s="166">
        <v>10</v>
      </c>
      <c r="B47" s="114" t="s">
        <v>204</v>
      </c>
      <c r="C47" s="114" t="s">
        <v>205</v>
      </c>
      <c r="D47" s="157">
        <f>0.8/105154*E47*E47*G47*SQRT(G47)+(0.003*EXP(0.319*E47))</f>
        <v>0.5252420080501925</v>
      </c>
      <c r="E47" s="114">
        <v>12</v>
      </c>
      <c r="F47" s="158" t="s">
        <v>30</v>
      </c>
      <c r="G47" s="114">
        <v>50</v>
      </c>
      <c r="H47" s="116" t="s">
        <v>30</v>
      </c>
      <c r="I47" s="159">
        <v>2</v>
      </c>
      <c r="J47" s="115">
        <f t="shared" ref="J47:J55" si="2">D47*I47</f>
        <v>1.050484016100385</v>
      </c>
      <c r="K47" s="112"/>
      <c r="L47" s="112"/>
      <c r="M47" s="112"/>
      <c r="N47" s="46"/>
      <c r="O47" s="164"/>
    </row>
    <row r="48" spans="1:15" x14ac:dyDescent="0.25">
      <c r="A48" s="166">
        <v>20</v>
      </c>
      <c r="B48" s="114" t="s">
        <v>206</v>
      </c>
      <c r="C48" s="114" t="s">
        <v>205</v>
      </c>
      <c r="D48" s="157">
        <f>0.009*EXP(0.2*E48)</f>
        <v>9.920858742577443E-2</v>
      </c>
      <c r="E48" s="114">
        <v>12</v>
      </c>
      <c r="F48" s="158" t="s">
        <v>30</v>
      </c>
      <c r="G48" s="114"/>
      <c r="H48" s="116"/>
      <c r="I48" s="159">
        <v>2</v>
      </c>
      <c r="J48" s="115">
        <f t="shared" si="2"/>
        <v>0.19841717485154886</v>
      </c>
      <c r="K48" s="112"/>
      <c r="L48" s="112"/>
      <c r="M48" s="112"/>
      <c r="N48" s="46"/>
      <c r="O48" s="164"/>
    </row>
    <row r="49" spans="1:15" x14ac:dyDescent="0.25">
      <c r="A49" s="166">
        <v>30</v>
      </c>
      <c r="B49" s="114" t="s">
        <v>204</v>
      </c>
      <c r="C49" s="114" t="s">
        <v>207</v>
      </c>
      <c r="D49" s="157">
        <f>0.8/105154*E49*E49*G49*SQRT(G49)+(0.003*EXP(0.319*E49))</f>
        <v>0.11850487334396681</v>
      </c>
      <c r="E49" s="114">
        <v>8</v>
      </c>
      <c r="F49" s="158" t="s">
        <v>30</v>
      </c>
      <c r="G49" s="114">
        <v>30</v>
      </c>
      <c r="H49" s="116" t="s">
        <v>30</v>
      </c>
      <c r="I49" s="159">
        <v>2</v>
      </c>
      <c r="J49" s="115">
        <f t="shared" si="2"/>
        <v>0.23700974668793362</v>
      </c>
      <c r="K49" s="112"/>
      <c r="L49" s="156"/>
      <c r="M49" s="156"/>
      <c r="N49" s="46"/>
      <c r="O49" s="164"/>
    </row>
    <row r="50" spans="1:15" x14ac:dyDescent="0.25">
      <c r="A50" s="166">
        <v>40</v>
      </c>
      <c r="B50" s="114" t="s">
        <v>206</v>
      </c>
      <c r="C50" s="114" t="s">
        <v>207</v>
      </c>
      <c r="D50" s="157">
        <f>0.009*EXP(0.2*E50)</f>
        <v>4.4577291819556032E-2</v>
      </c>
      <c r="E50" s="114">
        <v>8</v>
      </c>
      <c r="F50" s="158" t="s">
        <v>30</v>
      </c>
      <c r="G50" s="114"/>
      <c r="H50" s="116"/>
      <c r="I50" s="159">
        <v>2</v>
      </c>
      <c r="J50" s="115">
        <f t="shared" si="2"/>
        <v>8.9154583639112064E-2</v>
      </c>
      <c r="K50" s="112"/>
      <c r="L50" s="112"/>
      <c r="M50" s="112"/>
      <c r="N50" s="46"/>
      <c r="O50" s="164"/>
    </row>
    <row r="51" spans="1:15" x14ac:dyDescent="0.25">
      <c r="A51" s="166">
        <v>50</v>
      </c>
      <c r="B51" s="114" t="s">
        <v>208</v>
      </c>
      <c r="C51" s="114" t="s">
        <v>209</v>
      </c>
      <c r="D51" s="157">
        <v>0.01</v>
      </c>
      <c r="E51" s="114"/>
      <c r="F51" s="158" t="s">
        <v>35</v>
      </c>
      <c r="G51" s="114"/>
      <c r="H51" s="116"/>
      <c r="I51" s="159">
        <v>4</v>
      </c>
      <c r="J51" s="115">
        <f t="shared" si="2"/>
        <v>0.04</v>
      </c>
      <c r="K51" s="112"/>
      <c r="L51" s="112"/>
      <c r="M51" s="112"/>
      <c r="N51" s="46"/>
      <c r="O51" s="164"/>
    </row>
    <row r="52" spans="1:15" x14ac:dyDescent="0.25">
      <c r="A52" s="166">
        <v>60</v>
      </c>
      <c r="B52" s="114" t="s">
        <v>204</v>
      </c>
      <c r="C52" s="114" t="s">
        <v>210</v>
      </c>
      <c r="D52" s="157">
        <f>0.8/105154*E52*E52*G52*SQRT(G52)+(0.003*EXP(0.319*E52))</f>
        <v>0.11850487334396681</v>
      </c>
      <c r="E52" s="114">
        <v>8</v>
      </c>
      <c r="F52" s="158" t="s">
        <v>30</v>
      </c>
      <c r="G52" s="114">
        <v>30</v>
      </c>
      <c r="H52" s="116" t="s">
        <v>30</v>
      </c>
      <c r="I52" s="159">
        <v>2</v>
      </c>
      <c r="J52" s="115">
        <f t="shared" si="2"/>
        <v>0.23700974668793362</v>
      </c>
      <c r="K52" s="112"/>
      <c r="L52" s="112"/>
      <c r="M52" s="112"/>
      <c r="N52" s="46"/>
      <c r="O52" s="164"/>
    </row>
    <row r="53" spans="1:15" x14ac:dyDescent="0.25">
      <c r="A53" s="166">
        <v>70</v>
      </c>
      <c r="B53" s="114" t="s">
        <v>206</v>
      </c>
      <c r="C53" s="114" t="s">
        <v>210</v>
      </c>
      <c r="D53" s="157">
        <f>0.009*EXP(0.2*E53)</f>
        <v>4.4577291819556032E-2</v>
      </c>
      <c r="E53" s="114">
        <v>8</v>
      </c>
      <c r="F53" s="158" t="s">
        <v>30</v>
      </c>
      <c r="G53" s="114"/>
      <c r="H53" s="116"/>
      <c r="I53" s="159">
        <v>2</v>
      </c>
      <c r="J53" s="115">
        <f t="shared" si="2"/>
        <v>8.9154583639112064E-2</v>
      </c>
      <c r="K53" s="112"/>
      <c r="L53" s="112"/>
      <c r="M53" s="112"/>
      <c r="N53" s="46"/>
      <c r="O53" s="164"/>
    </row>
    <row r="54" spans="1:15" x14ac:dyDescent="0.25">
      <c r="A54" s="166">
        <v>80</v>
      </c>
      <c r="B54" s="114" t="s">
        <v>204</v>
      </c>
      <c r="C54" s="114" t="s">
        <v>211</v>
      </c>
      <c r="D54" s="157">
        <f>0.8/105154*E54*E54*G54*SQRT(G54)+(0.003*EXP(0.319*E54))</f>
        <v>0.11850487334396681</v>
      </c>
      <c r="E54" s="114">
        <v>8</v>
      </c>
      <c r="F54" s="158" t="s">
        <v>30</v>
      </c>
      <c r="G54" s="114">
        <v>30</v>
      </c>
      <c r="H54" s="116" t="s">
        <v>30</v>
      </c>
      <c r="I54" s="159">
        <v>2</v>
      </c>
      <c r="J54" s="115">
        <f t="shared" si="2"/>
        <v>0.23700974668793362</v>
      </c>
      <c r="K54" s="112"/>
      <c r="L54" s="112"/>
      <c r="M54" s="112"/>
      <c r="N54" s="46"/>
      <c r="O54" s="164"/>
    </row>
    <row r="55" spans="1:15" x14ac:dyDescent="0.25">
      <c r="A55" s="166">
        <v>90</v>
      </c>
      <c r="B55" s="114" t="s">
        <v>206</v>
      </c>
      <c r="C55" s="114" t="s">
        <v>211</v>
      </c>
      <c r="D55" s="157">
        <f>0.009*EXP(0.2*E55)</f>
        <v>4.4577291819556032E-2</v>
      </c>
      <c r="E55" s="114">
        <v>8</v>
      </c>
      <c r="F55" s="158" t="s">
        <v>30</v>
      </c>
      <c r="G55" s="114"/>
      <c r="H55" s="116"/>
      <c r="I55" s="159">
        <v>2</v>
      </c>
      <c r="J55" s="115">
        <f t="shared" si="2"/>
        <v>8.9154583639112064E-2</v>
      </c>
      <c r="K55" s="156"/>
      <c r="L55" s="112"/>
      <c r="M55" s="112"/>
      <c r="N55" s="46"/>
      <c r="O55" s="164"/>
    </row>
    <row r="56" spans="1:15" x14ac:dyDescent="0.25">
      <c r="A56" s="169"/>
      <c r="B56" s="19"/>
      <c r="C56" s="19"/>
      <c r="D56" s="19"/>
      <c r="E56" s="19"/>
      <c r="F56" s="19"/>
      <c r="G56" s="19"/>
      <c r="H56" s="19"/>
      <c r="I56" s="97" t="s">
        <v>18</v>
      </c>
      <c r="J56" s="98">
        <f>SUM(J47:J55)</f>
        <v>2.2673941819330707</v>
      </c>
      <c r="K56" s="46"/>
      <c r="L56" s="46"/>
      <c r="M56" s="46"/>
      <c r="N56" s="46"/>
      <c r="O56" s="164"/>
    </row>
    <row r="57" spans="1:15" x14ac:dyDescent="0.25">
      <c r="A57" s="16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164"/>
    </row>
    <row r="58" spans="1:15" x14ac:dyDescent="0.25">
      <c r="A58" s="163" t="s">
        <v>14</v>
      </c>
      <c r="B58" s="96" t="s">
        <v>37</v>
      </c>
      <c r="C58" s="96" t="s">
        <v>20</v>
      </c>
      <c r="D58" s="96" t="s">
        <v>21</v>
      </c>
      <c r="E58" s="96" t="s">
        <v>32</v>
      </c>
      <c r="F58" s="96" t="s">
        <v>17</v>
      </c>
      <c r="G58" s="96" t="s">
        <v>38</v>
      </c>
      <c r="H58" s="96" t="s">
        <v>39</v>
      </c>
      <c r="I58" s="96" t="s">
        <v>18</v>
      </c>
      <c r="J58" s="19"/>
      <c r="K58" s="46"/>
      <c r="L58" s="46"/>
      <c r="M58" s="46"/>
      <c r="N58" s="46"/>
      <c r="O58" s="164"/>
    </row>
    <row r="59" spans="1:15" x14ac:dyDescent="0.25">
      <c r="A59" s="172">
        <v>10</v>
      </c>
      <c r="B59" s="61" t="s">
        <v>40</v>
      </c>
      <c r="C59" s="61" t="s">
        <v>41</v>
      </c>
      <c r="D59" s="62">
        <v>500</v>
      </c>
      <c r="E59" s="61" t="s">
        <v>42</v>
      </c>
      <c r="F59" s="61">
        <v>30</v>
      </c>
      <c r="G59" s="61">
        <v>3000</v>
      </c>
      <c r="H59" s="61">
        <v>1</v>
      </c>
      <c r="I59" s="62">
        <f>D59*F59/G59*H59</f>
        <v>5</v>
      </c>
      <c r="J59" s="19"/>
      <c r="K59" s="46"/>
      <c r="L59" s="46"/>
      <c r="M59" s="46"/>
      <c r="N59" s="46"/>
      <c r="O59" s="164"/>
    </row>
    <row r="60" spans="1:15" x14ac:dyDescent="0.25">
      <c r="A60" s="169"/>
      <c r="B60" s="19"/>
      <c r="C60" s="19"/>
      <c r="D60" s="19"/>
      <c r="E60" s="19"/>
      <c r="F60" s="19"/>
      <c r="G60" s="19"/>
      <c r="H60" s="100" t="s">
        <v>18</v>
      </c>
      <c r="I60" s="101">
        <f>SUM(I59:I59)</f>
        <v>5</v>
      </c>
      <c r="J60" s="19"/>
      <c r="K60" s="46"/>
      <c r="L60" s="46"/>
      <c r="M60" s="46"/>
      <c r="N60" s="46"/>
      <c r="O60" s="164"/>
    </row>
    <row r="61" spans="1:15" ht="15.75" thickBot="1" x14ac:dyDescent="0.3">
      <c r="A61" s="173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5"/>
    </row>
    <row r="62" spans="1:15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</sheetData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Q27" sqref="Q27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5" x14ac:dyDescent="0.25">
      <c r="A2" s="102" t="s">
        <v>0</v>
      </c>
      <c r="B2" s="127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EN_0900_001_m+EN_0900_001_p+EN_0900_001_f</f>
        <v>112.52931553333677</v>
      </c>
      <c r="O2" s="52"/>
    </row>
    <row r="3" spans="1:15" x14ac:dyDescent="0.25">
      <c r="A3" s="102" t="s">
        <v>3</v>
      </c>
      <c r="B3" s="127" t="s">
        <v>135</v>
      </c>
      <c r="C3" s="46"/>
      <c r="D3" s="102" t="s">
        <v>6</v>
      </c>
      <c r="E3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52"/>
    </row>
    <row r="4" spans="1:15" x14ac:dyDescent="0.25">
      <c r="A4" s="102" t="s">
        <v>5</v>
      </c>
      <c r="B4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52"/>
    </row>
    <row r="5" spans="1:15" x14ac:dyDescent="0.25">
      <c r="A5" s="102" t="s">
        <v>15</v>
      </c>
      <c r="B5" s="112" t="s">
        <v>138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112.52931553333677</v>
      </c>
      <c r="O5" s="52"/>
    </row>
    <row r="6" spans="1:15" x14ac:dyDescent="0.25">
      <c r="A6" s="102" t="s">
        <v>7</v>
      </c>
      <c r="B6" s="128" t="s">
        <v>159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52"/>
    </row>
    <row r="7" spans="1:15" x14ac:dyDescent="0.25">
      <c r="A7" s="102" t="s">
        <v>10</v>
      </c>
      <c r="B7" s="127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52"/>
    </row>
    <row r="8" spans="1:15" x14ac:dyDescent="0.25">
      <c r="A8" s="102" t="s">
        <v>13</v>
      </c>
      <c r="B8" s="112" t="s">
        <v>154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52"/>
    </row>
    <row r="9" spans="1:15" x14ac:dyDescent="0.25">
      <c r="A9" s="6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52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09" t="s">
        <v>23</v>
      </c>
      <c r="G10" s="109" t="s">
        <v>24</v>
      </c>
      <c r="H10" s="109" t="s">
        <v>25</v>
      </c>
      <c r="I10" s="109" t="s">
        <v>26</v>
      </c>
      <c r="J10" s="109" t="s">
        <v>27</v>
      </c>
      <c r="K10" s="109" t="s">
        <v>28</v>
      </c>
      <c r="L10" s="109" t="s">
        <v>29</v>
      </c>
      <c r="M10" s="109" t="s">
        <v>17</v>
      </c>
      <c r="N10" s="109" t="s">
        <v>18</v>
      </c>
      <c r="O10" s="52"/>
    </row>
    <row r="11" spans="1:15" s="17" customFormat="1" x14ac:dyDescent="0.25">
      <c r="A11" s="139">
        <v>10</v>
      </c>
      <c r="B11" s="140" t="s">
        <v>155</v>
      </c>
      <c r="C11" s="140"/>
      <c r="D11" s="141">
        <v>4.2</v>
      </c>
      <c r="E11" s="142">
        <f>J11*K11*L11</f>
        <v>1.905804558171124</v>
      </c>
      <c r="F11" s="140" t="s">
        <v>156</v>
      </c>
      <c r="G11" s="140"/>
      <c r="H11" s="143"/>
      <c r="I11" s="144" t="s">
        <v>157</v>
      </c>
      <c r="J11" s="144">
        <f>PI()*51*51/1000000</f>
        <v>8.171282491987052E-3</v>
      </c>
      <c r="K11" s="145">
        <v>8.5999999999999993E-2</v>
      </c>
      <c r="L11" s="146">
        <v>2712</v>
      </c>
      <c r="M11" s="146">
        <v>1</v>
      </c>
      <c r="N11" s="141">
        <f>D11*J11*K11*L11*M11</f>
        <v>8.0043791443187207</v>
      </c>
      <c r="O11" s="55"/>
    </row>
    <row r="12" spans="1:15" s="17" customFormat="1" x14ac:dyDescent="0.25">
      <c r="A12" s="139">
        <v>20</v>
      </c>
      <c r="B12" s="140" t="s">
        <v>155</v>
      </c>
      <c r="C12" s="140"/>
      <c r="D12" s="141">
        <v>4.2</v>
      </c>
      <c r="E12" s="142">
        <f>J12*K12*L12</f>
        <v>1.3961126414509397</v>
      </c>
      <c r="F12" s="140" t="s">
        <v>156</v>
      </c>
      <c r="G12" s="140"/>
      <c r="H12" s="143"/>
      <c r="I12" s="144" t="s">
        <v>157</v>
      </c>
      <c r="J12" s="144">
        <f>PI()*51*51/1000000</f>
        <v>8.171282491987052E-3</v>
      </c>
      <c r="K12" s="145">
        <v>6.3E-2</v>
      </c>
      <c r="L12" s="146">
        <v>2712</v>
      </c>
      <c r="M12" s="146">
        <v>1</v>
      </c>
      <c r="N12" s="141">
        <f>D12*J12*K12*L12*M12</f>
        <v>5.8636730940939472</v>
      </c>
      <c r="O12" s="55"/>
    </row>
    <row r="13" spans="1:15" s="17" customFormat="1" x14ac:dyDescent="0.25">
      <c r="A13" s="139">
        <v>30</v>
      </c>
      <c r="B13" s="140" t="s">
        <v>155</v>
      </c>
      <c r="C13" s="140"/>
      <c r="D13" s="141">
        <v>4.2</v>
      </c>
      <c r="E13" s="142">
        <f>J13*K13*L13</f>
        <v>1.7728414494615108</v>
      </c>
      <c r="F13" s="140" t="s">
        <v>156</v>
      </c>
      <c r="G13" s="140"/>
      <c r="H13" s="143"/>
      <c r="I13" s="147" t="s">
        <v>157</v>
      </c>
      <c r="J13" s="144">
        <f>PI()*51*51/1000000</f>
        <v>8.171282491987052E-3</v>
      </c>
      <c r="K13" s="145">
        <v>0.08</v>
      </c>
      <c r="L13" s="146">
        <v>2712</v>
      </c>
      <c r="M13" s="146">
        <v>1</v>
      </c>
      <c r="N13" s="141">
        <f>D13*J13*K13*L13*M13</f>
        <v>7.4459340877383466</v>
      </c>
      <c r="O13" s="55"/>
    </row>
    <row r="14" spans="1:15" s="17" customFormat="1" x14ac:dyDescent="0.25">
      <c r="A14" s="139">
        <v>40</v>
      </c>
      <c r="B14" s="140" t="s">
        <v>158</v>
      </c>
      <c r="C14" s="140"/>
      <c r="D14" s="141">
        <v>0.05</v>
      </c>
      <c r="E14" s="140"/>
      <c r="F14" s="140" t="s">
        <v>35</v>
      </c>
      <c r="G14" s="140"/>
      <c r="H14" s="143"/>
      <c r="I14" s="147"/>
      <c r="J14" s="148"/>
      <c r="K14" s="145"/>
      <c r="L14" s="146"/>
      <c r="M14" s="146">
        <v>2</v>
      </c>
      <c r="N14" s="141">
        <f>M14*D14</f>
        <v>0.1</v>
      </c>
      <c r="O14" s="55"/>
    </row>
    <row r="15" spans="1:15" s="17" customFormat="1" x14ac:dyDescent="0.25">
      <c r="A15" s="129"/>
      <c r="B15" s="130"/>
      <c r="C15" s="131"/>
      <c r="D15" s="132"/>
      <c r="E15" s="131"/>
      <c r="F15" s="131"/>
      <c r="G15" s="131"/>
      <c r="H15" s="133"/>
      <c r="I15" s="134"/>
      <c r="J15" s="135"/>
      <c r="K15" s="136"/>
      <c r="L15" s="137"/>
      <c r="M15" s="18"/>
      <c r="N15" s="138"/>
      <c r="O15" s="55"/>
    </row>
    <row r="16" spans="1:15" x14ac:dyDescent="0.25">
      <c r="A16" s="5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5" t="s">
        <v>18</v>
      </c>
      <c r="N16" s="106">
        <f>SUM(N11:N11)</f>
        <v>8.0043791443187207</v>
      </c>
      <c r="O16" s="52"/>
    </row>
    <row r="17" spans="1:15" x14ac:dyDescent="0.25">
      <c r="A17" s="5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52"/>
    </row>
    <row r="18" spans="1:15" x14ac:dyDescent="0.25">
      <c r="A18" s="110" t="s">
        <v>14</v>
      </c>
      <c r="B18" s="109" t="s">
        <v>31</v>
      </c>
      <c r="C18" s="109" t="s">
        <v>20</v>
      </c>
      <c r="D18" s="109" t="s">
        <v>21</v>
      </c>
      <c r="E18" s="109" t="s">
        <v>32</v>
      </c>
      <c r="F18" s="109" t="s">
        <v>17</v>
      </c>
      <c r="G18" s="109" t="s">
        <v>33</v>
      </c>
      <c r="H18" s="109" t="s">
        <v>34</v>
      </c>
      <c r="I18" s="109" t="s">
        <v>18</v>
      </c>
      <c r="J18" s="19"/>
      <c r="K18" s="19"/>
      <c r="L18" s="19"/>
      <c r="M18" s="19"/>
      <c r="N18" s="19"/>
      <c r="O18" s="52"/>
    </row>
    <row r="19" spans="1:15" s="20" customFormat="1" x14ac:dyDescent="0.25">
      <c r="A19" s="139">
        <v>10</v>
      </c>
      <c r="B19" s="149" t="s">
        <v>44</v>
      </c>
      <c r="C19" s="140" t="s">
        <v>161</v>
      </c>
      <c r="D19" s="141">
        <v>1.3</v>
      </c>
      <c r="E19" s="140" t="s">
        <v>35</v>
      </c>
      <c r="F19" s="140">
        <v>1</v>
      </c>
      <c r="G19" s="140"/>
      <c r="H19" s="140">
        <v>1</v>
      </c>
      <c r="I19" s="150">
        <f t="shared" ref="I19:I32" si="0">H19*F19*D19</f>
        <v>1.3</v>
      </c>
      <c r="J19" s="48"/>
      <c r="K19" s="48"/>
      <c r="L19" s="48"/>
      <c r="M19" s="48"/>
      <c r="N19" s="48"/>
      <c r="O19" s="57"/>
    </row>
    <row r="20" spans="1:15" s="20" customFormat="1" x14ac:dyDescent="0.25">
      <c r="A20" s="139">
        <v>20</v>
      </c>
      <c r="B20" s="149" t="s">
        <v>162</v>
      </c>
      <c r="C20" s="140" t="s">
        <v>162</v>
      </c>
      <c r="D20" s="141">
        <v>0.04</v>
      </c>
      <c r="E20" s="140" t="s">
        <v>163</v>
      </c>
      <c r="F20" s="140">
        <v>623</v>
      </c>
      <c r="G20" s="140" t="s">
        <v>164</v>
      </c>
      <c r="H20" s="140">
        <v>1</v>
      </c>
      <c r="I20" s="150">
        <f t="shared" si="0"/>
        <v>24.92</v>
      </c>
      <c r="J20" s="48"/>
      <c r="K20" s="48"/>
      <c r="L20" s="48"/>
      <c r="M20" s="48"/>
      <c r="N20" s="48"/>
      <c r="O20" s="57"/>
    </row>
    <row r="21" spans="1:15" s="20" customFormat="1" x14ac:dyDescent="0.25">
      <c r="A21" s="139">
        <v>30</v>
      </c>
      <c r="B21" s="149" t="s">
        <v>165</v>
      </c>
      <c r="C21" s="140" t="s">
        <v>166</v>
      </c>
      <c r="D21" s="141">
        <v>0.35</v>
      </c>
      <c r="E21" s="140" t="s">
        <v>167</v>
      </c>
      <c r="F21" s="140">
        <v>24</v>
      </c>
      <c r="G21" s="140"/>
      <c r="H21" s="140">
        <v>1</v>
      </c>
      <c r="I21" s="150">
        <f t="shared" si="0"/>
        <v>8.3999999999999986</v>
      </c>
      <c r="J21" s="48"/>
      <c r="K21" s="48"/>
      <c r="L21" s="48"/>
      <c r="M21" s="48"/>
      <c r="N21" s="48"/>
      <c r="O21" s="57"/>
    </row>
    <row r="22" spans="1:15" s="20" customFormat="1" x14ac:dyDescent="0.25">
      <c r="A22" s="139">
        <v>40</v>
      </c>
      <c r="B22" s="149" t="s">
        <v>165</v>
      </c>
      <c r="C22" s="140" t="s">
        <v>168</v>
      </c>
      <c r="D22" s="141">
        <v>0.35</v>
      </c>
      <c r="E22" s="140" t="s">
        <v>167</v>
      </c>
      <c r="F22" s="140">
        <v>3</v>
      </c>
      <c r="G22" s="140"/>
      <c r="H22" s="140">
        <v>1</v>
      </c>
      <c r="I22" s="150">
        <f t="shared" si="0"/>
        <v>1.0499999999999998</v>
      </c>
      <c r="J22" s="48"/>
      <c r="K22" s="48"/>
      <c r="L22" s="48"/>
      <c r="M22" s="48"/>
      <c r="N22" s="48"/>
      <c r="O22" s="57"/>
    </row>
    <row r="23" spans="1:15" s="20" customFormat="1" x14ac:dyDescent="0.25">
      <c r="A23" s="139">
        <v>50</v>
      </c>
      <c r="B23" s="149" t="s">
        <v>44</v>
      </c>
      <c r="C23" s="140" t="s">
        <v>161</v>
      </c>
      <c r="D23" s="141">
        <v>1.3</v>
      </c>
      <c r="E23" s="140" t="s">
        <v>35</v>
      </c>
      <c r="F23" s="140">
        <v>1</v>
      </c>
      <c r="G23" s="140"/>
      <c r="H23" s="140">
        <v>1</v>
      </c>
      <c r="I23" s="150">
        <f t="shared" si="0"/>
        <v>1.3</v>
      </c>
      <c r="J23" s="48"/>
      <c r="K23" s="48"/>
      <c r="L23" s="48"/>
      <c r="M23" s="48"/>
      <c r="N23" s="48"/>
      <c r="O23" s="57"/>
    </row>
    <row r="24" spans="1:15" s="20" customFormat="1" x14ac:dyDescent="0.25">
      <c r="A24" s="139">
        <v>60</v>
      </c>
      <c r="B24" s="149" t="s">
        <v>162</v>
      </c>
      <c r="C24" s="140" t="s">
        <v>162</v>
      </c>
      <c r="D24" s="141">
        <v>0.04</v>
      </c>
      <c r="E24" s="140" t="s">
        <v>163</v>
      </c>
      <c r="F24" s="140">
        <v>426</v>
      </c>
      <c r="G24" s="140" t="s">
        <v>164</v>
      </c>
      <c r="H24" s="140">
        <v>1</v>
      </c>
      <c r="I24" s="150">
        <f t="shared" si="0"/>
        <v>17.04</v>
      </c>
      <c r="J24" s="48"/>
      <c r="K24" s="48"/>
      <c r="L24" s="48"/>
      <c r="M24" s="48"/>
      <c r="N24" s="48"/>
      <c r="O24" s="57"/>
    </row>
    <row r="25" spans="1:15" s="20" customFormat="1" x14ac:dyDescent="0.25">
      <c r="A25" s="139">
        <v>70</v>
      </c>
      <c r="B25" s="151" t="s">
        <v>169</v>
      </c>
      <c r="C25" s="140" t="s">
        <v>170</v>
      </c>
      <c r="D25" s="141">
        <v>0.35</v>
      </c>
      <c r="E25" s="140" t="s">
        <v>167</v>
      </c>
      <c r="F25" s="140">
        <v>12</v>
      </c>
      <c r="G25" s="140"/>
      <c r="H25" s="140">
        <v>1</v>
      </c>
      <c r="I25" s="150">
        <f t="shared" si="0"/>
        <v>4.1999999999999993</v>
      </c>
      <c r="J25" s="48"/>
      <c r="K25" s="48"/>
      <c r="L25" s="48"/>
      <c r="M25" s="48"/>
      <c r="N25" s="48"/>
      <c r="O25" s="57"/>
    </row>
    <row r="26" spans="1:15" s="20" customFormat="1" x14ac:dyDescent="0.25">
      <c r="A26" s="139">
        <v>80</v>
      </c>
      <c r="B26" s="151" t="s">
        <v>171</v>
      </c>
      <c r="C26" s="140" t="s">
        <v>172</v>
      </c>
      <c r="D26" s="141">
        <v>0.5</v>
      </c>
      <c r="E26" s="140" t="s">
        <v>46</v>
      </c>
      <c r="F26" s="140">
        <v>3.5</v>
      </c>
      <c r="G26" s="140"/>
      <c r="H26" s="140">
        <v>1</v>
      </c>
      <c r="I26" s="150">
        <f t="shared" si="0"/>
        <v>1.75</v>
      </c>
      <c r="J26" s="48"/>
      <c r="K26" s="48"/>
      <c r="L26" s="48"/>
      <c r="M26" s="48"/>
      <c r="N26" s="48"/>
      <c r="O26" s="57"/>
    </row>
    <row r="27" spans="1:15" s="20" customFormat="1" x14ac:dyDescent="0.25">
      <c r="A27" s="139">
        <v>90</v>
      </c>
      <c r="B27" s="149" t="s">
        <v>44</v>
      </c>
      <c r="C27" s="140" t="s">
        <v>161</v>
      </c>
      <c r="D27" s="141">
        <v>1.3</v>
      </c>
      <c r="E27" s="140" t="s">
        <v>35</v>
      </c>
      <c r="F27" s="140">
        <v>1</v>
      </c>
      <c r="G27" s="140"/>
      <c r="H27" s="140">
        <v>1</v>
      </c>
      <c r="I27" s="150">
        <f t="shared" si="0"/>
        <v>1.3</v>
      </c>
      <c r="J27" s="48"/>
      <c r="K27" s="48"/>
      <c r="L27" s="48"/>
      <c r="M27" s="48"/>
      <c r="N27" s="48"/>
      <c r="O27" s="57"/>
    </row>
    <row r="28" spans="1:15" s="20" customFormat="1" x14ac:dyDescent="0.25">
      <c r="A28" s="139">
        <v>100</v>
      </c>
      <c r="B28" s="149" t="s">
        <v>162</v>
      </c>
      <c r="C28" s="140" t="s">
        <v>162</v>
      </c>
      <c r="D28" s="141">
        <v>0.04</v>
      </c>
      <c r="E28" s="140" t="s">
        <v>163</v>
      </c>
      <c r="F28" s="140">
        <v>538</v>
      </c>
      <c r="G28" s="140" t="s">
        <v>164</v>
      </c>
      <c r="H28" s="140">
        <v>1</v>
      </c>
      <c r="I28" s="150">
        <f t="shared" si="0"/>
        <v>21.52</v>
      </c>
      <c r="J28" s="48"/>
      <c r="K28" s="48"/>
      <c r="L28" s="48"/>
      <c r="M28" s="48"/>
      <c r="N28" s="48"/>
      <c r="O28" s="57"/>
    </row>
    <row r="29" spans="1:15" s="20" customFormat="1" x14ac:dyDescent="0.25">
      <c r="A29" s="139">
        <v>110</v>
      </c>
      <c r="B29" s="151" t="s">
        <v>169</v>
      </c>
      <c r="C29" s="140" t="s">
        <v>173</v>
      </c>
      <c r="D29" s="141">
        <v>0.35</v>
      </c>
      <c r="E29" s="140" t="s">
        <v>167</v>
      </c>
      <c r="F29" s="140">
        <v>12</v>
      </c>
      <c r="G29" s="140"/>
      <c r="H29" s="140">
        <v>1</v>
      </c>
      <c r="I29" s="150">
        <f t="shared" si="0"/>
        <v>4.1999999999999993</v>
      </c>
      <c r="J29" s="48"/>
      <c r="K29" s="48"/>
      <c r="L29" s="48"/>
      <c r="M29" s="48"/>
      <c r="N29" s="48"/>
      <c r="O29" s="57"/>
    </row>
    <row r="30" spans="1:15" s="20" customFormat="1" x14ac:dyDescent="0.25">
      <c r="A30" s="139">
        <v>120</v>
      </c>
      <c r="B30" s="151" t="s">
        <v>174</v>
      </c>
      <c r="C30" s="140" t="s">
        <v>175</v>
      </c>
      <c r="D30" s="141">
        <v>0.13</v>
      </c>
      <c r="E30" s="140" t="s">
        <v>35</v>
      </c>
      <c r="F30" s="140">
        <v>2</v>
      </c>
      <c r="G30" s="140"/>
      <c r="H30" s="140">
        <v>1</v>
      </c>
      <c r="I30" s="150">
        <f t="shared" si="0"/>
        <v>0.26</v>
      </c>
      <c r="J30" s="48"/>
      <c r="K30" s="48"/>
      <c r="L30" s="48"/>
      <c r="M30" s="48"/>
      <c r="N30" s="48"/>
      <c r="O30" s="57"/>
    </row>
    <row r="31" spans="1:15" x14ac:dyDescent="0.25">
      <c r="A31" s="139">
        <v>130</v>
      </c>
      <c r="B31" s="151" t="s">
        <v>176</v>
      </c>
      <c r="C31" s="140" t="s">
        <v>175</v>
      </c>
      <c r="D31" s="141">
        <v>0.5</v>
      </c>
      <c r="E31" s="140" t="s">
        <v>35</v>
      </c>
      <c r="F31" s="140">
        <v>24</v>
      </c>
      <c r="G31" s="140"/>
      <c r="H31" s="140">
        <v>1</v>
      </c>
      <c r="I31" s="150">
        <f t="shared" si="0"/>
        <v>12</v>
      </c>
      <c r="J31" s="46"/>
      <c r="L31" s="46"/>
      <c r="M31" s="46"/>
      <c r="N31" s="46"/>
      <c r="O31" s="52"/>
    </row>
    <row r="32" spans="1:15" s="16" customFormat="1" x14ac:dyDescent="0.25">
      <c r="A32" s="139">
        <v>140</v>
      </c>
      <c r="B32" s="151" t="s">
        <v>177</v>
      </c>
      <c r="C32" s="140" t="s">
        <v>178</v>
      </c>
      <c r="D32" s="141">
        <v>0.75</v>
      </c>
      <c r="E32" s="140" t="s">
        <v>35</v>
      </c>
      <c r="F32" s="140">
        <v>3</v>
      </c>
      <c r="G32" s="140"/>
      <c r="H32" s="140">
        <v>1</v>
      </c>
      <c r="I32" s="150">
        <f t="shared" si="0"/>
        <v>2.25</v>
      </c>
      <c r="J32" s="47"/>
      <c r="K32" s="47"/>
      <c r="L32" s="47"/>
      <c r="M32" s="47"/>
      <c r="N32" s="47"/>
      <c r="O32" s="54"/>
    </row>
    <row r="33" spans="1:15" x14ac:dyDescent="0.25">
      <c r="A33" s="56"/>
      <c r="B33" s="19"/>
      <c r="C33" s="19"/>
      <c r="D33" s="19"/>
      <c r="E33" s="19"/>
      <c r="F33" s="19"/>
      <c r="G33" s="19"/>
      <c r="H33" s="111" t="s">
        <v>18</v>
      </c>
      <c r="I33" s="106">
        <f>SUM(I19:I32)</f>
        <v>101.49</v>
      </c>
      <c r="J33" s="19"/>
      <c r="K33" s="19"/>
      <c r="L33" s="19"/>
      <c r="M33" s="19"/>
      <c r="N33" s="19"/>
      <c r="O33" s="52"/>
    </row>
    <row r="34" spans="1:15" x14ac:dyDescent="0.25">
      <c r="A34" s="53"/>
      <c r="B34" s="46"/>
      <c r="C34" s="46"/>
      <c r="D34" s="46"/>
      <c r="E34" s="46"/>
      <c r="F34" s="46"/>
      <c r="G34" s="46"/>
      <c r="H34" s="46"/>
      <c r="I34" s="47"/>
      <c r="J34" s="46"/>
      <c r="K34" s="46"/>
      <c r="L34" s="46"/>
      <c r="M34" s="46"/>
      <c r="N34" s="46"/>
      <c r="O34" s="52"/>
    </row>
    <row r="35" spans="1:15" x14ac:dyDescent="0.25">
      <c r="A35" s="110" t="s">
        <v>14</v>
      </c>
      <c r="B35" s="109" t="s">
        <v>36</v>
      </c>
      <c r="C35" s="109" t="s">
        <v>20</v>
      </c>
      <c r="D35" s="109" t="s">
        <v>21</v>
      </c>
      <c r="E35" s="109" t="s">
        <v>22</v>
      </c>
      <c r="F35" s="109" t="s">
        <v>23</v>
      </c>
      <c r="G35" s="109" t="s">
        <v>24</v>
      </c>
      <c r="H35" s="109" t="s">
        <v>25</v>
      </c>
      <c r="I35" s="109" t="s">
        <v>17</v>
      </c>
      <c r="J35" s="109" t="s">
        <v>18</v>
      </c>
      <c r="K35" s="46"/>
      <c r="L35" s="46"/>
      <c r="M35" s="46"/>
      <c r="N35" s="46"/>
      <c r="O35" s="52"/>
    </row>
    <row r="36" spans="1:15" x14ac:dyDescent="0.25">
      <c r="A36" s="149">
        <v>10</v>
      </c>
      <c r="B36" s="126" t="s">
        <v>179</v>
      </c>
      <c r="C36" s="149" t="s">
        <v>180</v>
      </c>
      <c r="D36" s="152">
        <f>1.25/105154*E36*E36*G36*SQRT(G36)+0.005*EXP(0.319*E36)</f>
        <v>5.6317842209943889E-2</v>
      </c>
      <c r="E36" s="149">
        <v>6</v>
      </c>
      <c r="F36" s="153" t="s">
        <v>30</v>
      </c>
      <c r="G36" s="149">
        <v>14</v>
      </c>
      <c r="H36" s="149" t="s">
        <v>30</v>
      </c>
      <c r="I36" s="154">
        <v>24</v>
      </c>
      <c r="J36" s="155">
        <f>I36*D36</f>
        <v>1.3516282130386532</v>
      </c>
      <c r="K36" s="46"/>
      <c r="L36" s="46"/>
      <c r="M36" s="46"/>
      <c r="N36" s="46"/>
      <c r="O36" s="52"/>
    </row>
    <row r="37" spans="1:15" x14ac:dyDescent="0.25">
      <c r="A37" s="149">
        <v>20</v>
      </c>
      <c r="B37" s="126" t="s">
        <v>181</v>
      </c>
      <c r="C37" s="149"/>
      <c r="D37" s="152">
        <v>0.02</v>
      </c>
      <c r="E37" s="149"/>
      <c r="F37" s="153" t="s">
        <v>35</v>
      </c>
      <c r="G37" s="149"/>
      <c r="H37" s="149"/>
      <c r="I37" s="154">
        <v>24</v>
      </c>
      <c r="J37" s="155">
        <f>I37*D37</f>
        <v>0.48</v>
      </c>
      <c r="K37" s="46"/>
      <c r="L37" s="46"/>
      <c r="M37" s="46"/>
      <c r="N37" s="46"/>
      <c r="O37" s="52"/>
    </row>
    <row r="38" spans="1:15" x14ac:dyDescent="0.25">
      <c r="A38" s="149">
        <v>30</v>
      </c>
      <c r="B38" s="126" t="s">
        <v>182</v>
      </c>
      <c r="C38" s="149"/>
      <c r="D38" s="152">
        <f>1/105154*E38*E38*G38*SQRT(G38)+0.004*EXP(0.319*E38)</f>
        <v>6.5102725326469366E-2</v>
      </c>
      <c r="E38" s="149">
        <v>8</v>
      </c>
      <c r="F38" s="153" t="s">
        <v>30</v>
      </c>
      <c r="G38" s="149">
        <v>8</v>
      </c>
      <c r="H38" s="149" t="s">
        <v>30</v>
      </c>
      <c r="I38" s="154">
        <v>3</v>
      </c>
      <c r="J38" s="155">
        <f>I38*D38</f>
        <v>0.19530817597940808</v>
      </c>
      <c r="K38" s="46"/>
      <c r="L38" s="46"/>
      <c r="M38" s="46"/>
      <c r="N38" s="46"/>
      <c r="O38" s="52"/>
    </row>
    <row r="39" spans="1:15" x14ac:dyDescent="0.25">
      <c r="A39" s="149">
        <v>40</v>
      </c>
      <c r="B39" s="126" t="s">
        <v>183</v>
      </c>
      <c r="C39" s="149"/>
      <c r="D39" s="152">
        <v>0.33600000000000002</v>
      </c>
      <c r="E39" s="149">
        <v>8</v>
      </c>
      <c r="F39" s="153" t="s">
        <v>30</v>
      </c>
      <c r="G39" s="149"/>
      <c r="H39" s="149"/>
      <c r="I39" s="154">
        <v>3</v>
      </c>
      <c r="J39" s="155">
        <f>I39*D39</f>
        <v>1.008</v>
      </c>
      <c r="K39" s="46"/>
      <c r="L39" s="46"/>
      <c r="M39" s="46"/>
      <c r="N39" s="46"/>
      <c r="O39" s="52"/>
    </row>
    <row r="40" spans="1:15" x14ac:dyDescent="0.25">
      <c r="A40" s="56"/>
      <c r="B40" s="19"/>
      <c r="C40" s="19"/>
      <c r="D40" s="19"/>
      <c r="E40" s="19"/>
      <c r="F40" s="19"/>
      <c r="G40" s="19"/>
      <c r="H40" s="19"/>
      <c r="I40" s="111" t="s">
        <v>18</v>
      </c>
      <c r="J40" s="106">
        <f>SUM(J36:J39)</f>
        <v>3.0349363890180614</v>
      </c>
      <c r="K40" s="46"/>
      <c r="L40" s="46"/>
      <c r="M40" s="46"/>
      <c r="N40" s="46"/>
      <c r="O40" s="52"/>
    </row>
    <row r="41" spans="1:15" ht="15.75" thickBot="1" x14ac:dyDescent="0.3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</row>
  </sheetData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G6" sqref="G6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EN_0900_002_m+EN_0900_002_p</f>
        <v>10.904564699673662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140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10.904564699673662</v>
      </c>
      <c r="O5" s="164"/>
    </row>
    <row r="6" spans="1:15" x14ac:dyDescent="0.25">
      <c r="A6" s="183" t="s">
        <v>7</v>
      </c>
      <c r="B6" s="176" t="s">
        <v>212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88">
        <v>10</v>
      </c>
      <c r="B11" s="189" t="s">
        <v>217</v>
      </c>
      <c r="C11" s="190"/>
      <c r="D11" s="141">
        <v>3.3</v>
      </c>
      <c r="E11" s="142">
        <f>J11*K11*L11</f>
        <v>0.78556506050717001</v>
      </c>
      <c r="F11" s="140" t="s">
        <v>156</v>
      </c>
      <c r="G11" s="140"/>
      <c r="H11" s="143"/>
      <c r="I11" s="144" t="s">
        <v>218</v>
      </c>
      <c r="J11" s="144">
        <f>PI()*87.5*87.5/1000000</f>
        <v>2.4052818754046849E-2</v>
      </c>
      <c r="K11" s="145">
        <v>2.3E-2</v>
      </c>
      <c r="L11" s="146">
        <v>1420</v>
      </c>
      <c r="M11" s="146">
        <v>1</v>
      </c>
      <c r="N11" s="141">
        <f>E11*D11</f>
        <v>2.5923646996736607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2.5923646996736607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x14ac:dyDescent="0.25">
      <c r="A16" s="194">
        <v>10</v>
      </c>
      <c r="B16" s="195" t="s">
        <v>44</v>
      </c>
      <c r="C16" s="196" t="s">
        <v>219</v>
      </c>
      <c r="D16" s="197">
        <v>1.3</v>
      </c>
      <c r="E16" s="198" t="s">
        <v>32</v>
      </c>
      <c r="F16" s="198">
        <v>1</v>
      </c>
      <c r="G16" s="199"/>
      <c r="H16" s="198"/>
      <c r="I16" s="200">
        <f>IF(H16="",D16*F16,D16*F16*H16)</f>
        <v>1.3</v>
      </c>
      <c r="J16" s="48"/>
      <c r="K16" s="48"/>
      <c r="L16" s="48"/>
      <c r="M16" s="48"/>
      <c r="N16" s="48"/>
      <c r="O16" s="170"/>
    </row>
    <row r="17" spans="1:15" ht="30" x14ac:dyDescent="0.25">
      <c r="A17" s="194">
        <v>20</v>
      </c>
      <c r="B17" s="201" t="s">
        <v>162</v>
      </c>
      <c r="C17" s="190" t="s">
        <v>220</v>
      </c>
      <c r="D17" s="202">
        <v>0.04</v>
      </c>
      <c r="E17" s="203" t="s">
        <v>163</v>
      </c>
      <c r="F17" s="204">
        <v>350.61</v>
      </c>
      <c r="G17" s="201" t="s">
        <v>221</v>
      </c>
      <c r="H17" s="205">
        <v>0.5</v>
      </c>
      <c r="I17" s="200">
        <f>IF(H17="",D17*F17,D17*F17*H17)</f>
        <v>7.0122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8.3122000000000007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178"/>
      <c r="D20" s="178"/>
      <c r="E20" s="179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17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</row>
  </sheetData>
  <hyperlinks>
    <hyperlink ref="D3" location="'EN_0900_002 Drawing'!A1" display="FileLink1" xr:uid="{ECDC8661-0D3F-4C07-AD93-18900582CBCA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7" t="s">
        <v>212</v>
      </c>
      <c r="B1" s="67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D3" sqref="D3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EN_0900_003_m+EN_0900_003_p</f>
        <v>8.5389646196590014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139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8.5389646196590014</v>
      </c>
      <c r="O5" s="164"/>
    </row>
    <row r="6" spans="1:15" x14ac:dyDescent="0.25">
      <c r="A6" s="183" t="s">
        <v>7</v>
      </c>
      <c r="B6" s="176" t="s">
        <v>222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88">
        <v>10</v>
      </c>
      <c r="B11" s="189" t="s">
        <v>217</v>
      </c>
      <c r="C11" s="190"/>
      <c r="D11" s="141">
        <v>3.3</v>
      </c>
      <c r="E11" s="142">
        <f>J11*K11*L11</f>
        <v>0.60726200595727309</v>
      </c>
      <c r="F11" s="140" t="s">
        <v>156</v>
      </c>
      <c r="G11" s="140"/>
      <c r="H11" s="143"/>
      <c r="I11" s="144" t="s">
        <v>223</v>
      </c>
      <c r="J11" s="144">
        <f>PI()*82.5*82.5/1000000</f>
        <v>2.138246499849553E-2</v>
      </c>
      <c r="K11" s="145">
        <v>0.02</v>
      </c>
      <c r="L11" s="146">
        <v>1420</v>
      </c>
      <c r="M11" s="146">
        <v>1</v>
      </c>
      <c r="N11" s="141">
        <f>E11*D11</f>
        <v>2.0039646196590013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2.0039646196590013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94">
        <v>10</v>
      </c>
      <c r="B16" s="195" t="s">
        <v>44</v>
      </c>
      <c r="C16" s="196" t="s">
        <v>219</v>
      </c>
      <c r="D16" s="197">
        <v>1.3</v>
      </c>
      <c r="E16" s="198" t="s">
        <v>32</v>
      </c>
      <c r="F16" s="198">
        <v>1</v>
      </c>
      <c r="G16" s="199"/>
      <c r="H16" s="198"/>
      <c r="I16" s="200">
        <f>IF(H16="",D16*F16,D16*F16*H16)</f>
        <v>1.3</v>
      </c>
      <c r="J16" s="48"/>
      <c r="K16" s="48"/>
      <c r="L16" s="48"/>
      <c r="M16" s="48"/>
      <c r="N16" s="48"/>
      <c r="O16" s="170"/>
    </row>
    <row r="17" spans="1:16" ht="30" x14ac:dyDescent="0.25">
      <c r="A17" s="194">
        <v>20</v>
      </c>
      <c r="B17" s="201" t="s">
        <v>162</v>
      </c>
      <c r="C17" s="190" t="s">
        <v>220</v>
      </c>
      <c r="D17" s="202">
        <v>0.04</v>
      </c>
      <c r="E17" s="203" t="s">
        <v>163</v>
      </c>
      <c r="F17" s="204">
        <v>261.75</v>
      </c>
      <c r="G17" s="201" t="s">
        <v>221</v>
      </c>
      <c r="H17" s="205">
        <v>0.5</v>
      </c>
      <c r="I17" s="200">
        <f>IF(H17="",D17*F17,D17*F17*H17)</f>
        <v>5.2350000000000003</v>
      </c>
      <c r="J17" s="48"/>
      <c r="K17" s="48"/>
      <c r="L17" s="48"/>
      <c r="M17" s="48"/>
      <c r="N17" s="48"/>
      <c r="O17" s="170"/>
    </row>
    <row r="18" spans="1:16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6.5350000000000001</v>
      </c>
      <c r="J18" s="19"/>
      <c r="K18" s="19"/>
      <c r="L18" s="19"/>
      <c r="M18" s="19"/>
      <c r="N18" s="19"/>
      <c r="O18" s="164"/>
    </row>
    <row r="19" spans="1:16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6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6" x14ac:dyDescent="0.25">
      <c r="A21" s="165"/>
      <c r="B21" s="46"/>
      <c r="C21" s="46"/>
      <c r="D21" s="46"/>
      <c r="E21" s="178"/>
      <c r="F21" s="46"/>
      <c r="G21" s="178"/>
      <c r="H21" s="179"/>
      <c r="I21" s="46"/>
      <c r="J21" s="46"/>
      <c r="K21" s="46"/>
      <c r="L21" s="46"/>
      <c r="M21" s="46"/>
      <c r="N21" s="46"/>
      <c r="O21" s="164"/>
    </row>
    <row r="22" spans="1:16" x14ac:dyDescent="0.25">
      <c r="A22" s="165"/>
      <c r="B22" s="46"/>
      <c r="C22" s="46"/>
      <c r="D22" s="46"/>
      <c r="E22" s="178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6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6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6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6" x14ac:dyDescent="0.25">
      <c r="A26" s="16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64"/>
      <c r="P26" s="46"/>
    </row>
    <row r="27" spans="1:16" ht="15.75" thickBot="1" x14ac:dyDescent="0.3">
      <c r="A27" s="173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5"/>
      <c r="P27" s="46"/>
    </row>
    <row r="28" spans="1:16" x14ac:dyDescent="0.25">
      <c r="A28" s="16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 x14ac:dyDescent="0.25">
      <c r="A29" s="16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6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</sheetData>
  <hyperlinks>
    <hyperlink ref="D3" location="'EN_0900_003 Drawing'!A1" display="FileLink1" xr:uid="{59C5B32C-7553-42F4-AFEA-29C9E3DD5D96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7" t="s">
        <v>222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F26" sqref="F26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6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EN_0900_004_m+EN_0900_004_p</f>
        <v>23.956417471999998</v>
      </c>
      <c r="O2" s="164"/>
    </row>
    <row r="3" spans="1:16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6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6" x14ac:dyDescent="0.25">
      <c r="A5" s="183" t="s">
        <v>15</v>
      </c>
      <c r="B5" s="46" t="s">
        <v>225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23.956417471999998</v>
      </c>
      <c r="O5" s="164"/>
    </row>
    <row r="6" spans="1:16" x14ac:dyDescent="0.25">
      <c r="A6" s="183" t="s">
        <v>7</v>
      </c>
      <c r="B6" s="176" t="s">
        <v>224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6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  <c r="P7">
        <f>341.663+32</f>
        <v>373.66300000000001</v>
      </c>
    </row>
    <row r="8" spans="1:16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6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6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6" x14ac:dyDescent="0.25">
      <c r="A11" s="206">
        <v>10</v>
      </c>
      <c r="B11" s="207" t="s">
        <v>155</v>
      </c>
      <c r="C11" s="208" t="s">
        <v>226</v>
      </c>
      <c r="D11" s="209">
        <v>4.2</v>
      </c>
      <c r="E11" s="210">
        <f>J11*K11*L11</f>
        <v>1.8460041599999997</v>
      </c>
      <c r="F11" s="198" t="s">
        <v>156</v>
      </c>
      <c r="G11" s="198"/>
      <c r="H11" s="211"/>
      <c r="I11" s="212" t="s">
        <v>227</v>
      </c>
      <c r="J11" s="213">
        <f>374*130/1000000</f>
        <v>4.8619999999999997E-2</v>
      </c>
      <c r="K11" s="214">
        <f>14/1000</f>
        <v>1.4E-2</v>
      </c>
      <c r="L11" s="215">
        <v>2712</v>
      </c>
      <c r="M11" s="215">
        <v>1</v>
      </c>
      <c r="N11" s="216">
        <f>IF(J11="",D11*M11,D11*J11*K11*L11*M11)</f>
        <v>7.7532174719999993</v>
      </c>
      <c r="O11" s="168"/>
    </row>
    <row r="12" spans="1:16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6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7.7532174719999993</v>
      </c>
      <c r="O13" s="164"/>
    </row>
    <row r="14" spans="1:16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6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6" ht="45" x14ac:dyDescent="0.25">
      <c r="A16" s="188">
        <v>10</v>
      </c>
      <c r="B16" s="217" t="s">
        <v>44</v>
      </c>
      <c r="C16" s="217" t="s">
        <v>228</v>
      </c>
      <c r="D16" s="209">
        <v>1.3</v>
      </c>
      <c r="E16" s="195" t="s">
        <v>32</v>
      </c>
      <c r="F16" s="218">
        <v>1</v>
      </c>
      <c r="G16" s="218"/>
      <c r="H16" s="205"/>
      <c r="I16" s="216">
        <f>IF(H16="",D16*F16,D16*F16*H16)</f>
        <v>1.3</v>
      </c>
      <c r="J16" s="48"/>
      <c r="K16" s="48"/>
      <c r="L16" s="48"/>
      <c r="M16" s="48"/>
      <c r="N16" s="48"/>
      <c r="O16" s="170"/>
    </row>
    <row r="17" spans="1:15" ht="30" x14ac:dyDescent="0.25">
      <c r="A17" s="188">
        <v>20</v>
      </c>
      <c r="B17" s="217" t="s">
        <v>162</v>
      </c>
      <c r="C17" s="217" t="s">
        <v>229</v>
      </c>
      <c r="D17" s="209">
        <v>0.04</v>
      </c>
      <c r="E17" s="198" t="s">
        <v>163</v>
      </c>
      <c r="F17" s="204">
        <v>372.58</v>
      </c>
      <c r="G17" s="195" t="s">
        <v>230</v>
      </c>
      <c r="H17" s="205">
        <v>1</v>
      </c>
      <c r="I17" s="216">
        <f>IF(H17="",D17*F17,D17*F17*H17)</f>
        <v>14.9032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16.203199999999999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178"/>
      <c r="G21" s="179"/>
      <c r="H21" s="179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178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</row>
  </sheetData>
  <hyperlinks>
    <hyperlink ref="D3" location="'EN_0900_004 Drawing'!A1" display="FileLink1" xr:uid="{6A68EED4-513C-421E-A1FD-224DD9A14C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51</vt:i4>
      </vt:variant>
    </vt:vector>
  </HeadingPairs>
  <TitlesOfParts>
    <vt:vector size="71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2018-03-27T20:14:24Z</dcterms:modified>
  <dc:language>fr-FR</dc:language>
</cp:coreProperties>
</file>