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4740" yWindow="60" windowWidth="16380" windowHeight="8196" activeTab="8"/>
  </bookViews>
  <sheets>
    <sheet name="BOM" sheetId="8" r:id="rId1"/>
    <sheet name="SU A1200" sheetId="1" r:id="rId2"/>
    <sheet name="SU 12001" sheetId="11" r:id="rId3"/>
    <sheet name="SU 12002" sheetId="15" r:id="rId4"/>
    <sheet name="dSU 12002" sheetId="19" r:id="rId5"/>
    <sheet name="SU 12003" sheetId="10" r:id="rId6"/>
    <sheet name="dSU 12003" sheetId="16" r:id="rId7"/>
    <sheet name="SU 12004" sheetId="17" r:id="rId8"/>
    <sheet name="dSU 12004" sheetId="18" r:id="rId9"/>
  </sheets>
  <definedNames>
    <definedName name="dSU_12002">'dSU 12002'!$A$1</definedName>
    <definedName name="dSU_12003">'dSU 12003'!$A$1</definedName>
    <definedName name="dSU_12004">'dSU 12004'!$A$1</definedName>
    <definedName name="SU_12001">'SU 12001'!$B$6</definedName>
    <definedName name="SU_12001_m">'SU 12001'!$N$12</definedName>
    <definedName name="SU_12001_p">'SU 12001'!$I$16</definedName>
    <definedName name="SU_12001_q">'SU 12001'!$N$3</definedName>
    <definedName name="SU_12002">'SU 12002'!$B$6</definedName>
    <definedName name="SU_12002_m">'SU 12002'!$N$12</definedName>
    <definedName name="SU_12002_p">'SU 12002'!$I$19</definedName>
    <definedName name="SU_12002_q">'SU 12002'!$N$3</definedName>
    <definedName name="SU_12003">'SU 12003'!$B$6</definedName>
    <definedName name="SU_12003_m">'SU 12003'!$N$12</definedName>
    <definedName name="SU_12003_p">'SU 12003'!$I$17</definedName>
    <definedName name="SU_12003_q">'SU 12003'!$N$3</definedName>
    <definedName name="SU_12004">'SU 12004'!$B$6</definedName>
    <definedName name="SU_12004_M">'SU 12004'!$N$12</definedName>
    <definedName name="SU_12004_P">'SU 12004'!$I$17</definedName>
    <definedName name="SU_12004_q">'SU 12004'!$N$3</definedName>
    <definedName name="SU_A1200">'SU A1200'!$B$5</definedName>
    <definedName name="SU_A1200_f">'SU A1200'!$J$46</definedName>
    <definedName name="SU_A1200_m">'SU A1200'!$N$19</definedName>
    <definedName name="SU_A1200_p">'SU A1200'!$I$38</definedName>
    <definedName name="SU_A1200_pa">'SU A1200'!$E$14</definedName>
    <definedName name="SU_A1200_q">'SU A1200'!$N$3</definedName>
    <definedName name="_xlnm.Print_Area" localSheetId="0">BOM!$A$1:$N$11</definedName>
  </definedNames>
  <calcPr calcId="162913" concurrentCalc="0"/>
</workbook>
</file>

<file path=xl/calcChain.xml><?xml version="1.0" encoding="utf-8"?>
<calcChain xmlns="http://schemas.openxmlformats.org/spreadsheetml/2006/main">
  <c r="B4" i="17" l="1"/>
  <c r="B4" i="10"/>
  <c r="B4" i="15"/>
  <c r="B13" i="1"/>
  <c r="N2" i="10"/>
  <c r="H15" i="17"/>
  <c r="I15" i="17"/>
  <c r="I16" i="17"/>
  <c r="I17" i="17"/>
  <c r="J11" i="17"/>
  <c r="N11" i="17"/>
  <c r="N12" i="17"/>
  <c r="E11" i="17"/>
  <c r="N11" i="10"/>
  <c r="N12" i="10"/>
  <c r="I16" i="10"/>
  <c r="I17" i="10"/>
  <c r="N2" i="17"/>
  <c r="N5" i="17"/>
  <c r="B3" i="17"/>
  <c r="B12" i="1"/>
  <c r="C13" i="1"/>
  <c r="C12" i="1"/>
  <c r="D12" i="1"/>
  <c r="E12" i="1"/>
  <c r="D13" i="1"/>
  <c r="D11" i="1"/>
  <c r="D10" i="1"/>
  <c r="J11" i="10"/>
  <c r="J11" i="15"/>
  <c r="D17" i="1"/>
  <c r="N17" i="1"/>
  <c r="D18" i="1"/>
  <c r="N18" i="1"/>
  <c r="N19" i="1"/>
  <c r="J7" i="8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K7" i="8"/>
  <c r="D41" i="1"/>
  <c r="J41" i="1"/>
  <c r="D42" i="1"/>
  <c r="J42" i="1"/>
  <c r="J43" i="1"/>
  <c r="D44" i="1"/>
  <c r="J44" i="1"/>
  <c r="D45" i="1"/>
  <c r="J45" i="1"/>
  <c r="J46" i="1"/>
  <c r="L7" i="8"/>
  <c r="H7" i="8"/>
  <c r="I7" i="8"/>
  <c r="N7" i="8"/>
  <c r="J11" i="11"/>
  <c r="E11" i="11"/>
  <c r="N11" i="11"/>
  <c r="N12" i="11"/>
  <c r="J8" i="8"/>
  <c r="F15" i="11"/>
  <c r="I15" i="11"/>
  <c r="I16" i="11"/>
  <c r="K8" i="8"/>
  <c r="H8" i="8"/>
  <c r="I8" i="8"/>
  <c r="N8" i="8"/>
  <c r="E11" i="15"/>
  <c r="N11" i="15"/>
  <c r="N12" i="15"/>
  <c r="J9" i="8"/>
  <c r="I14" i="15"/>
  <c r="I15" i="15"/>
  <c r="I16" i="15"/>
  <c r="I17" i="15"/>
  <c r="I18" i="15"/>
  <c r="I19" i="15"/>
  <c r="K9" i="8"/>
  <c r="H9" i="8"/>
  <c r="I9" i="8"/>
  <c r="N9" i="8"/>
  <c r="J10" i="8"/>
  <c r="H15" i="10"/>
  <c r="I15" i="10"/>
  <c r="K10" i="8"/>
  <c r="H10" i="8"/>
  <c r="I10" i="8"/>
  <c r="N10" i="8"/>
  <c r="N11" i="8"/>
  <c r="N2" i="11"/>
  <c r="C10" i="1"/>
  <c r="E10" i="1"/>
  <c r="N2" i="15"/>
  <c r="C11" i="1"/>
  <c r="E11" i="1"/>
  <c r="E13" i="1"/>
  <c r="E14" i="1"/>
  <c r="N2" i="1"/>
  <c r="F10" i="8"/>
  <c r="F9" i="8"/>
  <c r="F8" i="8"/>
  <c r="C10" i="8"/>
  <c r="B10" i="8"/>
  <c r="C9" i="8"/>
  <c r="C8" i="8"/>
  <c r="C7" i="8"/>
  <c r="N5" i="15"/>
  <c r="N5" i="1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42" i="1"/>
  <c r="A43" i="1"/>
  <c r="A44" i="1"/>
  <c r="A45" i="1"/>
  <c r="B4" i="11"/>
  <c r="B3" i="11"/>
  <c r="N5" i="10"/>
  <c r="B3" i="10"/>
  <c r="E11" i="10"/>
  <c r="B8" i="8"/>
  <c r="B11" i="8"/>
  <c r="B9" i="8"/>
  <c r="B7" i="8"/>
  <c r="L11" i="8"/>
  <c r="K11" i="8"/>
  <c r="M11" i="8"/>
  <c r="J11" i="8"/>
  <c r="O1" i="8"/>
  <c r="N5" i="1"/>
</calcChain>
</file>

<file path=xl/sharedStrings.xml><?xml version="1.0" encoding="utf-8"?>
<sst xmlns="http://schemas.openxmlformats.org/spreadsheetml/2006/main" count="413" uniqueCount="136">
  <si>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</si>
  <si>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</si>
  <si>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</si>
  <si>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</si>
  <si>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</si>
  <si>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</si>
  <si>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</si>
  <si>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</si>
  <si>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</si>
  <si>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</si>
  <si>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</si>
  <si>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</si>
  <si>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</si>
  <si>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</si>
  <si>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</si>
  <si>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</si>
  <si>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</si>
  <si>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</si>
  <si>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</si>
  <si>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</si>
  <si>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</si>
  <si>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</si>
  <si>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</si>
  <si>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</si>
  <si>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</si>
  <si>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</si>
  <si>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</si>
  <si>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</si>
  <si>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</si>
  <si>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</si>
  <si>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</si>
  <si>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</si>
  <si>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</si>
  <si>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</si>
  <si>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</si>
  <si>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</si>
  <si>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</si>
  <si>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</si>
  <si>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</si>
  <si>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</si>
  <si>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Ecole Centrale de Lyon</t>
  </si>
  <si>
    <t>Machining Setup, Install and remove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</si>
  <si>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</si>
  <si>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</si>
  <si>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</si>
  <si>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</si>
  <si>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</si>
  <si>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</si>
  <si>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</si>
  <si>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</si>
  <si>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</si>
  <si>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</si>
  <si>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</si>
  <si>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</si>
  <si>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</si>
  <si>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</si>
  <si>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</si>
  <si>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</si>
  <si>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</si>
  <si>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</si>
  <si>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</si>
  <si>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FSAEI</t>
  </si>
  <si>
    <t>Back to BOM</t>
  </si>
  <si>
    <t>Suspension &amp; Shocks</t>
  </si>
  <si>
    <t>Hand - Start Only</t>
  </si>
  <si>
    <t>Ratchet &lt;= 25.4 mm</t>
  </si>
  <si>
    <t>Thighten the M8 nuts</t>
  </si>
  <si>
    <t>Reaction tool &lt;= 25.4 mm</t>
  </si>
  <si>
    <t>Put the washers of the rocker in place</t>
  </si>
  <si>
    <t>Steel, Mild</t>
  </si>
  <si>
    <t>kg</t>
  </si>
  <si>
    <t>Machining setup, install and remove</t>
  </si>
  <si>
    <t>Material - Steel</t>
  </si>
  <si>
    <t>cm^3</t>
  </si>
  <si>
    <t>Material for Part</t>
  </si>
  <si>
    <t>Machining</t>
  </si>
  <si>
    <t>Cylindrical 16 mm diameter</t>
  </si>
  <si>
    <t>8 parts made from a single machine setup</t>
  </si>
  <si>
    <t>Rod End, Industrial</t>
  </si>
  <si>
    <t>Balls Diameter</t>
  </si>
  <si>
    <t>Right-hand rod end for pushrod extremities</t>
  </si>
  <si>
    <t>Left-hand rod end for pushrod extremities</t>
  </si>
  <si>
    <t>Put a nut on the rod end</t>
  </si>
  <si>
    <t>Hand, Loose &lt;= 25.4 mm</t>
  </si>
  <si>
    <t>Wrench &lt;= 25.4 mm</t>
  </si>
  <si>
    <t>Assemble, 1kg, Loose</t>
  </si>
  <si>
    <t>Put the nuts into the bolts</t>
  </si>
  <si>
    <t>Put the spacers of the rocker in place</t>
  </si>
  <si>
    <t>Put the spacers of the A-arm in place</t>
  </si>
  <si>
    <t>Put the washers of the A-arm in place</t>
  </si>
  <si>
    <t>To tighten the rod ends</t>
  </si>
  <si>
    <t>To tighten the bolts</t>
  </si>
  <si>
    <t>Front Pullrod</t>
  </si>
  <si>
    <t>Pullrod tube</t>
  </si>
  <si>
    <t>Pullrod insert</t>
  </si>
  <si>
    <t>Hand Finish - Surface Preperation</t>
  </si>
  <si>
    <t>Solvent degreasing  on carbon tube</t>
  </si>
  <si>
    <t>cm²</t>
  </si>
  <si>
    <t>Solvent degreasing  on insert</t>
  </si>
  <si>
    <t>Brush apply</t>
  </si>
  <si>
    <t>Glue insert to pushrod tube</t>
  </si>
  <si>
    <t>cm^2</t>
  </si>
  <si>
    <t>Screwing by hand the rod end in the pullrod insert</t>
  </si>
  <si>
    <t>Bolt pullrod into the rocker</t>
  </si>
  <si>
    <t>Bolt pullrod into the A-Arm</t>
  </si>
  <si>
    <t>Pullrod to rocker fixing bolt</t>
  </si>
  <si>
    <t>Pullrod to A-arm fixing bolt</t>
  </si>
  <si>
    <t>Carbon fiber, 1 Ply</t>
  </si>
  <si>
    <t>Stock material</t>
  </si>
  <si>
    <t>Round area, diameter 16x2 mm</t>
  </si>
  <si>
    <t>Lamination, Filament Wirring</t>
  </si>
  <si>
    <t>Tube lamination</t>
  </si>
  <si>
    <t>Steel, Mild (per kg)</t>
  </si>
  <si>
    <t>Steel for machining the part</t>
  </si>
  <si>
    <t>Setup for machining and removal</t>
  </si>
  <si>
    <t>Material removal - side view profile</t>
  </si>
  <si>
    <t>Machining setup, change</t>
  </si>
  <si>
    <t>Setup for machining process</t>
  </si>
  <si>
    <t>Material removal</t>
  </si>
  <si>
    <t>Tapping Holes</t>
  </si>
  <si>
    <t>Rod End emplacement</t>
  </si>
  <si>
    <t>Cylindrical 18 mm diameter</t>
  </si>
  <si>
    <t>4 parts made from a single machine setup</t>
  </si>
  <si>
    <t>hole</t>
  </si>
  <si>
    <t>Front Pullrod, right and left are symetric</t>
  </si>
  <si>
    <t>Spacer 1</t>
  </si>
  <si>
    <t>Drawing :</t>
  </si>
  <si>
    <t>Spacer 2</t>
  </si>
  <si>
    <t>SU A1200</t>
  </si>
  <si>
    <t>SU 12001</t>
  </si>
  <si>
    <t>SU 12002</t>
  </si>
  <si>
    <t>SU 12003</t>
  </si>
  <si>
    <t>SU 12004</t>
  </si>
  <si>
    <t>SU_12002</t>
  </si>
  <si>
    <t>SU_12003</t>
  </si>
  <si>
    <t>SU_12004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</si>
</sst>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7" formatCode="#,##0.00\ &quot;€&quot;;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-[$$-409]* #,##0.00_ ;_-[$$-409]* \-#,##0.00,;_-[$$-409]* \-??_ ;_-@_ 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&quot;$&quot;#,##0.00"/>
    <numFmt numFmtId="172" formatCode="0.0"/>
    <numFmt numFmtId="173" formatCode="#,##0.000"/>
    <numFmt numFmtId="174" formatCode="_(\$* #,##0.00_);_(\$* \(#,##0.000\);_(\$* \-??_);_(@_)"/>
    <numFmt numFmtId="175" formatCode="_-* #,##0.000_-;\-* #,##0.000_-;_-* &quot;-&quot;??_-;_-@_-"/>
    <numFmt numFmtId="176" formatCode="\$#,##0.00,;&quot;($&quot;#,##0.00\)"/>
    <numFmt numFmtId="177" formatCode="_(* #,##0_);_(* \(#,##0\);_(* &quot;-&quot;??_);_(@_)"/>
    <numFmt numFmtId="178" formatCode="0.000"/>
    <numFmt numFmtId="179" formatCode="_-* #,##0.0000\ _€_-;\-* #,##0.0000\ _€_-;_-* &quot;-&quot;????????\ _€_-;_-@_-"/>
    <numFmt numFmtId="180" formatCode="&quot;$&quot;#,##0;[Red]\-&quot;$&quot;#,##0"/>
    <numFmt numFmtId="181" formatCode="&quot;$&quot;#,##0;\-&quot;$&quot;#,##0"/>
    <numFmt numFmtId="182" formatCode="#,##0.00\ &quot;€&quot;_);\(#,##0.00\ &quot;€&quot;\)"/>
    <numFmt numFmtId="183" formatCode="&quot;$&quot;#,##0.00_);\(&quot;$&quot;#,##0.00\)"/>
  </numFmts>
  <fonts count="3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color indexed="17"/>
      <name val="Calibri"/>
      <family val="2"/>
    </font>
    <font>
      <u/>
      <sz val="10"/>
      <color theme="10"/>
      <name val="MS Sans Serif"/>
      <family val="2"/>
    </font>
    <font>
      <sz val="10"/>
      <name val="Verdana"/>
      <family val="2"/>
    </font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FC00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indexed="42"/>
      </patternFill>
    </fill>
  </fills>
  <borders count="6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medium">
        <color indexed="64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 style="thin">
        <color rgb="FFFFFFFF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68">
    <xf numFmtId="0" fontId="0" fillId="0" borderId="0"/>
    <xf numFmtId="0" fontId="10" fillId="0" borderId="0"/>
    <xf numFmtId="168" fontId="10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9" fillId="2" borderId="6">
      <alignment vertical="center" wrapText="1"/>
    </xf>
    <xf numFmtId="169" fontId="10" fillId="0" borderId="0" applyFont="0" applyFill="0" applyBorder="0" applyAlignment="0" applyProtection="0"/>
    <xf numFmtId="0" fontId="5" fillId="0" borderId="0"/>
    <xf numFmtId="166" fontId="8" fillId="0" borderId="1">
      <alignment vertical="center" wrapText="1"/>
    </xf>
    <xf numFmtId="0" fontId="21" fillId="0" borderId="0" applyNumberForma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1" fontId="8" fillId="0" borderId="1">
      <alignment vertical="center" wrapText="1"/>
    </xf>
    <xf numFmtId="0" fontId="8" fillId="0" borderId="0"/>
    <xf numFmtId="44" fontId="8" fillId="0" borderId="0" applyFont="0" applyFill="0" applyBorder="0" applyAlignment="0" applyProtection="0"/>
    <xf numFmtId="0" fontId="25" fillId="0" borderId="0"/>
    <xf numFmtId="43" fontId="18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7" fillId="11" borderId="0" applyNumberFormat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8" fillId="0" borderId="0"/>
    <xf numFmtId="168" fontId="28" fillId="0" borderId="0" applyFont="0" applyFill="0" applyBorder="0" applyAlignment="0" applyProtection="0"/>
    <xf numFmtId="0" fontId="3" fillId="0" borderId="0"/>
    <xf numFmtId="165" fontId="18" fillId="0" borderId="0" applyFill="0" applyBorder="0" applyAlignment="0" applyProtection="0"/>
    <xf numFmtId="168" fontId="10" fillId="0" borderId="0" applyFont="0" applyFill="0" applyBorder="0" applyAlignment="0" applyProtection="0"/>
    <xf numFmtId="0" fontId="10" fillId="0" borderId="0"/>
    <xf numFmtId="0" fontId="18" fillId="0" borderId="0"/>
    <xf numFmtId="164" fontId="18" fillId="0" borderId="0" applyFill="0" applyBorder="0" applyAlignment="0" applyProtection="0"/>
    <xf numFmtId="0" fontId="29" fillId="2" borderId="0" applyNumberFormat="0" applyBorder="0" applyAlignment="0" applyProtection="0"/>
    <xf numFmtId="0" fontId="18" fillId="0" borderId="0"/>
    <xf numFmtId="176" fontId="18" fillId="0" borderId="34">
      <alignment vertical="center" wrapText="1"/>
    </xf>
    <xf numFmtId="172" fontId="8" fillId="0" borderId="1">
      <alignment vertical="center" wrapText="1"/>
    </xf>
    <xf numFmtId="43" fontId="18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43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71" fontId="32" fillId="0" borderId="1">
      <alignment vertical="center" wrapText="1"/>
    </xf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0" fontId="1" fillId="0" borderId="0"/>
    <xf numFmtId="168" fontId="1" fillId="0" borderId="0" applyFont="0" applyFill="0" applyBorder="0" applyAlignment="0" applyProtection="0"/>
    <xf numFmtId="0" fontId="28" fillId="0" borderId="0"/>
    <xf numFmtId="0" fontId="1" fillId="0" borderId="0"/>
    <xf numFmtId="9" fontId="8" fillId="0" borderId="0" applyFont="0" applyFill="0" applyBorder="0" applyAlignment="0" applyProtection="0"/>
    <xf numFmtId="43" fontId="18" fillId="0" borderId="0" applyFont="0" applyFill="0" applyBorder="0" applyAlignment="0" applyProtection="0"/>
    <xf numFmtId="168" fontId="32" fillId="13" borderId="1">
      <alignment vertical="center" wrapText="1"/>
    </xf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3" fillId="14" borderId="0" applyNumberFormat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180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7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5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172" fontId="32" fillId="0" borderId="1">
      <alignment vertical="center" wrapText="1"/>
    </xf>
    <xf numFmtId="178" fontId="32" fillId="0" borderId="1">
      <alignment vertical="center" wrapText="1"/>
    </xf>
    <xf numFmtId="182" fontId="32" fillId="0" borderId="1">
      <alignment vertical="center" wrapText="1"/>
    </xf>
    <xf numFmtId="183" fontId="32" fillId="0" borderId="1">
      <alignment vertical="center" wrapText="1"/>
    </xf>
    <xf numFmtId="0" fontId="36" fillId="0" borderId="0"/>
    <xf numFmtId="176" fontId="36" fillId="0" borderId="46">
      <alignment vertical="center" wrapText="1"/>
    </xf>
    <xf numFmtId="43" fontId="36" fillId="0" borderId="0" applyFont="0" applyFill="0" applyBorder="0" applyAlignment="0" applyProtection="0"/>
    <xf numFmtId="0" fontId="37" fillId="0" borderId="0" applyBorder="0" applyProtection="0"/>
    <xf numFmtId="43" fontId="1" fillId="0" borderId="0" applyFont="0" applyFill="0" applyBorder="0" applyAlignment="0" applyProtection="0"/>
    <xf numFmtId="0" fontId="28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176" fontId="36" fillId="0" borderId="53">
      <alignment vertical="center" wrapText="1"/>
    </xf>
    <xf numFmtId="176" fontId="36" fillId="0" borderId="51">
      <alignment vertical="center" wrapText="1"/>
    </xf>
    <xf numFmtId="176" fontId="36" fillId="0" borderId="48">
      <alignment vertical="center" wrapText="1"/>
    </xf>
  </cellStyleXfs>
  <cellXfs count="291">
    <xf numFmtId="0" fontId="0" fillId="0" borderId="0" xfId="0"/>
    <xf numFmtId="18" fontId="14" fillId="0" borderId="7" xfId="1" applyNumberFormat="1" applyFont="1" applyFill="1" applyBorder="1" applyAlignment="1" applyProtection="1">
      <protection locked="0"/>
    </xf>
    <xf numFmtId="0" fontId="14" fillId="0" borderId="7" xfId="1" applyFont="1" applyFill="1" applyBorder="1" applyAlignment="1">
      <alignment horizontal="center"/>
    </xf>
    <xf numFmtId="169" fontId="14" fillId="0" borderId="7" xfId="5" applyFont="1" applyFill="1" applyBorder="1" applyProtection="1">
      <protection locked="0"/>
    </xf>
    <xf numFmtId="0" fontId="14" fillId="0" borderId="7" xfId="1" applyFont="1" applyFill="1" applyBorder="1" applyAlignment="1" applyProtection="1">
      <alignment horizontal="center"/>
      <protection locked="0"/>
    </xf>
    <xf numFmtId="0" fontId="14" fillId="0" borderId="7" xfId="1" applyFont="1" applyFill="1" applyBorder="1" applyProtection="1">
      <protection locked="0"/>
    </xf>
    <xf numFmtId="169" fontId="11" fillId="0" borderId="0" xfId="5" applyFont="1"/>
    <xf numFmtId="0" fontId="11" fillId="0" borderId="0" xfId="1" applyFont="1" applyProtection="1">
      <protection locked="0"/>
    </xf>
    <xf numFmtId="169" fontId="10" fillId="0" borderId="0" xfId="5" applyFont="1"/>
    <xf numFmtId="0" fontId="11" fillId="0" borderId="0" xfId="1" applyFont="1"/>
    <xf numFmtId="0" fontId="13" fillId="0" borderId="0" xfId="1" applyFont="1"/>
    <xf numFmtId="0" fontId="10" fillId="0" borderId="0" xfId="1" applyFont="1" applyProtection="1">
      <protection locked="0"/>
    </xf>
    <xf numFmtId="0" fontId="10" fillId="0" borderId="0" xfId="1" applyFont="1" applyFill="1"/>
    <xf numFmtId="0" fontId="10" fillId="0" borderId="0" xfId="1" applyFont="1"/>
    <xf numFmtId="0" fontId="5" fillId="0" borderId="0" xfId="6" applyBorder="1"/>
    <xf numFmtId="0" fontId="5" fillId="0" borderId="0" xfId="6"/>
    <xf numFmtId="0" fontId="7" fillId="0" borderId="0" xfId="0" applyFont="1" applyBorder="1"/>
    <xf numFmtId="0" fontId="0" fillId="0" borderId="0" xfId="0" applyFont="1"/>
    <xf numFmtId="0" fontId="7" fillId="0" borderId="0" xfId="0" applyFont="1" applyBorder="1" applyAlignment="1">
      <alignment horizontal="left"/>
    </xf>
    <xf numFmtId="0" fontId="7" fillId="0" borderId="3" xfId="0" applyFont="1" applyBorder="1"/>
    <xf numFmtId="164" fontId="7" fillId="0" borderId="3" xfId="7" applyNumberFormat="1" applyFont="1" applyBorder="1" applyAlignment="1" applyProtection="1"/>
    <xf numFmtId="0" fontId="7" fillId="0" borderId="3" xfId="0" applyFont="1" applyBorder="1" applyAlignment="1"/>
    <xf numFmtId="0" fontId="0" fillId="0" borderId="0" xfId="0" applyAlignment="1"/>
    <xf numFmtId="2" fontId="7" fillId="0" borderId="3" xfId="7" applyNumberFormat="1" applyFont="1" applyBorder="1" applyAlignment="1" applyProtection="1"/>
    <xf numFmtId="0" fontId="6" fillId="0" borderId="0" xfId="0" applyFont="1" applyBorder="1"/>
    <xf numFmtId="0" fontId="0" fillId="0" borderId="0" xfId="0" applyAlignment="1">
      <alignment wrapText="1"/>
    </xf>
    <xf numFmtId="49" fontId="7" fillId="0" borderId="0" xfId="0" applyNumberFormat="1" applyFont="1" applyBorder="1" applyAlignment="1">
      <alignment horizontal="left"/>
    </xf>
    <xf numFmtId="0" fontId="6" fillId="0" borderId="4" xfId="0" applyFont="1" applyBorder="1"/>
    <xf numFmtId="0" fontId="7" fillId="0" borderId="3" xfId="0" applyFont="1" applyBorder="1" applyAlignment="1" applyProtection="1"/>
    <xf numFmtId="3" fontId="0" fillId="0" borderId="3" xfId="0" applyNumberFormat="1" applyBorder="1" applyAlignment="1"/>
    <xf numFmtId="165" fontId="7" fillId="0" borderId="3" xfId="7" applyNumberFormat="1" applyFont="1" applyBorder="1" applyAlignment="1" applyProtection="1"/>
    <xf numFmtId="0" fontId="15" fillId="0" borderId="0" xfId="1" applyFont="1" applyAlignment="1">
      <alignment horizontal="center"/>
    </xf>
    <xf numFmtId="0" fontId="16" fillId="0" borderId="0" xfId="1" applyFont="1"/>
    <xf numFmtId="0" fontId="19" fillId="0" borderId="0" xfId="6" applyFont="1" applyFill="1" applyBorder="1"/>
    <xf numFmtId="0" fontId="5" fillId="0" borderId="0" xfId="6" applyFill="1"/>
    <xf numFmtId="0" fontId="5" fillId="0" borderId="0" xfId="6" applyFill="1" applyBorder="1"/>
    <xf numFmtId="0" fontId="5" fillId="0" borderId="0" xfId="6" applyFont="1"/>
    <xf numFmtId="0" fontId="5" fillId="0" borderId="0" xfId="6" applyFont="1" applyFill="1" applyBorder="1"/>
    <xf numFmtId="0" fontId="5" fillId="0" borderId="0" xfId="6" applyFont="1" applyFill="1"/>
    <xf numFmtId="0" fontId="14" fillId="0" borderId="7" xfId="1" applyFont="1" applyFill="1" applyBorder="1" applyAlignment="1">
      <alignment horizontal="left"/>
    </xf>
    <xf numFmtId="0" fontId="12" fillId="0" borderId="0" xfId="1" applyFont="1"/>
    <xf numFmtId="0" fontId="17" fillId="0" borderId="0" xfId="1" applyFont="1"/>
    <xf numFmtId="0" fontId="19" fillId="3" borderId="0" xfId="6" applyFont="1" applyFill="1" applyBorder="1" applyAlignment="1"/>
    <xf numFmtId="169" fontId="10" fillId="0" borderId="0" xfId="1" applyNumberFormat="1" applyFont="1"/>
    <xf numFmtId="0" fontId="15" fillId="0" borderId="8" xfId="1" applyFont="1" applyBorder="1" applyAlignment="1">
      <alignment horizontal="center" wrapText="1"/>
    </xf>
    <xf numFmtId="2" fontId="15" fillId="0" borderId="8" xfId="1" applyNumberFormat="1" applyFont="1" applyBorder="1" applyAlignment="1">
      <alignment horizontal="center" wrapText="1"/>
    </xf>
    <xf numFmtId="169" fontId="15" fillId="0" borderId="8" xfId="5" applyFont="1" applyBorder="1" applyAlignment="1">
      <alignment horizontal="center" wrapText="1"/>
    </xf>
    <xf numFmtId="0" fontId="20" fillId="4" borderId="9" xfId="6" applyFont="1" applyFill="1" applyBorder="1"/>
    <xf numFmtId="0" fontId="20" fillId="4" borderId="11" xfId="6" applyFont="1" applyFill="1" applyBorder="1"/>
    <xf numFmtId="0" fontId="20" fillId="4" borderId="10" xfId="6" applyFont="1" applyFill="1" applyBorder="1"/>
    <xf numFmtId="0" fontId="20" fillId="4" borderId="12" xfId="6" applyFont="1" applyFill="1" applyBorder="1"/>
    <xf numFmtId="0" fontId="5" fillId="5" borderId="14" xfId="6" quotePrefix="1" applyFill="1" applyBorder="1" applyAlignment="1">
      <alignment horizontal="left"/>
    </xf>
    <xf numFmtId="2" fontId="5" fillId="6" borderId="15" xfId="6" quotePrefix="1" applyNumberFormat="1" applyFill="1" applyBorder="1" applyAlignment="1">
      <alignment horizontal="right"/>
    </xf>
    <xf numFmtId="0" fontId="20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7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6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7" fillId="0" borderId="16" xfId="0" applyFont="1" applyBorder="1"/>
    <xf numFmtId="165" fontId="7" fillId="0" borderId="16" xfId="7" applyNumberFormat="1" applyFont="1" applyBorder="1" applyAlignment="1" applyProtection="1"/>
    <xf numFmtId="2" fontId="7" fillId="0" borderId="16" xfId="7" applyNumberFormat="1" applyFont="1" applyBorder="1" applyAlignment="1" applyProtection="1"/>
    <xf numFmtId="167" fontId="7" fillId="0" borderId="16" xfId="0" applyNumberFormat="1" applyFont="1" applyBorder="1"/>
    <xf numFmtId="0" fontId="7" fillId="0" borderId="16" xfId="7" applyNumberFormat="1" applyFont="1" applyBorder="1" applyAlignment="1" applyProtection="1">
      <alignment vertical="center" wrapText="1"/>
    </xf>
    <xf numFmtId="37" fontId="7" fillId="0" borderId="16" xfId="7" applyNumberFormat="1" applyFont="1" applyBorder="1" applyAlignment="1" applyProtection="1"/>
    <xf numFmtId="39" fontId="7" fillId="0" borderId="16" xfId="7" applyNumberFormat="1" applyFont="1" applyBorder="1" applyAlignment="1" applyProtection="1"/>
    <xf numFmtId="0" fontId="7" fillId="0" borderId="16" xfId="0" applyFont="1" applyBorder="1" applyAlignment="1">
      <alignment horizontal="right"/>
    </xf>
    <xf numFmtId="0" fontId="6" fillId="0" borderId="27" xfId="0" applyFont="1" applyBorder="1"/>
    <xf numFmtId="0" fontId="7" fillId="0" borderId="22" xfId="0" applyFont="1" applyBorder="1" applyAlignment="1"/>
    <xf numFmtId="0" fontId="21" fillId="0" borderId="0" xfId="8" applyBorder="1"/>
    <xf numFmtId="0" fontId="21" fillId="0" borderId="0" xfId="8"/>
    <xf numFmtId="0" fontId="5" fillId="5" borderId="14" xfId="6" quotePrefix="1" applyFont="1" applyFill="1" applyBorder="1" applyAlignment="1">
      <alignment horizontal="left"/>
    </xf>
    <xf numFmtId="0" fontId="4" fillId="5" borderId="14" xfId="6" applyFont="1" applyFill="1" applyBorder="1"/>
    <xf numFmtId="0" fontId="4" fillId="5" borderId="13" xfId="6" applyFont="1" applyFill="1" applyBorder="1"/>
    <xf numFmtId="170" fontId="7" fillId="0" borderId="16" xfId="7" applyNumberFormat="1" applyFont="1" applyBorder="1" applyAlignment="1" applyProtection="1"/>
    <xf numFmtId="170" fontId="14" fillId="0" borderId="7" xfId="1" applyNumberFormat="1" applyFont="1" applyFill="1" applyBorder="1" applyAlignment="1">
      <alignment horizontal="right"/>
    </xf>
    <xf numFmtId="0" fontId="6" fillId="7" borderId="16" xfId="0" applyFont="1" applyFill="1" applyBorder="1"/>
    <xf numFmtId="0" fontId="6" fillId="7" borderId="0" xfId="0" applyFont="1" applyFill="1" applyBorder="1"/>
    <xf numFmtId="165" fontId="6" fillId="7" borderId="16" xfId="0" applyNumberFormat="1" applyFont="1" applyFill="1" applyBorder="1"/>
    <xf numFmtId="0" fontId="6" fillId="7" borderId="16" xfId="0" applyFont="1" applyFill="1" applyBorder="1" applyAlignment="1">
      <alignment horizontal="right"/>
    </xf>
    <xf numFmtId="0" fontId="6" fillId="7" borderId="26" xfId="0" applyFont="1" applyFill="1" applyBorder="1" applyAlignment="1">
      <alignment horizontal="right"/>
    </xf>
    <xf numFmtId="165" fontId="6" fillId="7" borderId="26" xfId="0" applyNumberFormat="1" applyFont="1" applyFill="1" applyBorder="1"/>
    <xf numFmtId="0" fontId="6" fillId="8" borderId="16" xfId="0" applyFont="1" applyFill="1" applyBorder="1"/>
    <xf numFmtId="0" fontId="6" fillId="8" borderId="16" xfId="0" applyFont="1" applyFill="1" applyBorder="1" applyAlignment="1">
      <alignment horizontal="left"/>
    </xf>
    <xf numFmtId="0" fontId="6" fillId="8" borderId="2" xfId="0" applyFont="1" applyFill="1" applyBorder="1"/>
    <xf numFmtId="0" fontId="6" fillId="8" borderId="28" xfId="0" applyFont="1" applyFill="1" applyBorder="1"/>
    <xf numFmtId="0" fontId="6" fillId="8" borderId="5" xfId="0" applyFont="1" applyFill="1" applyBorder="1"/>
    <xf numFmtId="0" fontId="6" fillId="8" borderId="3" xfId="0" applyFont="1" applyFill="1" applyBorder="1"/>
    <xf numFmtId="0" fontId="6" fillId="8" borderId="3" xfId="0" applyFont="1" applyFill="1" applyBorder="1" applyAlignment="1">
      <alignment horizontal="right"/>
    </xf>
    <xf numFmtId="165" fontId="6" fillId="8" borderId="5" xfId="0" applyNumberFormat="1" applyFont="1" applyFill="1" applyBorder="1"/>
    <xf numFmtId="0" fontId="6" fillId="8" borderId="22" xfId="0" applyFont="1" applyFill="1" applyBorder="1"/>
    <xf numFmtId="0" fontId="6" fillId="8" borderId="5" xfId="0" applyFont="1" applyFill="1" applyBorder="1" applyAlignment="1">
      <alignment horizontal="right"/>
    </xf>
    <xf numFmtId="0" fontId="14" fillId="9" borderId="3" xfId="1" applyFont="1" applyFill="1" applyBorder="1" applyProtection="1">
      <protection locked="0"/>
    </xf>
    <xf numFmtId="0" fontId="14" fillId="9" borderId="3" xfId="1" applyFont="1" applyFill="1" applyBorder="1" applyAlignment="1">
      <alignment horizontal="left"/>
    </xf>
    <xf numFmtId="18" fontId="14" fillId="9" borderId="3" xfId="1" applyNumberFormat="1" applyFont="1" applyFill="1" applyBorder="1" applyAlignment="1" applyProtection="1">
      <protection locked="0"/>
    </xf>
    <xf numFmtId="0" fontId="21" fillId="9" borderId="3" xfId="8" applyFill="1" applyBorder="1" applyAlignment="1">
      <alignment horizontal="left"/>
    </xf>
    <xf numFmtId="170" fontId="14" fillId="9" borderId="3" xfId="5" applyNumberFormat="1" applyFont="1" applyFill="1" applyBorder="1" applyProtection="1">
      <protection locked="0"/>
    </xf>
    <xf numFmtId="37" fontId="14" fillId="9" borderId="3" xfId="1" applyNumberFormat="1" applyFont="1" applyFill="1" applyBorder="1" applyAlignment="1" applyProtection="1">
      <alignment horizontal="center"/>
      <protection locked="0"/>
    </xf>
    <xf numFmtId="170" fontId="14" fillId="9" borderId="3" xfId="1" applyNumberFormat="1" applyFont="1" applyFill="1" applyBorder="1" applyAlignment="1" applyProtection="1">
      <alignment horizontal="center"/>
      <protection locked="0"/>
    </xf>
    <xf numFmtId="170" fontId="14" fillId="9" borderId="3" xfId="1" applyNumberFormat="1" applyFont="1" applyFill="1" applyBorder="1" applyAlignment="1">
      <alignment horizontal="right"/>
    </xf>
    <xf numFmtId="0" fontId="14" fillId="9" borderId="3" xfId="1" applyFont="1" applyFill="1" applyBorder="1" applyAlignment="1">
      <alignment horizontal="center"/>
    </xf>
    <xf numFmtId="0" fontId="14" fillId="10" borderId="3" xfId="1" applyFont="1" applyFill="1" applyBorder="1" applyProtection="1">
      <protection locked="0"/>
    </xf>
    <xf numFmtId="0" fontId="14" fillId="10" borderId="3" xfId="1" applyFont="1" applyFill="1" applyBorder="1" applyAlignment="1">
      <alignment horizontal="left"/>
    </xf>
    <xf numFmtId="18" fontId="14" fillId="10" borderId="3" xfId="1" applyNumberFormat="1" applyFont="1" applyFill="1" applyBorder="1" applyAlignment="1" applyProtection="1">
      <protection locked="0"/>
    </xf>
    <xf numFmtId="0" fontId="21" fillId="10" borderId="3" xfId="8" applyFill="1" applyBorder="1" applyAlignment="1">
      <alignment horizontal="left"/>
    </xf>
    <xf numFmtId="170" fontId="14" fillId="10" borderId="3" xfId="5" applyNumberFormat="1" applyFont="1" applyFill="1" applyBorder="1" applyProtection="1">
      <protection locked="0"/>
    </xf>
    <xf numFmtId="37" fontId="14" fillId="10" borderId="3" xfId="1" applyNumberFormat="1" applyFont="1" applyFill="1" applyBorder="1" applyAlignment="1" applyProtection="1">
      <alignment horizontal="center"/>
      <protection locked="0"/>
    </xf>
    <xf numFmtId="170" fontId="14" fillId="10" borderId="3" xfId="1" applyNumberFormat="1" applyFont="1" applyFill="1" applyBorder="1" applyAlignment="1" applyProtection="1">
      <alignment horizontal="center"/>
      <protection locked="0"/>
    </xf>
    <xf numFmtId="170" fontId="14" fillId="10" borderId="3" xfId="1" applyNumberFormat="1" applyFont="1" applyFill="1" applyBorder="1" applyAlignment="1">
      <alignment horizontal="right"/>
    </xf>
    <xf numFmtId="0" fontId="14" fillId="10" borderId="3" xfId="1" applyFont="1" applyFill="1" applyBorder="1" applyAlignment="1">
      <alignment horizontal="center"/>
    </xf>
    <xf numFmtId="0" fontId="14" fillId="10" borderId="3" xfId="1" applyFont="1" applyFill="1" applyBorder="1" applyAlignment="1" applyProtection="1">
      <alignment horizontal="center"/>
      <protection locked="0"/>
    </xf>
    <xf numFmtId="0" fontId="7" fillId="0" borderId="0" xfId="7" applyNumberFormat="1" applyFont="1" applyBorder="1" applyAlignment="1" applyProtection="1"/>
    <xf numFmtId="0" fontId="21" fillId="0" borderId="0" xfId="8" applyNumberFormat="1" applyBorder="1" applyAlignment="1" applyProtection="1"/>
    <xf numFmtId="0" fontId="6" fillId="7" borderId="29" xfId="0" applyFont="1" applyFill="1" applyBorder="1"/>
    <xf numFmtId="37" fontId="7" fillId="0" borderId="3" xfId="0" applyNumberFormat="1" applyFont="1" applyBorder="1"/>
    <xf numFmtId="165" fontId="26" fillId="0" borderId="31" xfId="28" applyNumberFormat="1" applyFont="1" applyBorder="1"/>
    <xf numFmtId="0" fontId="26" fillId="0" borderId="31" xfId="28" applyFont="1" applyBorder="1"/>
    <xf numFmtId="0" fontId="26" fillId="0" borderId="32" xfId="28" applyFont="1" applyBorder="1"/>
    <xf numFmtId="0" fontId="3" fillId="0" borderId="0" xfId="28"/>
    <xf numFmtId="0" fontId="26" fillId="0" borderId="0" xfId="28" applyFont="1"/>
    <xf numFmtId="165" fontId="24" fillId="12" borderId="31" xfId="28" applyNumberFormat="1" applyFont="1" applyFill="1" applyBorder="1"/>
    <xf numFmtId="0" fontId="24" fillId="12" borderId="32" xfId="28" applyFont="1" applyFill="1" applyBorder="1" applyAlignment="1">
      <alignment horizontal="right"/>
    </xf>
    <xf numFmtId="165" fontId="26" fillId="0" borderId="31" xfId="28" applyNumberFormat="1" applyFont="1" applyBorder="1"/>
    <xf numFmtId="0" fontId="26" fillId="0" borderId="31" xfId="28" applyFont="1" applyBorder="1"/>
    <xf numFmtId="0" fontId="24" fillId="12" borderId="33" xfId="28" applyFont="1" applyFill="1" applyBorder="1"/>
    <xf numFmtId="174" fontId="24" fillId="12" borderId="31" xfId="28" applyNumberFormat="1" applyFont="1" applyFill="1" applyBorder="1"/>
    <xf numFmtId="0" fontId="26" fillId="0" borderId="31" xfId="28" applyNumberFormat="1" applyFont="1" applyBorder="1"/>
    <xf numFmtId="164" fontId="26" fillId="0" borderId="31" xfId="28" applyNumberFormat="1" applyFont="1" applyBorder="1"/>
    <xf numFmtId="11" fontId="26" fillId="0" borderId="31" xfId="28" applyNumberFormat="1" applyFont="1" applyBorder="1"/>
    <xf numFmtId="0" fontId="24" fillId="12" borderId="30" xfId="28" applyFont="1" applyFill="1" applyBorder="1"/>
    <xf numFmtId="0" fontId="24" fillId="12" borderId="2" xfId="28" applyFont="1" applyFill="1" applyBorder="1"/>
    <xf numFmtId="0" fontId="24" fillId="12" borderId="2" xfId="28" applyFont="1" applyFill="1" applyBorder="1" applyAlignment="1">
      <alignment horizontal="left"/>
    </xf>
    <xf numFmtId="173" fontId="26" fillId="0" borderId="31" xfId="28" applyNumberFormat="1" applyFont="1" applyBorder="1"/>
    <xf numFmtId="175" fontId="26" fillId="0" borderId="31" xfId="28" applyNumberFormat="1" applyFont="1" applyBorder="1"/>
    <xf numFmtId="0" fontId="23" fillId="0" borderId="35" xfId="0" applyFont="1" applyFill="1" applyBorder="1" applyAlignment="1" applyProtection="1">
      <alignment vertical="center" wrapText="1"/>
    </xf>
    <xf numFmtId="0" fontId="26" fillId="0" borderId="36" xfId="28" applyFont="1" applyBorder="1"/>
    <xf numFmtId="179" fontId="7" fillId="0" borderId="3" xfId="0" applyNumberFormat="1" applyFont="1" applyBorder="1" applyAlignment="1"/>
    <xf numFmtId="0" fontId="2" fillId="0" borderId="0" xfId="42" applyFill="1" applyBorder="1"/>
    <xf numFmtId="0" fontId="22" fillId="0" borderId="0" xfId="11" applyFill="1" applyBorder="1"/>
    <xf numFmtId="0" fontId="23" fillId="0" borderId="0" xfId="32" applyFont="1" applyFill="1" applyBorder="1"/>
    <xf numFmtId="0" fontId="23" fillId="0" borderId="0" xfId="32" applyFont="1" applyFill="1" applyBorder="1" applyAlignment="1">
      <alignment horizontal="right"/>
    </xf>
    <xf numFmtId="165" fontId="23" fillId="0" borderId="0" xfId="29" applyNumberFormat="1" applyFont="1" applyFill="1" applyBorder="1" applyAlignment="1" applyProtection="1"/>
    <xf numFmtId="37" fontId="23" fillId="0" borderId="0" xfId="33" applyNumberFormat="1" applyFont="1" applyFill="1" applyBorder="1" applyAlignment="1" applyProtection="1"/>
    <xf numFmtId="0" fontId="23" fillId="0" borderId="0" xfId="32" applyFont="1" applyFill="1" applyBorder="1" applyAlignment="1">
      <alignment horizontal="left"/>
    </xf>
    <xf numFmtId="11" fontId="23" fillId="0" borderId="37" xfId="32" applyNumberFormat="1" applyFont="1" applyFill="1" applyBorder="1"/>
    <xf numFmtId="0" fontId="30" fillId="0" borderId="0" xfId="32" applyFont="1" applyFill="1" applyBorder="1"/>
    <xf numFmtId="165" fontId="23" fillId="0" borderId="0" xfId="32" applyNumberFormat="1" applyFont="1" applyFill="1" applyBorder="1"/>
    <xf numFmtId="0" fontId="18" fillId="0" borderId="0" xfId="32" applyFont="1" applyFill="1" applyBorder="1"/>
    <xf numFmtId="0" fontId="23" fillId="0" borderId="0" xfId="32" applyFont="1"/>
    <xf numFmtId="0" fontId="23" fillId="0" borderId="0" xfId="32" applyFont="1" applyFill="1" applyBorder="1" applyAlignment="1">
      <alignment wrapText="1"/>
    </xf>
    <xf numFmtId="165" fontId="23" fillId="0" borderId="0" xfId="29" applyFont="1" applyFill="1" applyBorder="1" applyAlignment="1" applyProtection="1"/>
    <xf numFmtId="164" fontId="23" fillId="0" borderId="0" xfId="33" applyFont="1" applyFill="1" applyBorder="1" applyAlignment="1" applyProtection="1"/>
    <xf numFmtId="11" fontId="23" fillId="0" borderId="0" xfId="33" applyNumberFormat="1" applyFont="1" applyFill="1" applyBorder="1" applyAlignment="1" applyProtection="1"/>
    <xf numFmtId="0" fontId="18" fillId="0" borderId="0" xfId="15" applyFont="1" applyFill="1" applyBorder="1" applyAlignment="1">
      <alignment wrapText="1"/>
    </xf>
    <xf numFmtId="0" fontId="0" fillId="0" borderId="0" xfId="0" applyFill="1" applyBorder="1"/>
    <xf numFmtId="0" fontId="30" fillId="0" borderId="0" xfId="32" applyFont="1" applyFill="1" applyBorder="1" applyAlignment="1">
      <alignment horizontal="left"/>
    </xf>
    <xf numFmtId="0" fontId="26" fillId="0" borderId="0" xfId="42" applyFont="1" applyFill="1" applyBorder="1" applyAlignment="1">
      <alignment horizontal="right"/>
    </xf>
    <xf numFmtId="178" fontId="23" fillId="0" borderId="0" xfId="32" applyNumberFormat="1" applyFont="1" applyFill="1" applyBorder="1"/>
    <xf numFmtId="11" fontId="23" fillId="0" borderId="0" xfId="32" applyNumberFormat="1" applyFont="1" applyFill="1" applyBorder="1"/>
    <xf numFmtId="173" fontId="23" fillId="0" borderId="0" xfId="33" applyNumberFormat="1" applyFont="1" applyFill="1" applyBorder="1" applyAlignment="1" applyProtection="1"/>
    <xf numFmtId="0" fontId="23" fillId="0" borderId="0" xfId="33" applyNumberFormat="1" applyFont="1" applyFill="1" applyBorder="1" applyAlignment="1" applyProtection="1"/>
    <xf numFmtId="0" fontId="30" fillId="0" borderId="0" xfId="32" applyFont="1" applyFill="1" applyBorder="1" applyAlignment="1">
      <alignment horizontal="right"/>
    </xf>
    <xf numFmtId="165" fontId="30" fillId="0" borderId="0" xfId="32" applyNumberFormat="1" applyFont="1" applyFill="1" applyBorder="1"/>
    <xf numFmtId="0" fontId="23" fillId="0" borderId="0" xfId="32" applyNumberFormat="1" applyFont="1" applyFill="1" applyBorder="1"/>
    <xf numFmtId="2" fontId="23" fillId="0" borderId="0" xfId="32" applyNumberFormat="1" applyFont="1" applyFill="1" applyBorder="1"/>
    <xf numFmtId="49" fontId="21" fillId="10" borderId="3" xfId="8" applyNumberFormat="1" applyFill="1" applyBorder="1" applyAlignment="1">
      <alignment horizontal="left"/>
    </xf>
    <xf numFmtId="0" fontId="7" fillId="0" borderId="3" xfId="51" applyFont="1" applyFill="1" applyBorder="1"/>
    <xf numFmtId="168" fontId="7" fillId="0" borderId="3" xfId="18" applyFont="1" applyFill="1" applyBorder="1"/>
    <xf numFmtId="0" fontId="7" fillId="0" borderId="16" xfId="7" applyNumberFormat="1" applyFont="1" applyBorder="1" applyAlignment="1">
      <alignment wrapText="1"/>
    </xf>
    <xf numFmtId="0" fontId="7" fillId="0" borderId="3" xfId="51" applyNumberFormat="1" applyFont="1" applyFill="1" applyBorder="1"/>
    <xf numFmtId="0" fontId="7" fillId="0" borderId="3" xfId="15" applyFont="1" applyFill="1" applyBorder="1" applyAlignment="1">
      <alignment wrapText="1"/>
    </xf>
    <xf numFmtId="0" fontId="31" fillId="0" borderId="0" xfId="0" applyFont="1" applyBorder="1"/>
    <xf numFmtId="168" fontId="23" fillId="0" borderId="3" xfId="18" applyFont="1" applyFill="1" applyBorder="1"/>
    <xf numFmtId="0" fontId="23" fillId="0" borderId="3" xfId="51" applyFont="1" applyFill="1" applyBorder="1"/>
    <xf numFmtId="168" fontId="23" fillId="0" borderId="3" xfId="18" applyNumberFormat="1" applyFont="1" applyFill="1" applyBorder="1"/>
    <xf numFmtId="43" fontId="23" fillId="0" borderId="3" xfId="16" applyFont="1" applyFill="1" applyBorder="1"/>
    <xf numFmtId="177" fontId="23" fillId="0" borderId="3" xfId="16" applyNumberFormat="1" applyFont="1" applyFill="1" applyBorder="1"/>
    <xf numFmtId="11" fontId="23" fillId="0" borderId="3" xfId="51" applyNumberFormat="1" applyFont="1" applyFill="1" applyBorder="1"/>
    <xf numFmtId="11" fontId="23" fillId="0" borderId="3" xfId="16" applyNumberFormat="1" applyFont="1" applyFill="1" applyBorder="1"/>
    <xf numFmtId="2" fontId="23" fillId="0" borderId="3" xfId="18" applyNumberFormat="1" applyFont="1" applyFill="1" applyBorder="1"/>
    <xf numFmtId="168" fontId="23" fillId="0" borderId="3" xfId="18" applyNumberFormat="1" applyFont="1" applyFill="1" applyBorder="1"/>
    <xf numFmtId="168" fontId="23" fillId="0" borderId="3" xfId="18" applyFont="1" applyFill="1" applyBorder="1"/>
    <xf numFmtId="0" fontId="8" fillId="0" borderId="52" xfId="13" applyBorder="1"/>
    <xf numFmtId="165" fontId="26" fillId="0" borderId="0" xfId="28" applyNumberFormat="1" applyFont="1" applyBorder="1"/>
    <xf numFmtId="0" fontId="14" fillId="10" borderId="57" xfId="1" applyFont="1" applyFill="1" applyBorder="1" applyAlignment="1">
      <alignment horizontal="center"/>
    </xf>
    <xf numFmtId="165" fontId="7" fillId="0" borderId="3" xfId="7" applyNumberFormat="1" applyFont="1" applyBorder="1" applyAlignment="1" applyProtection="1"/>
    <xf numFmtId="0" fontId="21" fillId="0" borderId="3" xfId="8" applyNumberFormat="1" applyBorder="1" applyAlignment="1" applyProtection="1"/>
    <xf numFmtId="0" fontId="7" fillId="0" borderId="3" xfId="15" applyFont="1" applyFill="1" applyBorder="1" applyAlignment="1">
      <alignment wrapText="1"/>
    </xf>
    <xf numFmtId="175" fontId="7" fillId="0" borderId="49" xfId="13" applyNumberFormat="1" applyFont="1" applyBorder="1"/>
    <xf numFmtId="0" fontId="24" fillId="0" borderId="0" xfId="28" applyFont="1" applyBorder="1"/>
    <xf numFmtId="0" fontId="21" fillId="9" borderId="57" xfId="8" applyFill="1" applyBorder="1" applyAlignment="1">
      <alignment horizontal="left"/>
    </xf>
    <xf numFmtId="0" fontId="24" fillId="12" borderId="56" xfId="28" applyFont="1" applyFill="1" applyBorder="1"/>
    <xf numFmtId="0" fontId="22" fillId="0" borderId="0" xfId="11" applyBorder="1"/>
    <xf numFmtId="0" fontId="26" fillId="0" borderId="45" xfId="28" applyFont="1" applyBorder="1"/>
    <xf numFmtId="0" fontId="26" fillId="0" borderId="0" xfId="28" applyFont="1" applyBorder="1" applyAlignment="1">
      <alignment horizontal="right"/>
    </xf>
    <xf numFmtId="18" fontId="14" fillId="10" borderId="57" xfId="1" applyNumberFormat="1" applyFont="1" applyFill="1" applyBorder="1" applyAlignment="1" applyProtection="1">
      <protection locked="0"/>
    </xf>
    <xf numFmtId="0" fontId="14" fillId="10" borderId="57" xfId="1" applyFont="1" applyFill="1" applyBorder="1" applyProtection="1">
      <protection locked="0"/>
    </xf>
    <xf numFmtId="43" fontId="23" fillId="0" borderId="49" xfId="13" applyNumberFormat="1" applyFont="1" applyFill="1" applyBorder="1"/>
    <xf numFmtId="0" fontId="24" fillId="12" borderId="55" xfId="28" applyFont="1" applyFill="1" applyBorder="1"/>
    <xf numFmtId="0" fontId="0" fillId="0" borderId="41" xfId="0" applyBorder="1"/>
    <xf numFmtId="0" fontId="26" fillId="0" borderId="0" xfId="28" applyFont="1" applyBorder="1"/>
    <xf numFmtId="0" fontId="24" fillId="12" borderId="54" xfId="28" applyFont="1" applyFill="1" applyBorder="1"/>
    <xf numFmtId="0" fontId="8" fillId="13" borderId="43" xfId="13" applyFill="1" applyBorder="1"/>
    <xf numFmtId="0" fontId="26" fillId="0" borderId="31" xfId="65" applyFont="1" applyBorder="1"/>
    <xf numFmtId="11" fontId="23" fillId="0" borderId="50" xfId="32" applyNumberFormat="1" applyFont="1" applyFill="1" applyBorder="1"/>
    <xf numFmtId="0" fontId="0" fillId="0" borderId="47" xfId="13" applyFont="1" applyBorder="1"/>
    <xf numFmtId="0" fontId="24" fillId="0" borderId="45" xfId="28" applyFont="1" applyBorder="1"/>
    <xf numFmtId="165" fontId="7" fillId="0" borderId="16" xfId="7" applyNumberFormat="1" applyFont="1" applyBorder="1" applyAlignment="1" applyProtection="1"/>
    <xf numFmtId="0" fontId="23" fillId="0" borderId="47" xfId="13" applyFont="1" applyFill="1" applyBorder="1"/>
    <xf numFmtId="0" fontId="8" fillId="0" borderId="47" xfId="13" applyBorder="1"/>
    <xf numFmtId="0" fontId="7" fillId="0" borderId="16" xfId="13" applyFont="1" applyBorder="1"/>
    <xf numFmtId="168" fontId="23" fillId="0" borderId="47" xfId="3" applyFont="1" applyFill="1" applyBorder="1"/>
    <xf numFmtId="0" fontId="23" fillId="0" borderId="47" xfId="15" applyFont="1" applyFill="1" applyBorder="1" applyAlignment="1">
      <alignment wrapText="1"/>
    </xf>
    <xf numFmtId="0" fontId="1" fillId="0" borderId="16" xfId="7" applyNumberFormat="1" applyFont="1" applyBorder="1" applyAlignment="1">
      <alignment wrapText="1"/>
    </xf>
    <xf numFmtId="0" fontId="7" fillId="0" borderId="49" xfId="13" applyFont="1" applyBorder="1" applyAlignment="1">
      <alignment wrapText="1"/>
    </xf>
    <xf numFmtId="0" fontId="7" fillId="0" borderId="49" xfId="15" applyFont="1" applyFill="1" applyBorder="1" applyAlignment="1">
      <alignment wrapText="1"/>
    </xf>
    <xf numFmtId="0" fontId="8" fillId="0" borderId="49" xfId="13" applyBorder="1" applyAlignment="1">
      <alignment wrapText="1"/>
    </xf>
    <xf numFmtId="0" fontId="23" fillId="0" borderId="49" xfId="15" applyFont="1" applyFill="1" applyBorder="1" applyAlignment="1">
      <alignment wrapText="1"/>
    </xf>
    <xf numFmtId="0" fontId="23" fillId="0" borderId="49" xfId="13" applyFont="1" applyFill="1" applyBorder="1"/>
    <xf numFmtId="165" fontId="7" fillId="0" borderId="49" xfId="7" applyNumberFormat="1" applyFont="1" applyBorder="1" applyAlignment="1" applyProtection="1">
      <alignment wrapText="1"/>
    </xf>
    <xf numFmtId="43" fontId="23" fillId="0" borderId="49" xfId="16" applyFont="1" applyFill="1" applyBorder="1"/>
    <xf numFmtId="0" fontId="23" fillId="0" borderId="49" xfId="16" applyNumberFormat="1" applyFont="1" applyFill="1" applyBorder="1"/>
    <xf numFmtId="168" fontId="23" fillId="0" borderId="49" xfId="3" applyFont="1" applyFill="1" applyBorder="1"/>
    <xf numFmtId="0" fontId="23" fillId="0" borderId="49" xfId="13" applyFont="1" applyFill="1" applyBorder="1" applyAlignment="1" applyProtection="1">
      <alignment wrapText="1"/>
    </xf>
    <xf numFmtId="0" fontId="23" fillId="0" borderId="52" xfId="13" applyFont="1" applyFill="1" applyBorder="1"/>
    <xf numFmtId="0" fontId="23" fillId="0" borderId="49" xfId="13" applyFont="1" applyFill="1" applyBorder="1" applyAlignment="1">
      <alignment wrapText="1"/>
    </xf>
    <xf numFmtId="0" fontId="7" fillId="0" borderId="49" xfId="13" applyFont="1" applyBorder="1"/>
    <xf numFmtId="168" fontId="23" fillId="0" borderId="49" xfId="18" applyNumberFormat="1" applyFont="1" applyFill="1" applyBorder="1"/>
    <xf numFmtId="1" fontId="23" fillId="0" borderId="49" xfId="13" applyNumberFormat="1" applyFont="1" applyFill="1" applyBorder="1"/>
    <xf numFmtId="168" fontId="7" fillId="0" borderId="49" xfId="3" applyFont="1" applyFill="1" applyBorder="1"/>
    <xf numFmtId="0" fontId="23" fillId="0" borderId="49" xfId="13" applyFont="1" applyFill="1" applyBorder="1" applyAlignment="1">
      <alignment horizontal="left" wrapText="1"/>
    </xf>
    <xf numFmtId="168" fontId="23" fillId="0" borderId="49" xfId="3" applyNumberFormat="1" applyFont="1" applyFill="1" applyBorder="1" applyAlignment="1"/>
    <xf numFmtId="0" fontId="8" fillId="0" borderId="49" xfId="13" applyBorder="1"/>
    <xf numFmtId="0" fontId="18" fillId="0" borderId="49" xfId="15" applyFont="1" applyFill="1" applyBorder="1" applyAlignment="1">
      <alignment wrapText="1"/>
    </xf>
    <xf numFmtId="37" fontId="26" fillId="0" borderId="0" xfId="28" applyNumberFormat="1" applyFont="1" applyBorder="1"/>
    <xf numFmtId="0" fontId="10" fillId="0" borderId="0" xfId="1" applyFont="1"/>
    <xf numFmtId="0" fontId="8" fillId="0" borderId="0" xfId="13" applyBorder="1"/>
    <xf numFmtId="0" fontId="6" fillId="0" borderId="0" xfId="13" applyFont="1" applyBorder="1"/>
    <xf numFmtId="0" fontId="8" fillId="0" borderId="0" xfId="13" applyFont="1" applyBorder="1"/>
    <xf numFmtId="0" fontId="8" fillId="0" borderId="0" xfId="13" applyBorder="1" applyAlignment="1">
      <alignment wrapText="1"/>
    </xf>
    <xf numFmtId="0" fontId="21" fillId="0" borderId="0" xfId="8" applyBorder="1"/>
    <xf numFmtId="0" fontId="8" fillId="0" borderId="38" xfId="13" applyBorder="1"/>
    <xf numFmtId="0" fontId="8" fillId="0" borderId="39" xfId="13" applyBorder="1"/>
    <xf numFmtId="0" fontId="8" fillId="0" borderId="41" xfId="13" applyBorder="1" applyAlignment="1"/>
    <xf numFmtId="0" fontId="8" fillId="0" borderId="41" xfId="13" applyBorder="1"/>
    <xf numFmtId="0" fontId="8" fillId="0" borderId="42" xfId="13" applyBorder="1"/>
    <xf numFmtId="0" fontId="8" fillId="0" borderId="43" xfId="13" applyBorder="1"/>
    <xf numFmtId="0" fontId="8" fillId="0" borderId="44" xfId="13" applyBorder="1"/>
    <xf numFmtId="0" fontId="8" fillId="0" borderId="41" xfId="13" applyBorder="1" applyAlignment="1">
      <alignment wrapText="1"/>
    </xf>
    <xf numFmtId="0" fontId="8" fillId="0" borderId="40" xfId="13" applyBorder="1"/>
    <xf numFmtId="0" fontId="8" fillId="0" borderId="45" xfId="13" applyBorder="1"/>
    <xf numFmtId="0" fontId="8" fillId="0" borderId="41" xfId="13" applyFont="1" applyBorder="1"/>
    <xf numFmtId="0" fontId="0" fillId="0" borderId="44" xfId="0" applyBorder="1"/>
    <xf numFmtId="0" fontId="0" fillId="0" borderId="43" xfId="0" applyBorder="1"/>
    <xf numFmtId="0" fontId="0" fillId="0" borderId="42" xfId="0" applyBorder="1"/>
    <xf numFmtId="0" fontId="26" fillId="0" borderId="58" xfId="28" applyFont="1" applyBorder="1"/>
    <xf numFmtId="0" fontId="26" fillId="0" borderId="59" xfId="28" applyFont="1" applyBorder="1"/>
    <xf numFmtId="0" fontId="26" fillId="0" borderId="40" xfId="28" applyFont="1" applyBorder="1"/>
    <xf numFmtId="0" fontId="26" fillId="0" borderId="38" xfId="28" applyFont="1" applyBorder="1"/>
    <xf numFmtId="0" fontId="26" fillId="0" borderId="38" xfId="28" applyFont="1" applyBorder="1" applyAlignment="1">
      <alignment horizontal="right"/>
    </xf>
    <xf numFmtId="165" fontId="26" fillId="0" borderId="38" xfId="28" applyNumberFormat="1" applyFont="1" applyBorder="1"/>
    <xf numFmtId="0" fontId="0" fillId="0" borderId="39" xfId="0" applyBorder="1"/>
    <xf numFmtId="11" fontId="23" fillId="0" borderId="49" xfId="61" applyNumberFormat="1" applyFont="1" applyFill="1" applyBorder="1"/>
    <xf numFmtId="11" fontId="23" fillId="0" borderId="49" xfId="16" applyNumberFormat="1" applyFont="1" applyFill="1" applyBorder="1"/>
    <xf numFmtId="11" fontId="7" fillId="0" borderId="3" xfId="7" applyNumberFormat="1" applyFont="1" applyBorder="1" applyAlignment="1" applyProtection="1"/>
    <xf numFmtId="49" fontId="21" fillId="0" borderId="3" xfId="8" applyNumberFormat="1" applyBorder="1" applyAlignment="1" applyProtection="1"/>
    <xf numFmtId="0" fontId="7" fillId="0" borderId="22" xfId="0" applyFont="1" applyBorder="1" applyAlignment="1">
      <alignment wrapText="1"/>
    </xf>
    <xf numFmtId="0" fontId="7" fillId="0" borderId="3" xfId="0" applyFont="1" applyBorder="1" applyAlignment="1" applyProtection="1">
      <alignment wrapText="1"/>
    </xf>
    <xf numFmtId="0" fontId="7" fillId="0" borderId="3" xfId="0" applyFont="1" applyBorder="1" applyAlignment="1">
      <alignment wrapText="1"/>
    </xf>
    <xf numFmtId="165" fontId="7" fillId="0" borderId="3" xfId="7" applyNumberFormat="1" applyFont="1" applyBorder="1" applyAlignment="1" applyProtection="1">
      <alignment wrapText="1"/>
    </xf>
    <xf numFmtId="179" fontId="7" fillId="0" borderId="3" xfId="0" applyNumberFormat="1" applyFont="1" applyBorder="1" applyAlignment="1">
      <alignment wrapText="1"/>
    </xf>
    <xf numFmtId="164" fontId="7" fillId="0" borderId="3" xfId="7" applyNumberFormat="1" applyFont="1" applyBorder="1" applyAlignment="1" applyProtection="1">
      <alignment wrapText="1"/>
    </xf>
    <xf numFmtId="11" fontId="23" fillId="0" borderId="37" xfId="32" applyNumberFormat="1" applyFont="1" applyFill="1" applyBorder="1" applyAlignment="1">
      <alignment wrapText="1"/>
    </xf>
    <xf numFmtId="11" fontId="23" fillId="0" borderId="49" xfId="61" applyNumberFormat="1" applyFont="1" applyFill="1" applyBorder="1" applyAlignment="1">
      <alignment wrapText="1"/>
    </xf>
    <xf numFmtId="11" fontId="7" fillId="0" borderId="3" xfId="7" applyNumberFormat="1" applyFont="1" applyBorder="1" applyAlignment="1" applyProtection="1">
      <alignment wrapText="1"/>
    </xf>
    <xf numFmtId="3" fontId="0" fillId="0" borderId="3" xfId="0" applyNumberFormat="1" applyBorder="1" applyAlignment="1">
      <alignment wrapText="1"/>
    </xf>
    <xf numFmtId="2" fontId="7" fillId="0" borderId="3" xfId="7" applyNumberFormat="1" applyFont="1" applyBorder="1" applyAlignment="1" applyProtection="1">
      <alignment wrapText="1"/>
    </xf>
    <xf numFmtId="0" fontId="26" fillId="0" borderId="32" xfId="28" applyFont="1" applyBorder="1" applyAlignment="1">
      <alignment wrapText="1"/>
    </xf>
    <xf numFmtId="0" fontId="26" fillId="0" borderId="31" xfId="28" applyFont="1" applyBorder="1" applyAlignment="1">
      <alignment wrapText="1"/>
    </xf>
    <xf numFmtId="165" fontId="26" fillId="0" borderId="31" xfId="28" applyNumberFormat="1" applyFont="1" applyBorder="1" applyAlignment="1">
      <alignment wrapText="1"/>
    </xf>
  </cellXfs>
  <cellStyles count="168">
    <cellStyle name="Comma 2" xfId="5"/>
    <cellStyle name="Comma 2 2" xfId="21"/>
    <cellStyle name="Comma 2 2 2" xfId="46"/>
    <cellStyle name="Comma 2 3" xfId="10"/>
    <cellStyle name="Comma 3" xfId="70"/>
    <cellStyle name="Cost Table Plain" xfId="71"/>
    <cellStyle name="Cost_Green" xfId="4"/>
    <cellStyle name="Currency 2" xfId="2"/>
    <cellStyle name="Currency 2 2" xfId="30"/>
    <cellStyle name="Currency 2 2 2" xfId="72"/>
    <cellStyle name="Currency 2 3" xfId="73"/>
    <cellStyle name="Currency 2 4" xfId="74"/>
    <cellStyle name="Currency 3" xfId="75"/>
    <cellStyle name="Currency 4" xfId="76"/>
    <cellStyle name="Currency 4 2" xfId="77"/>
    <cellStyle name="Currency 4 3" xfId="78"/>
    <cellStyle name="Excel Built-in Explanatory Text" xfId="36"/>
    <cellStyle name="Excel Built-in Explanatory Text 2" xfId="157"/>
    <cellStyle name="Excel Built-in Explanatory Text 3" xfId="167"/>
    <cellStyle name="Excel Built-in Explanatory Text 4" xfId="166"/>
    <cellStyle name="Excel Built-in Explanatory Text 5" xfId="165"/>
    <cellStyle name="Good 2" xfId="79"/>
    <cellStyle name="Lien hypertexte" xfId="8" builtinId="8"/>
    <cellStyle name="Lien hypertexte 2" xfId="11"/>
    <cellStyle name="Lien hypertexte 2 2" xfId="80"/>
    <cellStyle name="Lien hypertexte 3" xfId="159"/>
    <cellStyle name="Milliers 2" xfId="16"/>
    <cellStyle name="Milliers 2 2" xfId="38"/>
    <cellStyle name="Milliers 2 2 2" xfId="52"/>
    <cellStyle name="Milliers 2 2 3" xfId="81"/>
    <cellStyle name="Milliers 3" xfId="22"/>
    <cellStyle name="Milliers 3 2" xfId="20"/>
    <cellStyle name="Milliers 3 2 2" xfId="45"/>
    <cellStyle name="Milliers 3 2 3" xfId="162"/>
    <cellStyle name="Milliers 3 3" xfId="47"/>
    <cellStyle name="Milliers 3 4" xfId="61"/>
    <cellStyle name="Milliers 4" xfId="33"/>
    <cellStyle name="Milliers 4 2" xfId="82"/>
    <cellStyle name="Milliers 5" xfId="17"/>
    <cellStyle name="Milliers 5 2" xfId="84"/>
    <cellStyle name="Milliers 5 3" xfId="85"/>
    <cellStyle name="Milliers 5 4" xfId="83"/>
    <cellStyle name="Milliers 6" xfId="44"/>
    <cellStyle name="Milliers 6 2" xfId="158"/>
    <cellStyle name="Milliers 7" xfId="160"/>
    <cellStyle name="Milliers 9" xfId="86"/>
    <cellStyle name="Monétaire 10" xfId="18"/>
    <cellStyle name="Monétaire 10 2" xfId="29"/>
    <cellStyle name="Monétaire 10 2 2" xfId="87"/>
    <cellStyle name="Monétaire 17" xfId="88"/>
    <cellStyle name="Monétaire 18" xfId="89"/>
    <cellStyle name="Monétaire 2" xfId="3"/>
    <cellStyle name="Monétaire 2 2" xfId="90"/>
    <cellStyle name="Monétaire 2 3" xfId="25"/>
    <cellStyle name="Monétaire 2 3 2" xfId="50"/>
    <cellStyle name="Monétaire 2 3 2 2" xfId="91"/>
    <cellStyle name="Monétaire 2 3 3" xfId="40"/>
    <cellStyle name="Monétaire 2 3 3 2" xfId="54"/>
    <cellStyle name="Monétaire 2 3 3 3" xfId="66"/>
    <cellStyle name="Monétaire 2 3 4" xfId="58"/>
    <cellStyle name="Monétaire 2 4" xfId="92"/>
    <cellStyle name="Monétaire 2 5" xfId="93"/>
    <cellStyle name="Monétaire 20" xfId="94"/>
    <cellStyle name="Monétaire 21" xfId="95"/>
    <cellStyle name="Monétaire 22" xfId="96"/>
    <cellStyle name="Monétaire 24" xfId="97"/>
    <cellStyle name="Monétaire 25" xfId="98"/>
    <cellStyle name="Monétaire 27" xfId="99"/>
    <cellStyle name="Monétaire 3" xfId="14"/>
    <cellStyle name="Monétaire 3 2" xfId="43"/>
    <cellStyle name="Monétaire 3 2 2" xfId="100"/>
    <cellStyle name="Monétaire 3 3" xfId="101"/>
    <cellStyle name="Monétaire 3 4" xfId="102"/>
    <cellStyle name="Monétaire 3 5" xfId="103"/>
    <cellStyle name="Monétaire 3 6" xfId="104"/>
    <cellStyle name="Monétaire 3 7" xfId="105"/>
    <cellStyle name="Monétaire 3 8" xfId="60"/>
    <cellStyle name="Monétaire 30" xfId="106"/>
    <cellStyle name="Monétaire 35" xfId="27"/>
    <cellStyle name="Monétaire 38" xfId="107"/>
    <cellStyle name="Monétaire 4" xfId="108"/>
    <cellStyle name="Monétaire 4 2" xfId="109"/>
    <cellStyle name="Monétaire 4 3" xfId="39"/>
    <cellStyle name="Monétaire 4 3 2" xfId="53"/>
    <cellStyle name="Monétaire 4 3 2 2" xfId="111"/>
    <cellStyle name="Monétaire 4 3 3" xfId="112"/>
    <cellStyle name="Monétaire 4 3 4" xfId="110"/>
    <cellStyle name="Monétaire 4 4" xfId="113"/>
    <cellStyle name="Monétaire 5" xfId="114"/>
    <cellStyle name="Monétaire 5 2" xfId="115"/>
    <cellStyle name="Monétaire 5 3" xfId="116"/>
    <cellStyle name="Monétaire 5 4" xfId="117"/>
    <cellStyle name="Monétaire 6" xfId="118"/>
    <cellStyle name="Monétaire 7" xfId="24"/>
    <cellStyle name="Monétaire 7 2" xfId="49"/>
    <cellStyle name="Monétaire 7 3" xfId="119"/>
    <cellStyle name="Neutre 2" xfId="19"/>
    <cellStyle name="Normal" xfId="0" builtinId="0"/>
    <cellStyle name="Normal 10" xfId="35"/>
    <cellStyle name="Normal 10 2" xfId="161"/>
    <cellStyle name="Normal 10 3" xfId="156"/>
    <cellStyle name="Normal 11" xfId="56"/>
    <cellStyle name="Normal 2" xfId="1"/>
    <cellStyle name="Normal 2 2" xfId="31"/>
    <cellStyle name="Normal 2 2 2" xfId="121"/>
    <cellStyle name="Normal 2 2 2 2" xfId="122"/>
    <cellStyle name="Normal 2 2 2 2 2" xfId="123"/>
    <cellStyle name="Normal 2 2 2 3" xfId="124"/>
    <cellStyle name="Normal 2 2 3" xfId="125"/>
    <cellStyle name="Normal 2 2 4" xfId="28"/>
    <cellStyle name="Normal 2 2 4 2" xfId="51"/>
    <cellStyle name="Normal 2 2 4 2 2" xfId="126"/>
    <cellStyle name="Normal 2 2 4 3" xfId="65"/>
    <cellStyle name="Normal 2 2 4 4" xfId="23"/>
    <cellStyle name="Normal 2 2 4 4 2" xfId="48"/>
    <cellStyle name="Normal 2 2 4 4 3" xfId="63"/>
    <cellStyle name="Normal 2 2 4 5" xfId="127"/>
    <cellStyle name="Normal 2 2 4 6" xfId="62"/>
    <cellStyle name="Normal 2 2 5" xfId="120"/>
    <cellStyle name="Normal 2 3" xfId="128"/>
    <cellStyle name="Normal 2 4" xfId="129"/>
    <cellStyle name="Normal 2 4 2" xfId="130"/>
    <cellStyle name="Normal 2 4 3" xfId="131"/>
    <cellStyle name="Normal 2 4 4" xfId="132"/>
    <cellStyle name="Normal 3" xfId="6"/>
    <cellStyle name="Normal 3 2" xfId="32"/>
    <cellStyle name="Normal 3 2 2" xfId="134"/>
    <cellStyle name="Normal 3 2 3" xfId="135"/>
    <cellStyle name="Normal 3 2 4" xfId="136"/>
    <cellStyle name="Normal 3 2 5" xfId="133"/>
    <cellStyle name="Normal 3 3" xfId="137"/>
    <cellStyle name="Normal 3 3 2" xfId="138"/>
    <cellStyle name="Normal 3 3 2 2" xfId="139"/>
    <cellStyle name="Normal 3 3 2 3" xfId="140"/>
    <cellStyle name="Normal 3 3 3" xfId="141"/>
    <cellStyle name="Normal 3 3 4" xfId="142"/>
    <cellStyle name="Normal 3 4" xfId="67"/>
    <cellStyle name="Normal 3 5" xfId="143"/>
    <cellStyle name="Normal 3 5 2" xfId="163"/>
    <cellStyle name="Normal 3 6" xfId="144"/>
    <cellStyle name="Normal 3 7" xfId="145"/>
    <cellStyle name="Normal 3 8" xfId="57"/>
    <cellStyle name="Normal 4" xfId="13"/>
    <cellStyle name="Normal 4 2" xfId="64"/>
    <cellStyle name="Normal 4 3" xfId="146"/>
    <cellStyle name="Normal 5" xfId="9"/>
    <cellStyle name="Normal 5 2" xfId="148"/>
    <cellStyle name="Normal 5 3" xfId="149"/>
    <cellStyle name="Normal 5 4" xfId="147"/>
    <cellStyle name="Normal 6" xfId="26"/>
    <cellStyle name="Normal 7" xfId="42"/>
    <cellStyle name="Normal 7 2" xfId="164"/>
    <cellStyle name="Normal 7 3" xfId="68"/>
    <cellStyle name="Normal 8" xfId="150"/>
    <cellStyle name="Normal 9" xfId="151"/>
    <cellStyle name="Normal_Sheet1" xfId="15"/>
    <cellStyle name="Pourcentage 2" xfId="41"/>
    <cellStyle name="Pourcentage 2 2" xfId="69"/>
    <cellStyle name="Pourcentage 3" xfId="55"/>
    <cellStyle name="Satisfaisant 2" xfId="34"/>
    <cellStyle name="Style 1" xfId="12"/>
    <cellStyle name="Style 1 2" xfId="37"/>
    <cellStyle name="Style 1 2 2" xfId="152"/>
    <cellStyle name="Style 1 3" xfId="153"/>
    <cellStyle name="Style 1 4" xfId="154"/>
    <cellStyle name="Style 1 5" xfId="155"/>
    <cellStyle name="Style 1 6" xfId="5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751114</xdr:colOff>
      <xdr:row>11</xdr:row>
      <xdr:rowOff>65316</xdr:rowOff>
    </xdr:from>
    <xdr:to>
      <xdr:col>11</xdr:col>
      <xdr:colOff>370114</xdr:colOff>
      <xdr:row>16</xdr:row>
      <xdr:rowOff>83458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04"/>
        <a:stretch>
          <a:fillRect/>
        </a:stretch>
      </xdr:blipFill>
      <xdr:spPr bwMode="auto">
        <a:xfrm>
          <a:off x="13813971" y="2111830"/>
          <a:ext cx="1338943" cy="9434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515983</xdr:colOff>
      <xdr:row>12</xdr:row>
      <xdr:rowOff>145869</xdr:rowOff>
    </xdr:from>
    <xdr:to>
      <xdr:col>12</xdr:col>
      <xdr:colOff>264768</xdr:colOff>
      <xdr:row>19</xdr:row>
      <xdr:rowOff>119743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6697" y="2388326"/>
          <a:ext cx="2263385" cy="13019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91440</xdr:rowOff>
    </xdr:from>
    <xdr:to>
      <xdr:col>9</xdr:col>
      <xdr:colOff>551717</xdr:colOff>
      <xdr:row>31</xdr:row>
      <xdr:rowOff>15240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340" y="274320"/>
          <a:ext cx="7630697" cy="5410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587828</xdr:colOff>
      <xdr:row>11</xdr:row>
      <xdr:rowOff>97970</xdr:rowOff>
    </xdr:from>
    <xdr:to>
      <xdr:col>11</xdr:col>
      <xdr:colOff>108857</xdr:colOff>
      <xdr:row>17</xdr:row>
      <xdr:rowOff>150635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5971" y="2133599"/>
          <a:ext cx="1110343" cy="11630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1</xdr:row>
      <xdr:rowOff>68580</xdr:rowOff>
    </xdr:from>
    <xdr:to>
      <xdr:col>8</xdr:col>
      <xdr:colOff>530068</xdr:colOff>
      <xdr:row>27</xdr:row>
      <xdr:rowOff>76200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4780" y="251460"/>
          <a:ext cx="6725128" cy="4762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732608</xdr:colOff>
      <xdr:row>11</xdr:row>
      <xdr:rowOff>136070</xdr:rowOff>
    </xdr:from>
    <xdr:to>
      <xdr:col>11</xdr:col>
      <xdr:colOff>312420</xdr:colOff>
      <xdr:row>17</xdr:row>
      <xdr:rowOff>66974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4628" y="2330630"/>
          <a:ext cx="1164772" cy="1211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1</xdr:row>
      <xdr:rowOff>45720</xdr:rowOff>
    </xdr:from>
    <xdr:to>
      <xdr:col>9</xdr:col>
      <xdr:colOff>150685</xdr:colOff>
      <xdr:row>29</xdr:row>
      <xdr:rowOff>22860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1" y="228600"/>
          <a:ext cx="7206804" cy="509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7"/>
  <sheetViews>
    <sheetView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20.21875" style="9" customWidth="1"/>
    <col min="4" max="4" width="10" style="9" bestFit="1" customWidth="1"/>
    <col min="5" max="5" width="23" style="9" customWidth="1"/>
    <col min="6" max="6" width="25.33203125" style="40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0" t="s">
        <v>0</v>
      </c>
      <c r="B1" s="84" t="s">
        <v>40</v>
      </c>
      <c r="D1" s="41"/>
      <c r="M1" s="53" t="s">
        <v>42</v>
      </c>
      <c r="N1" s="42"/>
      <c r="O1" s="52" t="e">
        <f>#REF!</f>
        <v>#REF!</v>
      </c>
    </row>
    <row r="2" spans="1:15" s="15" customFormat="1" ht="15" thickBot="1" x14ac:dyDescent="0.35">
      <c r="A2" s="48" t="s">
        <v>43</v>
      </c>
      <c r="B2" s="83" t="s">
        <v>61</v>
      </c>
      <c r="C2" s="14"/>
      <c r="F2" s="36"/>
    </row>
    <row r="3" spans="1:15" s="15" customFormat="1" ht="15.6" thickTop="1" thickBot="1" x14ac:dyDescent="0.35">
      <c r="A3" s="49" t="s">
        <v>44</v>
      </c>
      <c r="B3" s="51">
        <v>2018</v>
      </c>
      <c r="C3" s="14"/>
      <c r="F3" s="36"/>
    </row>
    <row r="4" spans="1:15" s="15" customFormat="1" ht="15.6" thickTop="1" thickBot="1" x14ac:dyDescent="0.35">
      <c r="A4" s="47" t="s">
        <v>1</v>
      </c>
      <c r="B4" s="82">
        <v>81</v>
      </c>
      <c r="C4" s="14"/>
      <c r="D4" s="41" t="s">
        <v>45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46</v>
      </c>
      <c r="B6" s="44" t="s">
        <v>47</v>
      </c>
      <c r="C6" s="44" t="s">
        <v>48</v>
      </c>
      <c r="D6" s="44" t="s">
        <v>49</v>
      </c>
      <c r="E6" s="44" t="s">
        <v>50</v>
      </c>
      <c r="F6" s="44" t="s">
        <v>51</v>
      </c>
      <c r="G6" s="44" t="s">
        <v>52</v>
      </c>
      <c r="H6" s="46" t="s">
        <v>53</v>
      </c>
      <c r="I6" s="44" t="s">
        <v>17</v>
      </c>
      <c r="J6" s="44" t="s">
        <v>54</v>
      </c>
      <c r="K6" s="44" t="s">
        <v>55</v>
      </c>
      <c r="L6" s="44" t="s">
        <v>56</v>
      </c>
      <c r="M6" s="44" t="s">
        <v>57</v>
      </c>
      <c r="N6" s="45" t="s">
        <v>58</v>
      </c>
      <c r="O6" s="44" t="s">
        <v>59</v>
      </c>
    </row>
    <row r="7" spans="1:15" ht="14.4" x14ac:dyDescent="0.3">
      <c r="A7" s="103"/>
      <c r="B7" s="104" t="str">
        <f>'SU A1200'!B3</f>
        <v>Suspension &amp; Shocks</v>
      </c>
      <c r="C7" s="105" t="str">
        <f>SU_A1200</f>
        <v>SU A1200</v>
      </c>
      <c r="D7" s="105" t="s">
        <v>11</v>
      </c>
      <c r="E7" s="105"/>
      <c r="F7" s="106" t="s">
        <v>92</v>
      </c>
      <c r="G7" s="105"/>
      <c r="H7" s="107">
        <f t="shared" ref="H7:H10" si="0">SUM(J7:M7)</f>
        <v>13.655876325139229</v>
      </c>
      <c r="I7" s="108">
        <f>SU_A1200_q</f>
        <v>2</v>
      </c>
      <c r="J7" s="109">
        <f>SU_A1200_m</f>
        <v>5</v>
      </c>
      <c r="K7" s="109">
        <f>SU_A1200_p</f>
        <v>8.0960000000000001</v>
      </c>
      <c r="L7" s="109">
        <f>SU_A1200_f</f>
        <v>0.55987632513922869</v>
      </c>
      <c r="M7" s="109">
        <v>0</v>
      </c>
      <c r="N7" s="110">
        <f t="shared" ref="N7:N10" si="1">H7*I7</f>
        <v>27.311752650278457</v>
      </c>
      <c r="O7" s="111"/>
    </row>
    <row r="8" spans="1:15" ht="14.4" x14ac:dyDescent="0.3">
      <c r="A8" s="112"/>
      <c r="B8" s="113" t="str">
        <f>'SU A1200'!B3</f>
        <v>Suspension &amp; Shocks</v>
      </c>
      <c r="C8" s="106" t="str">
        <f>SU_12001</f>
        <v>SU 12001</v>
      </c>
      <c r="D8" s="114" t="s">
        <v>11</v>
      </c>
      <c r="E8" s="114" t="s">
        <v>92</v>
      </c>
      <c r="F8" s="115" t="str">
        <f>'SU 12001'!B5</f>
        <v>Pullrod tube</v>
      </c>
      <c r="G8" s="114"/>
      <c r="H8" s="116">
        <f t="shared" si="0"/>
        <v>9.0687098494115101</v>
      </c>
      <c r="I8" s="117">
        <f>SU_12001_q</f>
        <v>1</v>
      </c>
      <c r="J8" s="118">
        <f>SU_12001_m</f>
        <v>8.0610754216991207</v>
      </c>
      <c r="K8" s="118">
        <f>SU_12001_p</f>
        <v>1.0076344277123901</v>
      </c>
      <c r="L8" s="118">
        <v>0</v>
      </c>
      <c r="M8" s="118">
        <v>0</v>
      </c>
      <c r="N8" s="119">
        <f t="shared" si="1"/>
        <v>9.0687098494115101</v>
      </c>
      <c r="O8" s="120"/>
    </row>
    <row r="9" spans="1:15" ht="14.4" x14ac:dyDescent="0.3">
      <c r="A9" s="112"/>
      <c r="B9" s="113" t="str">
        <f>'SU A1200'!$B$3</f>
        <v>Suspension &amp; Shocks</v>
      </c>
      <c r="C9" s="106" t="str">
        <f>SU_12002</f>
        <v>SU 12002</v>
      </c>
      <c r="D9" s="114" t="s">
        <v>11</v>
      </c>
      <c r="E9" s="114" t="s">
        <v>92</v>
      </c>
      <c r="F9" s="115" t="str">
        <f>'SU 12002'!B5</f>
        <v>Pullrod insert</v>
      </c>
      <c r="G9" s="114"/>
      <c r="H9" s="116">
        <f t="shared" si="0"/>
        <v>1.6908095579918243</v>
      </c>
      <c r="I9" s="121">
        <f>SU_12002_q</f>
        <v>2</v>
      </c>
      <c r="J9" s="118">
        <f>SU_12002_m</f>
        <v>0.15730955799182428</v>
      </c>
      <c r="K9" s="118">
        <f>SU_12002_p</f>
        <v>1.5335000000000001</v>
      </c>
      <c r="L9" s="118">
        <v>0</v>
      </c>
      <c r="M9" s="118">
        <v>0</v>
      </c>
      <c r="N9" s="119">
        <f t="shared" si="1"/>
        <v>3.3816191159836486</v>
      </c>
      <c r="O9" s="120"/>
    </row>
    <row r="10" spans="1:15" s="246" customFormat="1" ht="15" thickBot="1" x14ac:dyDescent="0.35">
      <c r="A10" s="207"/>
      <c r="B10" s="113" t="str">
        <f>'SU A1200'!$B$3</f>
        <v>Suspension &amp; Shocks</v>
      </c>
      <c r="C10" s="201" t="str">
        <f>SU_12003</f>
        <v>SU 12003</v>
      </c>
      <c r="D10" s="206" t="s">
        <v>11</v>
      </c>
      <c r="E10" s="206" t="s">
        <v>92</v>
      </c>
      <c r="F10" s="176" t="str">
        <f>'SU 12003'!B5</f>
        <v>Spacer 1</v>
      </c>
      <c r="G10" s="206"/>
      <c r="H10" s="116">
        <f t="shared" si="0"/>
        <v>0.25585628167808949</v>
      </c>
      <c r="I10" s="121">
        <f>SU_12003_q</f>
        <v>2</v>
      </c>
      <c r="J10" s="118">
        <f>SU_12003_m</f>
        <v>1.7756281678089514E-2</v>
      </c>
      <c r="K10" s="118">
        <f>SU_12003_p</f>
        <v>0.23810000000000001</v>
      </c>
      <c r="L10" s="118">
        <v>0</v>
      </c>
      <c r="M10" s="118">
        <v>0</v>
      </c>
      <c r="N10" s="119">
        <f t="shared" si="1"/>
        <v>0.51171256335617898</v>
      </c>
      <c r="O10" s="195"/>
    </row>
    <row r="11" spans="1:15" s="12" customFormat="1" ht="15" thickTop="1" thickBot="1" x14ac:dyDescent="0.3">
      <c r="A11" s="5"/>
      <c r="B11" s="39" t="str">
        <f>'SU A1200'!B3</f>
        <v>Suspension &amp; Shocks</v>
      </c>
      <c r="C11" s="1"/>
      <c r="D11" s="1"/>
      <c r="E11" s="1"/>
      <c r="F11" s="39" t="s">
        <v>60</v>
      </c>
      <c r="G11" s="1"/>
      <c r="H11" s="3"/>
      <c r="I11" s="4"/>
      <c r="J11" s="86">
        <f>SUMPRODUCT($I7:$I9,J7:J9)</f>
        <v>18.375694537682772</v>
      </c>
      <c r="K11" s="86">
        <f>SUMPRODUCT($I7:$I9,K7:K9)</f>
        <v>20.26663442771239</v>
      </c>
      <c r="L11" s="86">
        <f>SUMPRODUCT($I7:$I9,L7:L9)</f>
        <v>1.1197526502784574</v>
      </c>
      <c r="M11" s="86">
        <f>SUMPRODUCT($I7:$I9,M7:M9)</f>
        <v>0</v>
      </c>
      <c r="N11" s="86">
        <f>SUM(N7:N10)</f>
        <v>40.273794179029792</v>
      </c>
      <c r="O11" s="2"/>
    </row>
    <row r="12" spans="1:15" ht="13.8" thickTop="1" x14ac:dyDescent="0.25">
      <c r="A12" s="11"/>
      <c r="B12" s="40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5">
      <c r="A13" s="11"/>
      <c r="B13" s="40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5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13"/>
    </row>
    <row r="15" spans="1:15" x14ac:dyDescent="0.25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43"/>
    </row>
    <row r="16" spans="1:15" x14ac:dyDescent="0.25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5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43"/>
    </row>
    <row r="18" spans="1:14" x14ac:dyDescent="0.25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5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s="9" customFormat="1" x14ac:dyDescent="0.25">
      <c r="A42" s="7"/>
      <c r="B42" s="11"/>
      <c r="F42" s="40"/>
      <c r="I42" s="6"/>
      <c r="J42" s="6"/>
      <c r="K42" s="6"/>
      <c r="L42" s="6"/>
      <c r="M42" s="6"/>
    </row>
    <row r="43" spans="1:14" s="9" customFormat="1" x14ac:dyDescent="0.25">
      <c r="A43" s="7"/>
      <c r="B43" s="11"/>
      <c r="F43" s="40"/>
      <c r="I43" s="6"/>
      <c r="J43" s="6"/>
      <c r="K43" s="6"/>
      <c r="L43" s="6"/>
      <c r="M43" s="6"/>
    </row>
    <row r="44" spans="1:14" s="9" customFormat="1" x14ac:dyDescent="0.25">
      <c r="A44" s="7"/>
      <c r="B44" s="11"/>
      <c r="F44" s="40"/>
      <c r="I44" s="6"/>
      <c r="J44" s="6"/>
      <c r="K44" s="6"/>
      <c r="L44" s="6"/>
      <c r="M44" s="6"/>
    </row>
    <row r="45" spans="1:14" s="9" customFormat="1" x14ac:dyDescent="0.25">
      <c r="A45" s="7"/>
      <c r="B45" s="11"/>
      <c r="F45" s="40"/>
      <c r="I45" s="6"/>
      <c r="J45" s="6"/>
      <c r="K45" s="6"/>
      <c r="L45" s="6"/>
      <c r="M45" s="6"/>
    </row>
    <row r="46" spans="1:14" s="9" customFormat="1" x14ac:dyDescent="0.25">
      <c r="A46" s="7"/>
      <c r="B46" s="11"/>
      <c r="F46" s="40"/>
      <c r="I46" s="6"/>
      <c r="J46" s="6"/>
      <c r="K46" s="6"/>
      <c r="L46" s="6"/>
      <c r="M46" s="6"/>
    </row>
    <row r="47" spans="1:14" s="9" customFormat="1" x14ac:dyDescent="0.25">
      <c r="A47" s="7"/>
      <c r="B47" s="11"/>
      <c r="F47" s="40"/>
      <c r="I47" s="6"/>
      <c r="J47" s="6"/>
      <c r="K47" s="6"/>
      <c r="L47" s="6"/>
      <c r="M47" s="6"/>
    </row>
    <row r="48" spans="1:14" s="9" customFormat="1" x14ac:dyDescent="0.25">
      <c r="A48" s="7"/>
      <c r="B48" s="11"/>
      <c r="F48" s="40"/>
      <c r="I48" s="6"/>
      <c r="J48" s="6"/>
      <c r="K48" s="6"/>
      <c r="L48" s="6"/>
      <c r="M48" s="6"/>
    </row>
    <row r="49" spans="1:14" s="9" customFormat="1" x14ac:dyDescent="0.25">
      <c r="A49" s="7"/>
      <c r="B49" s="11"/>
      <c r="F49" s="40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0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40"/>
      <c r="I51" s="6"/>
      <c r="J51" s="6"/>
      <c r="K51" s="6"/>
      <c r="L51" s="6"/>
      <c r="M51" s="6"/>
    </row>
    <row r="52" spans="1:14" s="10" customFormat="1" x14ac:dyDescent="0.25">
      <c r="A52" s="7"/>
      <c r="B52" s="11"/>
      <c r="C52" s="9"/>
      <c r="D52" s="9"/>
      <c r="E52" s="9"/>
      <c r="F52" s="40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5">
      <c r="A53" s="7"/>
      <c r="B53" s="11"/>
      <c r="C53" s="9"/>
      <c r="D53" s="9"/>
      <c r="E53" s="9"/>
      <c r="F53" s="40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9"/>
      <c r="F54" s="40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9"/>
      <c r="F55" s="40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9"/>
      <c r="F56" s="40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9"/>
      <c r="F57" s="40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9"/>
      <c r="F58" s="40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9"/>
      <c r="F59" s="40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0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0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0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0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0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0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0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0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0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0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0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0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0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0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0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0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0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0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0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0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0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0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0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0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0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0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0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0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0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0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0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0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0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0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0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0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0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0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0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0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0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0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0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0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0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0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0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0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0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0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0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0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0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0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0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0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0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0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0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0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0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0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0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0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0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0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0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0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0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0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0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0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0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0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0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0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0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0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0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0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0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0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0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0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0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0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0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0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0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0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0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0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0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0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0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0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0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0"/>
      <c r="G157" s="9"/>
      <c r="H157" s="9"/>
      <c r="I157" s="6"/>
      <c r="J157" s="6"/>
      <c r="K157" s="6"/>
      <c r="L157" s="6"/>
      <c r="M157" s="6"/>
      <c r="N157" s="9"/>
    </row>
  </sheetData>
  <hyperlinks>
    <hyperlink ref="F8" location="SU_1400_001" display="SU_1400_001"/>
    <hyperlink ref="F7" location="SU_A1400" display="Front Pullrod"/>
    <hyperlink ref="F9:F10" location="SU_1400_001" display="SU_1400_001"/>
  </hyperlinks>
  <pageMargins left="0.41" right="0.22" top="0.72" bottom="0.57999999999999996" header="0.5" footer="0.26"/>
  <pageSetup scale="62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9"/>
  <sheetViews>
    <sheetView tabSelected="1" zoomScale="75" zoomScaleNormal="75" zoomScaleSheetLayoutView="80" workbookViewId="0">
      <selection activeCell="B11" sqref="B11"/>
    </sheetView>
  </sheetViews>
  <sheetFormatPr baseColWidth="10" defaultColWidth="9.109375" defaultRowHeight="14.4" x14ac:dyDescent="0.3"/>
  <cols>
    <col min="1" max="1" width="11.44140625"/>
    <col min="2" max="2" width="35.21875" customWidth="1"/>
    <col min="3" max="3" width="43.109375" customWidth="1"/>
    <col min="4" max="4" width="11.44140625"/>
    <col min="5" max="5" width="13.109375"/>
    <col min="6" max="6" width="11.44140625"/>
    <col min="7" max="7" width="6.44140625" customWidth="1"/>
    <col min="8" max="8" width="9.109375" customWidth="1"/>
    <col min="9" max="9" width="13.6640625" customWidth="1"/>
    <col min="10" max="10" width="11.44140625"/>
    <col min="11" max="11" width="8.44140625" customWidth="1"/>
    <col min="12" max="12" width="7.44140625" customWidth="1"/>
    <col min="13" max="13" width="15.33203125"/>
    <col min="14" max="14" width="13" bestFit="1" customWidth="1"/>
    <col min="15" max="15" width="5.33203125" customWidth="1"/>
    <col min="16" max="1025" width="11.44140625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87" t="s">
        <v>0</v>
      </c>
      <c r="B2" s="16" t="s">
        <v>40</v>
      </c>
      <c r="C2" s="54"/>
      <c r="D2" s="54"/>
      <c r="E2" s="54" t="s">
        <v>62</v>
      </c>
      <c r="F2" s="54"/>
      <c r="G2" s="54"/>
      <c r="H2" s="54"/>
      <c r="I2" s="54"/>
      <c r="J2" s="87" t="s">
        <v>1</v>
      </c>
      <c r="K2" s="77">
        <v>81</v>
      </c>
      <c r="L2" s="54"/>
      <c r="M2" s="87" t="s">
        <v>2</v>
      </c>
      <c r="N2" s="85">
        <f>SU_A1200_pa+SU_A1200_m+SU_A1200_p+SU_A1200_f</f>
        <v>27.129630417246744</v>
      </c>
      <c r="O2" s="60"/>
    </row>
    <row r="3" spans="1:15" x14ac:dyDescent="0.3">
      <c r="A3" s="87" t="s">
        <v>3</v>
      </c>
      <c r="B3" s="16" t="s">
        <v>63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87" t="s">
        <v>4</v>
      </c>
      <c r="N3" s="75">
        <v>2</v>
      </c>
      <c r="O3" s="60"/>
    </row>
    <row r="4" spans="1:15" x14ac:dyDescent="0.3">
      <c r="A4" s="87" t="s">
        <v>5</v>
      </c>
      <c r="B4" s="55" t="s">
        <v>92</v>
      </c>
      <c r="C4" s="123"/>
      <c r="D4" s="54"/>
      <c r="E4" s="54"/>
      <c r="F4" s="54"/>
      <c r="G4" s="54"/>
      <c r="H4" s="54"/>
      <c r="I4" s="54"/>
      <c r="J4" s="88" t="s">
        <v>6</v>
      </c>
      <c r="K4" s="54"/>
      <c r="L4" s="54"/>
      <c r="M4" s="54"/>
      <c r="N4" s="54"/>
      <c r="O4" s="60"/>
    </row>
    <row r="5" spans="1:15" x14ac:dyDescent="0.3">
      <c r="A5" s="87" t="s">
        <v>7</v>
      </c>
      <c r="B5" s="18" t="s">
        <v>128</v>
      </c>
      <c r="C5" s="54"/>
      <c r="D5" s="54"/>
      <c r="E5" s="54"/>
      <c r="F5" s="54"/>
      <c r="G5" s="54"/>
      <c r="H5" s="54"/>
      <c r="I5" s="54"/>
      <c r="J5" s="88" t="s">
        <v>8</v>
      </c>
      <c r="K5" s="54"/>
      <c r="L5" s="54"/>
      <c r="M5" s="87" t="s">
        <v>9</v>
      </c>
      <c r="N5" s="72">
        <f>N2*SU_A1200_q</f>
        <v>54.259260834493489</v>
      </c>
      <c r="O5" s="60"/>
    </row>
    <row r="6" spans="1:15" x14ac:dyDescent="0.3">
      <c r="A6" s="87" t="s">
        <v>10</v>
      </c>
      <c r="B6" s="16" t="s">
        <v>11</v>
      </c>
      <c r="C6" s="54"/>
      <c r="D6" s="54"/>
      <c r="E6" s="54"/>
      <c r="F6" s="54"/>
      <c r="G6" s="54"/>
      <c r="H6" s="54"/>
      <c r="I6" s="54"/>
      <c r="J6" s="88" t="s">
        <v>12</v>
      </c>
      <c r="K6" s="54"/>
      <c r="L6" s="54"/>
      <c r="M6" s="54"/>
      <c r="N6" s="54"/>
      <c r="O6" s="60"/>
    </row>
    <row r="7" spans="1:15" x14ac:dyDescent="0.3">
      <c r="A7" s="87" t="s">
        <v>13</v>
      </c>
      <c r="B7" s="16" t="s">
        <v>124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61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124" t="s">
        <v>14</v>
      </c>
      <c r="B9" s="124" t="s">
        <v>15</v>
      </c>
      <c r="C9" s="124" t="s">
        <v>16</v>
      </c>
      <c r="D9" s="124" t="s">
        <v>17</v>
      </c>
      <c r="E9" s="124" t="s">
        <v>18</v>
      </c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9">
        <v>10</v>
      </c>
      <c r="B10" s="197" t="s">
        <v>93</v>
      </c>
      <c r="C10" s="30">
        <f>'SU 12001'!N2</f>
        <v>9.0687098494115101</v>
      </c>
      <c r="D10" s="125">
        <f>SU_12001_q</f>
        <v>1</v>
      </c>
      <c r="E10" s="30">
        <f>C10*D10</f>
        <v>9.0687098494115101</v>
      </c>
      <c r="F10" s="54"/>
      <c r="G10" s="54"/>
      <c r="H10" s="54"/>
      <c r="I10" s="54"/>
      <c r="J10" s="54"/>
      <c r="K10" s="54"/>
      <c r="L10" s="54"/>
      <c r="M10" s="54"/>
      <c r="N10" s="54"/>
      <c r="O10" s="60"/>
    </row>
    <row r="11" spans="1:15" x14ac:dyDescent="0.3">
      <c r="A11" s="19">
        <v>20</v>
      </c>
      <c r="B11" s="197" t="s">
        <v>94</v>
      </c>
      <c r="C11" s="30">
        <f>'SU 12002'!N2</f>
        <v>1.6908095579918243</v>
      </c>
      <c r="D11" s="125">
        <f>SU_12002_q</f>
        <v>2</v>
      </c>
      <c r="E11" s="196">
        <f t="shared" ref="E11:E13" si="0">C11*D11</f>
        <v>3.3816191159836486</v>
      </c>
      <c r="F11" s="54"/>
      <c r="G11" s="54"/>
      <c r="H11" s="54"/>
      <c r="I11" s="54"/>
      <c r="J11" s="54"/>
      <c r="K11" s="54"/>
      <c r="L11" s="54"/>
      <c r="M11" s="54"/>
      <c r="N11" s="54"/>
      <c r="O11" s="60"/>
    </row>
    <row r="12" spans="1:15" x14ac:dyDescent="0.3">
      <c r="A12" s="19">
        <v>30</v>
      </c>
      <c r="B12" s="276" t="str">
        <f>'SU 12003'!B5</f>
        <v>Spacer 1</v>
      </c>
      <c r="C12" s="196">
        <f>'SU 12003'!N2</f>
        <v>0.25585628167808949</v>
      </c>
      <c r="D12" s="125">
        <f>SU_12003_q</f>
        <v>2</v>
      </c>
      <c r="E12" s="196">
        <f t="shared" ref="E12" si="1">C12*D12</f>
        <v>0.51171256335617898</v>
      </c>
      <c r="F12" s="54"/>
      <c r="G12" s="54"/>
      <c r="H12" s="54"/>
      <c r="I12" s="54"/>
      <c r="J12" s="54"/>
      <c r="K12" s="54"/>
      <c r="L12" s="54"/>
      <c r="M12" s="54"/>
      <c r="N12" s="54"/>
      <c r="O12" s="60"/>
    </row>
    <row r="13" spans="1:15" x14ac:dyDescent="0.3">
      <c r="A13" s="19">
        <v>30</v>
      </c>
      <c r="B13" s="276" t="str">
        <f>'SU 12004'!B5</f>
        <v>Spacer 2</v>
      </c>
      <c r="C13" s="30">
        <f>'SU 12004'!N2</f>
        <v>0.25585628167808949</v>
      </c>
      <c r="D13" s="125">
        <f>SU_12003_q</f>
        <v>2</v>
      </c>
      <c r="E13" s="196">
        <f t="shared" si="0"/>
        <v>0.51171256335617898</v>
      </c>
      <c r="F13" s="55"/>
      <c r="G13" s="55"/>
      <c r="H13" s="55"/>
      <c r="I13" s="55"/>
      <c r="J13" s="55"/>
      <c r="K13" s="55"/>
      <c r="L13" s="55"/>
      <c r="M13" s="55"/>
      <c r="N13" s="55"/>
      <c r="O13" s="62"/>
    </row>
    <row r="14" spans="1:15" x14ac:dyDescent="0.3">
      <c r="A14" s="61"/>
      <c r="B14" s="54"/>
      <c r="C14" s="54"/>
      <c r="D14" s="91" t="s">
        <v>18</v>
      </c>
      <c r="E14" s="92">
        <f>SUM(E10:E13)</f>
        <v>13.473754092107516</v>
      </c>
      <c r="F14" s="55"/>
      <c r="G14" s="55"/>
      <c r="H14" s="55"/>
      <c r="I14" s="55"/>
      <c r="J14" s="55"/>
      <c r="K14" s="55"/>
      <c r="L14" s="55"/>
      <c r="M14" s="55"/>
      <c r="N14" s="55"/>
      <c r="O14" s="60"/>
    </row>
    <row r="15" spans="1:15" x14ac:dyDescent="0.3">
      <c r="A15" s="61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60"/>
    </row>
    <row r="16" spans="1:15" x14ac:dyDescent="0.3">
      <c r="A16" s="87" t="s">
        <v>14</v>
      </c>
      <c r="B16" s="87" t="s">
        <v>19</v>
      </c>
      <c r="C16" s="87" t="s">
        <v>20</v>
      </c>
      <c r="D16" s="87" t="s">
        <v>21</v>
      </c>
      <c r="E16" s="87" t="s">
        <v>22</v>
      </c>
      <c r="F16" s="87" t="s">
        <v>23</v>
      </c>
      <c r="G16" s="87" t="s">
        <v>24</v>
      </c>
      <c r="H16" s="87" t="s">
        <v>25</v>
      </c>
      <c r="I16" s="87" t="s">
        <v>26</v>
      </c>
      <c r="J16" s="87" t="s">
        <v>27</v>
      </c>
      <c r="K16" s="87" t="s">
        <v>28</v>
      </c>
      <c r="L16" s="87" t="s">
        <v>29</v>
      </c>
      <c r="M16" s="87" t="s">
        <v>17</v>
      </c>
      <c r="N16" s="87" t="s">
        <v>18</v>
      </c>
      <c r="O16" s="60"/>
    </row>
    <row r="17" spans="1:15" x14ac:dyDescent="0.3">
      <c r="A17" s="70">
        <v>10</v>
      </c>
      <c r="B17" s="184" t="s">
        <v>78</v>
      </c>
      <c r="C17" s="184" t="s">
        <v>80</v>
      </c>
      <c r="D17" s="183">
        <f>0.02*E17^2+1.22</f>
        <v>2.5</v>
      </c>
      <c r="E17" s="184">
        <v>8</v>
      </c>
      <c r="F17" s="184" t="s">
        <v>30</v>
      </c>
      <c r="G17" s="184"/>
      <c r="H17" s="186"/>
      <c r="I17" s="188" t="s">
        <v>79</v>
      </c>
      <c r="J17" s="187"/>
      <c r="K17" s="186"/>
      <c r="L17" s="186"/>
      <c r="M17" s="187">
        <v>1</v>
      </c>
      <c r="N17" s="185">
        <f>D17*M17</f>
        <v>2.5</v>
      </c>
      <c r="O17" s="60"/>
    </row>
    <row r="18" spans="1:15" s="22" customFormat="1" x14ac:dyDescent="0.3">
      <c r="A18" s="70">
        <v>20</v>
      </c>
      <c r="B18" s="184" t="s">
        <v>78</v>
      </c>
      <c r="C18" s="184" t="s">
        <v>81</v>
      </c>
      <c r="D18" s="192">
        <f>0.02*E18^2+1.22</f>
        <v>2.5</v>
      </c>
      <c r="E18" s="184">
        <v>8</v>
      </c>
      <c r="F18" s="184" t="s">
        <v>30</v>
      </c>
      <c r="G18" s="184"/>
      <c r="H18" s="186"/>
      <c r="I18" s="190" t="s">
        <v>79</v>
      </c>
      <c r="J18" s="187"/>
      <c r="K18" s="186"/>
      <c r="L18" s="189"/>
      <c r="M18" s="187">
        <v>1</v>
      </c>
      <c r="N18" s="191">
        <f>D18*M18</f>
        <v>2.5</v>
      </c>
      <c r="O18" s="64"/>
    </row>
    <row r="19" spans="1:15" x14ac:dyDescent="0.3">
      <c r="A19" s="65"/>
      <c r="B19" s="182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87" t="s">
        <v>18</v>
      </c>
      <c r="N19" s="89">
        <f>SUM(N17:N18)</f>
        <v>5</v>
      </c>
      <c r="O19" s="60"/>
    </row>
    <row r="20" spans="1:15" x14ac:dyDescent="0.3">
      <c r="A20" s="6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60"/>
    </row>
    <row r="21" spans="1:15" s="25" customFormat="1" x14ac:dyDescent="0.3">
      <c r="A21" s="87" t="s">
        <v>14</v>
      </c>
      <c r="B21" s="87" t="s">
        <v>31</v>
      </c>
      <c r="C21" s="87" t="s">
        <v>20</v>
      </c>
      <c r="D21" s="87" t="s">
        <v>21</v>
      </c>
      <c r="E21" s="87" t="s">
        <v>32</v>
      </c>
      <c r="F21" s="87" t="s">
        <v>17</v>
      </c>
      <c r="G21" s="87" t="s">
        <v>33</v>
      </c>
      <c r="H21" s="87" t="s">
        <v>34</v>
      </c>
      <c r="I21" s="87" t="s">
        <v>18</v>
      </c>
      <c r="J21" s="24"/>
      <c r="K21" s="24"/>
      <c r="L21" s="24"/>
      <c r="M21" s="24"/>
      <c r="N21" s="24"/>
      <c r="O21" s="66"/>
    </row>
    <row r="22" spans="1:15" x14ac:dyDescent="0.3">
      <c r="A22" s="70">
        <v>10</v>
      </c>
      <c r="B22" s="223" t="s">
        <v>95</v>
      </c>
      <c r="C22" s="219" t="s">
        <v>96</v>
      </c>
      <c r="D22" s="222">
        <v>0.02</v>
      </c>
      <c r="E22" s="219" t="s">
        <v>97</v>
      </c>
      <c r="F22" s="220">
        <v>6.6</v>
      </c>
      <c r="G22" s="216"/>
      <c r="H22" s="220">
        <v>1</v>
      </c>
      <c r="I22" s="222">
        <f>D22*F22*H22</f>
        <v>0.13200000000000001</v>
      </c>
      <c r="J22" s="54"/>
      <c r="K22" s="54"/>
      <c r="L22" s="54"/>
      <c r="M22" s="54"/>
      <c r="N22" s="54"/>
      <c r="O22" s="60"/>
    </row>
    <row r="23" spans="1:15" x14ac:dyDescent="0.3">
      <c r="A23" s="70">
        <f>A22+10</f>
        <v>20</v>
      </c>
      <c r="B23" s="223" t="s">
        <v>95</v>
      </c>
      <c r="C23" s="219" t="s">
        <v>98</v>
      </c>
      <c r="D23" s="222">
        <v>0.02</v>
      </c>
      <c r="E23" s="219" t="s">
        <v>97</v>
      </c>
      <c r="F23" s="220">
        <v>6.6</v>
      </c>
      <c r="G23" s="220"/>
      <c r="H23" s="220">
        <v>1</v>
      </c>
      <c r="I23" s="222">
        <f t="shared" ref="I23:I24" si="2">D23*F23*H23</f>
        <v>0.13200000000000001</v>
      </c>
      <c r="J23" s="54"/>
      <c r="K23" s="54"/>
      <c r="L23" s="54"/>
      <c r="M23" s="54"/>
      <c r="N23" s="54"/>
      <c r="O23" s="60"/>
    </row>
    <row r="24" spans="1:15" x14ac:dyDescent="0.3">
      <c r="A24" s="70">
        <f t="shared" ref="A24:A37" si="3">A23+10</f>
        <v>30</v>
      </c>
      <c r="B24" s="224" t="s">
        <v>99</v>
      </c>
      <c r="C24" s="221" t="s">
        <v>100</v>
      </c>
      <c r="D24" s="218">
        <v>0.02</v>
      </c>
      <c r="E24" s="221" t="s">
        <v>101</v>
      </c>
      <c r="F24" s="220">
        <v>6.6</v>
      </c>
      <c r="G24" s="221"/>
      <c r="H24" s="221">
        <v>1</v>
      </c>
      <c r="I24" s="222">
        <f t="shared" si="2"/>
        <v>0.13200000000000001</v>
      </c>
      <c r="J24" s="54"/>
      <c r="K24" s="54"/>
      <c r="L24" s="54"/>
      <c r="M24" s="54"/>
      <c r="N24" s="54"/>
      <c r="O24" s="60"/>
    </row>
    <row r="25" spans="1:15" x14ac:dyDescent="0.3">
      <c r="A25" s="70">
        <f t="shared" si="3"/>
        <v>40</v>
      </c>
      <c r="B25" s="198" t="s">
        <v>64</v>
      </c>
      <c r="C25" s="180" t="s">
        <v>82</v>
      </c>
      <c r="D25" s="218">
        <v>0.12</v>
      </c>
      <c r="E25" s="70" t="s">
        <v>35</v>
      </c>
      <c r="F25" s="70">
        <v>2</v>
      </c>
      <c r="G25" s="70"/>
      <c r="H25" s="70">
        <v>1</v>
      </c>
      <c r="I25" s="222">
        <f t="shared" ref="I25" si="4">D25*F25*H25</f>
        <v>0.24</v>
      </c>
      <c r="J25" s="54"/>
      <c r="K25" s="54"/>
      <c r="L25" s="54"/>
      <c r="M25" s="54"/>
      <c r="N25" s="54"/>
      <c r="O25" s="60"/>
    </row>
    <row r="26" spans="1:15" x14ac:dyDescent="0.3">
      <c r="A26" s="70">
        <f t="shared" si="3"/>
        <v>50</v>
      </c>
      <c r="B26" s="181" t="s">
        <v>83</v>
      </c>
      <c r="C26" s="180" t="s">
        <v>102</v>
      </c>
      <c r="D26" s="71">
        <v>0.5</v>
      </c>
      <c r="E26" s="179" t="s">
        <v>35</v>
      </c>
      <c r="F26" s="70">
        <v>2</v>
      </c>
      <c r="G26" s="70"/>
      <c r="H26" s="70">
        <v>1</v>
      </c>
      <c r="I26" s="222">
        <f t="shared" ref="I26:I37" si="5">D26*F26*H26</f>
        <v>1</v>
      </c>
      <c r="J26" s="54"/>
      <c r="K26" s="54"/>
      <c r="L26" s="54"/>
      <c r="M26" s="54"/>
      <c r="N26" s="54"/>
      <c r="O26" s="60"/>
    </row>
    <row r="27" spans="1:15" x14ac:dyDescent="0.3">
      <c r="A27" s="70">
        <f t="shared" si="3"/>
        <v>60</v>
      </c>
      <c r="B27" s="181" t="s">
        <v>84</v>
      </c>
      <c r="C27" s="180" t="s">
        <v>66</v>
      </c>
      <c r="D27" s="71">
        <v>1.5</v>
      </c>
      <c r="E27" s="70" t="s">
        <v>35</v>
      </c>
      <c r="F27" s="70">
        <v>2</v>
      </c>
      <c r="G27" s="70"/>
      <c r="H27" s="70">
        <v>1</v>
      </c>
      <c r="I27" s="222">
        <f t="shared" si="5"/>
        <v>3</v>
      </c>
      <c r="J27" s="54"/>
      <c r="K27" s="54"/>
      <c r="L27" s="54"/>
      <c r="M27" s="54"/>
      <c r="N27" s="54"/>
      <c r="O27" s="60"/>
    </row>
    <row r="28" spans="1:15" x14ac:dyDescent="0.3">
      <c r="A28" s="70">
        <f t="shared" si="3"/>
        <v>70</v>
      </c>
      <c r="B28" s="181" t="s">
        <v>67</v>
      </c>
      <c r="C28" s="180" t="s">
        <v>66</v>
      </c>
      <c r="D28" s="71">
        <v>0.25</v>
      </c>
      <c r="E28" s="70" t="s">
        <v>35</v>
      </c>
      <c r="F28" s="70">
        <v>2</v>
      </c>
      <c r="G28" s="70"/>
      <c r="H28" s="70">
        <v>1</v>
      </c>
      <c r="I28" s="222">
        <f t="shared" si="5"/>
        <v>0.5</v>
      </c>
      <c r="J28" s="54"/>
      <c r="K28" s="54"/>
      <c r="L28" s="54"/>
      <c r="M28" s="54"/>
      <c r="N28" s="54"/>
      <c r="O28" s="60"/>
    </row>
    <row r="29" spans="1:15" x14ac:dyDescent="0.3">
      <c r="A29" s="70">
        <f t="shared" si="3"/>
        <v>80</v>
      </c>
      <c r="B29" s="180" t="s">
        <v>85</v>
      </c>
      <c r="C29" s="180" t="s">
        <v>87</v>
      </c>
      <c r="D29" s="178">
        <v>0.06</v>
      </c>
      <c r="E29" s="177" t="s">
        <v>35</v>
      </c>
      <c r="F29" s="177">
        <v>2</v>
      </c>
      <c r="G29" s="177"/>
      <c r="H29" s="177">
        <v>1</v>
      </c>
      <c r="I29" s="222">
        <f t="shared" si="5"/>
        <v>0.12</v>
      </c>
      <c r="J29" s="54"/>
      <c r="K29" s="54"/>
      <c r="L29" s="54"/>
      <c r="M29" s="54"/>
      <c r="N29" s="54"/>
      <c r="O29" s="60"/>
    </row>
    <row r="30" spans="1:15" x14ac:dyDescent="0.3">
      <c r="A30" s="70">
        <f t="shared" si="3"/>
        <v>90</v>
      </c>
      <c r="B30" s="180" t="s">
        <v>85</v>
      </c>
      <c r="C30" s="180" t="s">
        <v>68</v>
      </c>
      <c r="D30" s="178">
        <v>0.06</v>
      </c>
      <c r="E30" s="177" t="s">
        <v>35</v>
      </c>
      <c r="F30" s="177">
        <v>2</v>
      </c>
      <c r="G30" s="177"/>
      <c r="H30" s="177">
        <v>1</v>
      </c>
      <c r="I30" s="222">
        <f t="shared" si="5"/>
        <v>0.12</v>
      </c>
      <c r="J30" s="54"/>
      <c r="K30" s="54"/>
      <c r="L30" s="54"/>
      <c r="M30" s="54"/>
      <c r="N30" s="54"/>
      <c r="O30" s="60"/>
    </row>
    <row r="31" spans="1:15" x14ac:dyDescent="0.3">
      <c r="A31" s="70">
        <f t="shared" si="3"/>
        <v>100</v>
      </c>
      <c r="B31" s="181" t="s">
        <v>64</v>
      </c>
      <c r="C31" s="180" t="s">
        <v>103</v>
      </c>
      <c r="D31" s="178">
        <v>0.12</v>
      </c>
      <c r="E31" s="177" t="s">
        <v>35</v>
      </c>
      <c r="F31" s="177">
        <v>1</v>
      </c>
      <c r="G31" s="177"/>
      <c r="H31" s="177">
        <v>1</v>
      </c>
      <c r="I31" s="222">
        <f t="shared" si="5"/>
        <v>0.12</v>
      </c>
      <c r="J31" s="54"/>
      <c r="K31" s="54"/>
      <c r="L31" s="54"/>
      <c r="M31" s="54"/>
      <c r="N31" s="54"/>
      <c r="O31" s="60"/>
    </row>
    <row r="32" spans="1:15" x14ac:dyDescent="0.3">
      <c r="A32" s="70">
        <f t="shared" si="3"/>
        <v>110</v>
      </c>
      <c r="B32" s="177" t="s">
        <v>85</v>
      </c>
      <c r="C32" s="180" t="s">
        <v>88</v>
      </c>
      <c r="D32" s="178">
        <v>0.06</v>
      </c>
      <c r="E32" s="177" t="s">
        <v>35</v>
      </c>
      <c r="F32" s="177">
        <v>2</v>
      </c>
      <c r="G32" s="177"/>
      <c r="H32" s="177">
        <v>1</v>
      </c>
      <c r="I32" s="222">
        <f t="shared" si="5"/>
        <v>0.12</v>
      </c>
      <c r="J32" s="54"/>
      <c r="K32" s="54"/>
      <c r="L32" s="54"/>
      <c r="M32" s="54"/>
      <c r="N32" s="54"/>
      <c r="O32" s="60"/>
    </row>
    <row r="33" spans="1:15" s="17" customFormat="1" x14ac:dyDescent="0.3">
      <c r="A33" s="70">
        <f t="shared" si="3"/>
        <v>120</v>
      </c>
      <c r="B33" s="177" t="s">
        <v>85</v>
      </c>
      <c r="C33" s="180" t="s">
        <v>89</v>
      </c>
      <c r="D33" s="178">
        <v>0.06</v>
      </c>
      <c r="E33" s="177" t="s">
        <v>35</v>
      </c>
      <c r="F33" s="177">
        <v>2</v>
      </c>
      <c r="G33" s="177"/>
      <c r="H33" s="177">
        <v>1</v>
      </c>
      <c r="I33" s="222">
        <f t="shared" si="5"/>
        <v>0.12</v>
      </c>
      <c r="J33" s="55"/>
      <c r="K33" s="55"/>
      <c r="L33" s="55"/>
      <c r="M33" s="55"/>
      <c r="N33" s="55"/>
      <c r="O33" s="63"/>
    </row>
    <row r="34" spans="1:15" s="25" customFormat="1" x14ac:dyDescent="0.3">
      <c r="A34" s="70">
        <f t="shared" si="3"/>
        <v>130</v>
      </c>
      <c r="B34" s="181" t="s">
        <v>64</v>
      </c>
      <c r="C34" s="180" t="s">
        <v>104</v>
      </c>
      <c r="D34" s="178">
        <v>0.12</v>
      </c>
      <c r="E34" s="177" t="s">
        <v>35</v>
      </c>
      <c r="F34" s="177">
        <v>1</v>
      </c>
      <c r="G34" s="177"/>
      <c r="H34" s="177">
        <v>1</v>
      </c>
      <c r="I34" s="222">
        <f t="shared" si="5"/>
        <v>0.12</v>
      </c>
      <c r="J34" s="55"/>
      <c r="K34" s="55"/>
      <c r="L34" s="55"/>
      <c r="M34" s="55"/>
      <c r="N34" s="55"/>
      <c r="O34" s="66"/>
    </row>
    <row r="35" spans="1:15" s="25" customFormat="1" x14ac:dyDescent="0.3">
      <c r="A35" s="70">
        <f t="shared" si="3"/>
        <v>140</v>
      </c>
      <c r="B35" s="181" t="s">
        <v>64</v>
      </c>
      <c r="C35" s="180" t="s">
        <v>86</v>
      </c>
      <c r="D35" s="178">
        <v>0.12</v>
      </c>
      <c r="E35" s="177" t="s">
        <v>35</v>
      </c>
      <c r="F35" s="177">
        <v>2</v>
      </c>
      <c r="G35" s="177"/>
      <c r="H35" s="177">
        <v>1</v>
      </c>
      <c r="I35" s="222">
        <f t="shared" si="5"/>
        <v>0.24</v>
      </c>
      <c r="J35" s="55"/>
      <c r="K35" s="55"/>
      <c r="L35" s="55"/>
      <c r="M35" s="55"/>
      <c r="N35" s="55"/>
      <c r="O35" s="66"/>
    </row>
    <row r="36" spans="1:15" s="17" customFormat="1" ht="14.4" customHeight="1" x14ac:dyDescent="0.3">
      <c r="A36" s="70">
        <f t="shared" si="3"/>
        <v>150</v>
      </c>
      <c r="B36" s="181" t="s">
        <v>65</v>
      </c>
      <c r="C36" s="180" t="s">
        <v>66</v>
      </c>
      <c r="D36" s="178">
        <v>0.75</v>
      </c>
      <c r="E36" s="177" t="s">
        <v>35</v>
      </c>
      <c r="F36" s="177">
        <v>2</v>
      </c>
      <c r="G36" s="177"/>
      <c r="H36" s="177">
        <v>1</v>
      </c>
      <c r="I36" s="222">
        <f t="shared" si="5"/>
        <v>1.5</v>
      </c>
      <c r="J36" s="55"/>
      <c r="K36" s="55"/>
      <c r="L36" s="55"/>
      <c r="M36" s="55"/>
      <c r="N36" s="55"/>
      <c r="O36" s="63"/>
    </row>
    <row r="37" spans="1:15" s="17" customFormat="1" ht="14.4" customHeight="1" x14ac:dyDescent="0.3">
      <c r="A37" s="70">
        <f t="shared" si="3"/>
        <v>160</v>
      </c>
      <c r="B37" s="181" t="s">
        <v>67</v>
      </c>
      <c r="C37" s="180" t="s">
        <v>66</v>
      </c>
      <c r="D37" s="178">
        <v>0.25</v>
      </c>
      <c r="E37" s="177" t="s">
        <v>35</v>
      </c>
      <c r="F37" s="177">
        <v>2</v>
      </c>
      <c r="G37" s="177"/>
      <c r="H37" s="177">
        <v>1</v>
      </c>
      <c r="I37" s="222">
        <f t="shared" si="5"/>
        <v>0.5</v>
      </c>
      <c r="J37" s="55"/>
      <c r="K37" s="55"/>
      <c r="L37" s="55"/>
      <c r="M37" s="55"/>
      <c r="N37" s="55"/>
      <c r="O37" s="63"/>
    </row>
    <row r="38" spans="1:15" x14ac:dyDescent="0.3">
      <c r="A38" s="65"/>
      <c r="B38" s="24"/>
      <c r="C38" s="24"/>
      <c r="D38" s="24"/>
      <c r="E38" s="24"/>
      <c r="F38" s="24"/>
      <c r="G38" s="24"/>
      <c r="H38" s="90" t="s">
        <v>18</v>
      </c>
      <c r="I38" s="89">
        <f>SUM(I22:I37)</f>
        <v>8.0960000000000001</v>
      </c>
      <c r="J38" s="54"/>
      <c r="K38" s="54"/>
      <c r="L38" s="54"/>
      <c r="M38" s="54"/>
      <c r="N38" s="54"/>
      <c r="O38" s="60"/>
    </row>
    <row r="39" spans="1:15" x14ac:dyDescent="0.3">
      <c r="A39" s="61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60"/>
    </row>
    <row r="40" spans="1:15" x14ac:dyDescent="0.3">
      <c r="A40" s="87" t="s">
        <v>14</v>
      </c>
      <c r="B40" s="87" t="s">
        <v>36</v>
      </c>
      <c r="C40" s="87" t="s">
        <v>20</v>
      </c>
      <c r="D40" s="87" t="s">
        <v>21</v>
      </c>
      <c r="E40" s="87" t="s">
        <v>22</v>
      </c>
      <c r="F40" s="87" t="s">
        <v>23</v>
      </c>
      <c r="G40" s="87" t="s">
        <v>24</v>
      </c>
      <c r="H40" s="87" t="s">
        <v>25</v>
      </c>
      <c r="I40" s="87" t="s">
        <v>17</v>
      </c>
      <c r="J40" s="87" t="s">
        <v>18</v>
      </c>
      <c r="K40" s="54"/>
      <c r="L40" s="54"/>
      <c r="M40" s="54"/>
      <c r="N40" s="54"/>
      <c r="O40" s="60"/>
    </row>
    <row r="41" spans="1:15" x14ac:dyDescent="0.3">
      <c r="A41" s="70">
        <v>10</v>
      </c>
      <c r="B41" s="70" t="s">
        <v>37</v>
      </c>
      <c r="C41" s="70" t="s">
        <v>105</v>
      </c>
      <c r="D41" s="73">
        <f>0.8/105154*E41^2*G41*SQRT(G41)+0.003*EXP(0.319*E41)</f>
        <v>0.18547981844542938</v>
      </c>
      <c r="E41" s="74">
        <v>8</v>
      </c>
      <c r="F41" s="74" t="s">
        <v>30</v>
      </c>
      <c r="G41" s="74">
        <v>45</v>
      </c>
      <c r="H41" s="74" t="s">
        <v>30</v>
      </c>
      <c r="I41" s="75">
        <v>1</v>
      </c>
      <c r="J41" s="71">
        <f>D41*I41</f>
        <v>0.18547981844542938</v>
      </c>
      <c r="K41" s="54"/>
      <c r="L41" s="54"/>
      <c r="M41" s="54"/>
      <c r="N41" s="54"/>
      <c r="O41" s="60"/>
    </row>
    <row r="42" spans="1:15" x14ac:dyDescent="0.3">
      <c r="A42" s="70">
        <f>A41+10</f>
        <v>20</v>
      </c>
      <c r="B42" s="70" t="s">
        <v>37</v>
      </c>
      <c r="C42" s="70" t="s">
        <v>106</v>
      </c>
      <c r="D42" s="73">
        <f>0.8/105154*E42^2*G42*SQRT(G42)+0.003*EXP(0.319*E42)</f>
        <v>0.18547981844542938</v>
      </c>
      <c r="E42" s="74">
        <v>8</v>
      </c>
      <c r="F42" s="74" t="s">
        <v>30</v>
      </c>
      <c r="G42" s="74">
        <v>45</v>
      </c>
      <c r="H42" s="74" t="s">
        <v>30</v>
      </c>
      <c r="I42" s="75">
        <v>1</v>
      </c>
      <c r="J42" s="71">
        <f t="shared" ref="J42:J45" si="6">D42*I42</f>
        <v>0.18547981844542938</v>
      </c>
      <c r="K42" s="54"/>
      <c r="L42" s="54"/>
      <c r="M42" s="54"/>
      <c r="N42" s="54"/>
      <c r="O42" s="60"/>
    </row>
    <row r="43" spans="1:15" x14ac:dyDescent="0.3">
      <c r="A43" s="70">
        <f t="shared" ref="A43:A45" si="7">A42+10</f>
        <v>30</v>
      </c>
      <c r="B43" s="70" t="s">
        <v>38</v>
      </c>
      <c r="C43" s="70"/>
      <c r="D43" s="73">
        <v>0.01</v>
      </c>
      <c r="E43" s="70">
        <v>8</v>
      </c>
      <c r="F43" s="76" t="s">
        <v>35</v>
      </c>
      <c r="G43" s="70"/>
      <c r="H43" s="70"/>
      <c r="I43" s="75">
        <v>4</v>
      </c>
      <c r="J43" s="71">
        <f t="shared" si="6"/>
        <v>0.04</v>
      </c>
      <c r="K43" s="54"/>
      <c r="L43" s="54"/>
      <c r="M43" s="54"/>
      <c r="N43" s="54"/>
      <c r="O43" s="60"/>
    </row>
    <row r="44" spans="1:15" x14ac:dyDescent="0.3">
      <c r="A44" s="70">
        <f t="shared" si="7"/>
        <v>40</v>
      </c>
      <c r="B44" s="70" t="s">
        <v>39</v>
      </c>
      <c r="C44" s="70" t="s">
        <v>90</v>
      </c>
      <c r="D44" s="73">
        <f>0.009*EXP(0.2*E44)</f>
        <v>2.9881052304628931E-2</v>
      </c>
      <c r="E44" s="70">
        <v>6</v>
      </c>
      <c r="F44" s="76" t="s">
        <v>30</v>
      </c>
      <c r="G44" s="70"/>
      <c r="H44" s="70"/>
      <c r="I44" s="75">
        <v>2</v>
      </c>
      <c r="J44" s="71">
        <f t="shared" si="6"/>
        <v>5.9762104609257863E-2</v>
      </c>
      <c r="K44" s="54"/>
      <c r="L44" s="54"/>
      <c r="M44" s="54"/>
      <c r="N44" s="54"/>
      <c r="O44" s="60"/>
    </row>
    <row r="45" spans="1:15" x14ac:dyDescent="0.3">
      <c r="A45" s="70">
        <f t="shared" si="7"/>
        <v>50</v>
      </c>
      <c r="B45" s="70" t="s">
        <v>39</v>
      </c>
      <c r="C45" s="70" t="s">
        <v>91</v>
      </c>
      <c r="D45" s="73">
        <f>0.009*EXP(0.2*E45)</f>
        <v>4.4577291819556032E-2</v>
      </c>
      <c r="E45" s="70">
        <v>8</v>
      </c>
      <c r="F45" s="76" t="s">
        <v>30</v>
      </c>
      <c r="G45" s="70"/>
      <c r="H45" s="70"/>
      <c r="I45" s="75">
        <v>2</v>
      </c>
      <c r="J45" s="71">
        <f t="shared" si="6"/>
        <v>8.9154583639112064E-2</v>
      </c>
      <c r="K45" s="54"/>
      <c r="L45" s="54"/>
      <c r="M45" s="54"/>
      <c r="N45" s="54"/>
      <c r="O45" s="60"/>
    </row>
    <row r="46" spans="1:15" x14ac:dyDescent="0.3">
      <c r="A46" s="65"/>
      <c r="B46" s="24"/>
      <c r="C46" s="24"/>
      <c r="D46" s="24"/>
      <c r="E46" s="24"/>
      <c r="F46" s="24"/>
      <c r="G46" s="24"/>
      <c r="H46" s="24"/>
      <c r="I46" s="90" t="s">
        <v>18</v>
      </c>
      <c r="J46" s="89">
        <f>SUM(J41:J45)</f>
        <v>0.55987632513922869</v>
      </c>
      <c r="K46" s="54"/>
      <c r="L46" s="54"/>
      <c r="M46" s="54"/>
      <c r="N46" s="54"/>
      <c r="O46" s="60"/>
    </row>
    <row r="47" spans="1:15" x14ac:dyDescent="0.3">
      <c r="A47" s="61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60"/>
    </row>
    <row r="48" spans="1:15" ht="15" thickBot="1" x14ac:dyDescent="0.35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9"/>
    </row>
    <row r="49" spans="1:14" x14ac:dyDescent="0.3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</sheetData>
  <hyperlinks>
    <hyperlink ref="B13" location="SU_12004" display="SU_12004"/>
    <hyperlink ref="B10" location="SU_12001" display="Pullrod tube"/>
    <hyperlink ref="B11" location="SU_12002" display="Pullrod insert"/>
    <hyperlink ref="B12" location="SU_12003" display="SU_12003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79"/>
  <sheetViews>
    <sheetView tabSelected="1" zoomScale="70" zoomScaleNormal="70" workbookViewId="0">
      <selection activeCell="B11" sqref="B11"/>
    </sheetView>
  </sheetViews>
  <sheetFormatPr baseColWidth="10" defaultRowHeight="14.4" x14ac:dyDescent="0.3"/>
  <cols>
    <col min="2" max="2" width="31.88671875" customWidth="1"/>
    <col min="3" max="3" width="28.77734375" customWidth="1"/>
    <col min="7" max="7" width="40.21875" customWidth="1"/>
    <col min="9" max="9" width="31.6640625" customWidth="1"/>
    <col min="10" max="10" width="13.5546875" customWidth="1"/>
  </cols>
  <sheetData>
    <row r="1" spans="1:15" x14ac:dyDescent="0.3">
      <c r="A1" s="263"/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5"/>
    </row>
    <row r="2" spans="1:15" x14ac:dyDescent="0.3">
      <c r="A2" s="212" t="s">
        <v>0</v>
      </c>
      <c r="B2" s="16" t="s">
        <v>40</v>
      </c>
      <c r="C2" s="211"/>
      <c r="D2" s="211"/>
      <c r="E2" s="211"/>
      <c r="F2" s="203" t="s">
        <v>62</v>
      </c>
      <c r="G2" s="211"/>
      <c r="H2" s="211"/>
      <c r="I2" s="211"/>
      <c r="J2" s="142" t="s">
        <v>1</v>
      </c>
      <c r="K2" s="205">
        <v>81</v>
      </c>
      <c r="L2" s="211"/>
      <c r="M2" s="141" t="s">
        <v>16</v>
      </c>
      <c r="N2" s="194">
        <f>SU_12001_m+SU_12001_p</f>
        <v>9.0687098494115101</v>
      </c>
      <c r="O2" s="210"/>
    </row>
    <row r="3" spans="1:15" x14ac:dyDescent="0.3">
      <c r="A3" s="209" t="s">
        <v>3</v>
      </c>
      <c r="B3" s="16" t="str">
        <f>'SU A1200'!B3</f>
        <v>Suspension &amp; Shocks</v>
      </c>
      <c r="C3" s="211"/>
      <c r="D3" s="141" t="s">
        <v>6</v>
      </c>
      <c r="E3" s="251"/>
      <c r="F3" s="211"/>
      <c r="G3" s="211"/>
      <c r="H3" s="211"/>
      <c r="I3" s="211"/>
      <c r="J3" s="211"/>
      <c r="K3" s="211"/>
      <c r="L3" s="211"/>
      <c r="M3" s="140" t="s">
        <v>4</v>
      </c>
      <c r="N3" s="245">
        <v>1</v>
      </c>
      <c r="O3" s="210"/>
    </row>
    <row r="4" spans="1:15" x14ac:dyDescent="0.3">
      <c r="A4" s="209" t="s">
        <v>5</v>
      </c>
      <c r="B4" s="251" t="str">
        <f>'SU A1200'!B4</f>
        <v>Front Pullrod</v>
      </c>
      <c r="C4" s="211"/>
      <c r="D4" s="140" t="s">
        <v>8</v>
      </c>
      <c r="E4" s="211"/>
      <c r="F4" s="211"/>
      <c r="G4" s="211"/>
      <c r="H4" s="211"/>
      <c r="I4" s="211"/>
      <c r="J4" s="141" t="s">
        <v>6</v>
      </c>
      <c r="K4" s="211"/>
      <c r="L4" s="211"/>
      <c r="M4" s="211"/>
      <c r="N4" s="211"/>
      <c r="O4" s="210"/>
    </row>
    <row r="5" spans="1:15" x14ac:dyDescent="0.3">
      <c r="A5" s="209" t="s">
        <v>15</v>
      </c>
      <c r="B5" s="122" t="s">
        <v>93</v>
      </c>
      <c r="C5" s="211"/>
      <c r="D5" s="140" t="s">
        <v>12</v>
      </c>
      <c r="E5" s="211"/>
      <c r="F5" s="211"/>
      <c r="G5" s="211"/>
      <c r="H5" s="211"/>
      <c r="I5" s="211"/>
      <c r="J5" s="140" t="s">
        <v>8</v>
      </c>
      <c r="K5" s="211"/>
      <c r="L5" s="211"/>
      <c r="M5" s="141" t="s">
        <v>9</v>
      </c>
      <c r="N5" s="194">
        <f>N2*SU_12001_q</f>
        <v>9.0687098494115101</v>
      </c>
      <c r="O5" s="210"/>
    </row>
    <row r="6" spans="1:15" x14ac:dyDescent="0.3">
      <c r="A6" s="209" t="s">
        <v>7</v>
      </c>
      <c r="B6" s="54" t="s">
        <v>129</v>
      </c>
      <c r="C6" s="211"/>
      <c r="D6" s="211"/>
      <c r="E6" s="211"/>
      <c r="F6" s="211"/>
      <c r="G6" s="211"/>
      <c r="H6" s="211"/>
      <c r="I6" s="211"/>
      <c r="J6" s="140" t="s">
        <v>12</v>
      </c>
      <c r="K6" s="211"/>
      <c r="L6" s="211"/>
      <c r="M6" s="211"/>
      <c r="N6" s="211"/>
      <c r="O6" s="210"/>
    </row>
    <row r="7" spans="1:15" x14ac:dyDescent="0.3">
      <c r="A7" s="209" t="s">
        <v>10</v>
      </c>
      <c r="B7" s="16" t="s">
        <v>11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0"/>
    </row>
    <row r="8" spans="1:15" x14ac:dyDescent="0.3">
      <c r="A8" s="209" t="s">
        <v>13</v>
      </c>
      <c r="B8" s="16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0"/>
    </row>
    <row r="9" spans="1:15" x14ac:dyDescent="0.3">
      <c r="A9" s="204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0"/>
    </row>
    <row r="10" spans="1:15" x14ac:dyDescent="0.3">
      <c r="A10" s="202" t="s">
        <v>14</v>
      </c>
      <c r="B10" s="135" t="s">
        <v>19</v>
      </c>
      <c r="C10" s="135" t="s">
        <v>20</v>
      </c>
      <c r="D10" s="135" t="s">
        <v>21</v>
      </c>
      <c r="E10" s="135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210"/>
    </row>
    <row r="11" spans="1:15" ht="15" customHeight="1" x14ac:dyDescent="0.3">
      <c r="A11" s="266">
        <v>10</v>
      </c>
      <c r="B11" s="145" t="s">
        <v>107</v>
      </c>
      <c r="C11" s="146" t="s">
        <v>108</v>
      </c>
      <c r="D11" s="133">
        <v>200</v>
      </c>
      <c r="E11" s="144">
        <f>J11*K11*L11</f>
        <v>4.0305377108495605E-2</v>
      </c>
      <c r="F11" s="134" t="s">
        <v>70</v>
      </c>
      <c r="G11" s="134"/>
      <c r="H11" s="138"/>
      <c r="I11" s="139" t="s">
        <v>109</v>
      </c>
      <c r="J11" s="139">
        <f>PI()*((8*10^-3)^2-(6*10^-3)^2)</f>
        <v>8.7964594300514196E-5</v>
      </c>
      <c r="K11" s="143">
        <v>0.28999999999999998</v>
      </c>
      <c r="L11" s="137">
        <v>1580</v>
      </c>
      <c r="M11" s="137">
        <v>1</v>
      </c>
      <c r="N11" s="133">
        <f>D11*E11</f>
        <v>8.0610754216991207</v>
      </c>
      <c r="O11" s="210"/>
    </row>
    <row r="12" spans="1:15" x14ac:dyDescent="0.3">
      <c r="A12" s="217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132" t="s">
        <v>18</v>
      </c>
      <c r="N12" s="136">
        <f>N11</f>
        <v>8.0610754216991207</v>
      </c>
      <c r="O12" s="210"/>
    </row>
    <row r="13" spans="1:15" x14ac:dyDescent="0.3">
      <c r="A13" s="204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0"/>
    </row>
    <row r="14" spans="1:15" x14ac:dyDescent="0.3">
      <c r="A14" s="202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00"/>
      <c r="K14" s="200"/>
      <c r="L14" s="200"/>
      <c r="M14" s="200"/>
      <c r="N14" s="200"/>
      <c r="O14" s="210"/>
    </row>
    <row r="15" spans="1:15" x14ac:dyDescent="0.3">
      <c r="A15" s="267">
        <v>10</v>
      </c>
      <c r="B15" s="226" t="s">
        <v>110</v>
      </c>
      <c r="C15" s="225" t="s">
        <v>111</v>
      </c>
      <c r="D15" s="240">
        <v>25</v>
      </c>
      <c r="E15" s="226" t="s">
        <v>70</v>
      </c>
      <c r="F15" s="199">
        <f>E11</f>
        <v>4.0305377108495605E-2</v>
      </c>
      <c r="G15" s="237"/>
      <c r="H15" s="237"/>
      <c r="I15" s="230">
        <f>D15*F15</f>
        <v>1.0076344277123901</v>
      </c>
      <c r="J15" s="211"/>
      <c r="K15" s="211"/>
      <c r="L15" s="211"/>
      <c r="M15" s="211"/>
      <c r="N15" s="211"/>
      <c r="O15" s="210"/>
    </row>
    <row r="16" spans="1:15" x14ac:dyDescent="0.3">
      <c r="A16" s="217"/>
      <c r="B16" s="200"/>
      <c r="C16" s="200"/>
      <c r="D16" s="200"/>
      <c r="E16" s="200"/>
      <c r="F16" s="200"/>
      <c r="G16" s="200"/>
      <c r="H16" s="132" t="s">
        <v>18</v>
      </c>
      <c r="I16" s="131">
        <f>I15</f>
        <v>1.0076344277123901</v>
      </c>
      <c r="J16" s="200"/>
      <c r="K16" s="200"/>
      <c r="L16" s="200"/>
      <c r="M16" s="200"/>
      <c r="N16" s="200"/>
      <c r="O16" s="210"/>
    </row>
    <row r="17" spans="1:15" ht="15" thickBot="1" x14ac:dyDescent="0.35">
      <c r="A17" s="268"/>
      <c r="B17" s="269"/>
      <c r="C17" s="269"/>
      <c r="D17" s="269"/>
      <c r="E17" s="269"/>
      <c r="F17" s="269"/>
      <c r="G17" s="269"/>
      <c r="H17" s="270"/>
      <c r="I17" s="271"/>
      <c r="J17" s="269"/>
      <c r="K17" s="269"/>
      <c r="L17" s="269"/>
      <c r="M17" s="269"/>
      <c r="N17" s="269"/>
      <c r="O17" s="272"/>
    </row>
    <row r="18" spans="1:15" x14ac:dyDescent="0.3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</row>
    <row r="19" spans="1:15" x14ac:dyDescent="0.3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</row>
    <row r="20" spans="1:15" x14ac:dyDescent="0.3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</row>
    <row r="21" spans="1:15" x14ac:dyDescent="0.3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</row>
    <row r="22" spans="1:15" x14ac:dyDescent="0.3">
      <c r="A22" s="16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</row>
    <row r="23" spans="1:15" x14ac:dyDescent="0.3">
      <c r="A23" s="16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</row>
    <row r="24" spans="1:15" x14ac:dyDescent="0.3">
      <c r="A24" s="8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</row>
    <row r="25" spans="1:15" x14ac:dyDescent="0.3">
      <c r="A25" s="18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</row>
    <row r="26" spans="1:15" x14ac:dyDescent="0.3">
      <c r="A26" s="26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</row>
    <row r="27" spans="1:15" x14ac:dyDescent="0.3">
      <c r="A27" s="16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</row>
    <row r="28" spans="1:15" x14ac:dyDescent="0.3">
      <c r="A28" s="16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</row>
    <row r="29" spans="1:15" x14ac:dyDescent="0.3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</row>
    <row r="30" spans="1:15" x14ac:dyDescent="0.3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</row>
    <row r="31" spans="1:15" x14ac:dyDescent="0.3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</row>
    <row r="32" spans="1:15" x14ac:dyDescent="0.3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</row>
    <row r="33" spans="1:14" x14ac:dyDescent="0.3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</row>
    <row r="34" spans="1:14" x14ac:dyDescent="0.3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</row>
    <row r="35" spans="1:14" x14ac:dyDescent="0.3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</row>
    <row r="36" spans="1:14" x14ac:dyDescent="0.3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</row>
    <row r="37" spans="1:14" x14ac:dyDescent="0.3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</row>
    <row r="38" spans="1:14" x14ac:dyDescent="0.3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</row>
    <row r="39" spans="1:14" x14ac:dyDescent="0.3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</row>
    <row r="40" spans="1:14" x14ac:dyDescent="0.3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</row>
    <row r="41" spans="1:14" x14ac:dyDescent="0.3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</row>
    <row r="42" spans="1:14" x14ac:dyDescent="0.3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</row>
    <row r="43" spans="1:14" x14ac:dyDescent="0.3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</row>
    <row r="44" spans="1:14" x14ac:dyDescent="0.3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</row>
    <row r="45" spans="1:14" x14ac:dyDescent="0.3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</row>
    <row r="46" spans="1:14" x14ac:dyDescent="0.3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</row>
    <row r="47" spans="1:14" x14ac:dyDescent="0.3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</row>
    <row r="48" spans="1:14" x14ac:dyDescent="0.3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</row>
    <row r="49" spans="1:14" x14ac:dyDescent="0.3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</row>
    <row r="50" spans="1:14" x14ac:dyDescent="0.3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</row>
    <row r="51" spans="1:14" x14ac:dyDescent="0.3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</row>
    <row r="52" spans="1:14" x14ac:dyDescent="0.3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 spans="1:14" x14ac:dyDescent="0.3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</row>
    <row r="54" spans="1:14" x14ac:dyDescent="0.3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</row>
    <row r="55" spans="1:14" x14ac:dyDescent="0.3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</row>
    <row r="56" spans="1:14" x14ac:dyDescent="0.3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</row>
    <row r="57" spans="1:14" x14ac:dyDescent="0.3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</row>
    <row r="58" spans="1:14" x14ac:dyDescent="0.3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</row>
    <row r="59" spans="1:14" x14ac:dyDescent="0.3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</row>
    <row r="60" spans="1:14" x14ac:dyDescent="0.3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</row>
    <row r="61" spans="1:14" x14ac:dyDescent="0.3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</row>
    <row r="62" spans="1:14" x14ac:dyDescent="0.3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</row>
    <row r="63" spans="1:14" x14ac:dyDescent="0.3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</row>
    <row r="64" spans="1:14" x14ac:dyDescent="0.3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</row>
    <row r="65" spans="1:14" x14ac:dyDescent="0.3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</row>
    <row r="66" spans="1:14" x14ac:dyDescent="0.3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</row>
    <row r="67" spans="1:14" x14ac:dyDescent="0.3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</row>
    <row r="68" spans="1:14" x14ac:dyDescent="0.3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</row>
    <row r="69" spans="1:14" x14ac:dyDescent="0.3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</row>
    <row r="70" spans="1:14" x14ac:dyDescent="0.3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</row>
    <row r="71" spans="1:14" x14ac:dyDescent="0.3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</row>
    <row r="72" spans="1:14" x14ac:dyDescent="0.3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</row>
    <row r="73" spans="1:14" x14ac:dyDescent="0.3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</row>
    <row r="74" spans="1:14" x14ac:dyDescent="0.3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</row>
    <row r="75" spans="1:14" x14ac:dyDescent="0.3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</row>
    <row r="76" spans="1:14" x14ac:dyDescent="0.3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</row>
    <row r="77" spans="1:14" x14ac:dyDescent="0.3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</row>
    <row r="78" spans="1:14" x14ac:dyDescent="0.3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</row>
    <row r="79" spans="1:14" x14ac:dyDescent="0.3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</row>
    <row r="80" spans="1:14" x14ac:dyDescent="0.3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</row>
    <row r="81" spans="1:14" x14ac:dyDescent="0.3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</row>
    <row r="82" spans="1:14" x14ac:dyDescent="0.3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</row>
    <row r="83" spans="1:14" x14ac:dyDescent="0.3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</row>
    <row r="84" spans="1:14" x14ac:dyDescent="0.3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</row>
    <row r="85" spans="1:14" x14ac:dyDescent="0.3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</row>
    <row r="86" spans="1:14" x14ac:dyDescent="0.3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</row>
    <row r="87" spans="1:14" x14ac:dyDescent="0.3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</row>
    <row r="88" spans="1:14" x14ac:dyDescent="0.3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</row>
    <row r="89" spans="1:14" x14ac:dyDescent="0.3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</row>
    <row r="90" spans="1:14" x14ac:dyDescent="0.3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</row>
    <row r="91" spans="1:14" x14ac:dyDescent="0.3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</row>
    <row r="92" spans="1:14" x14ac:dyDescent="0.3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</row>
    <row r="93" spans="1:14" x14ac:dyDescent="0.3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</row>
    <row r="94" spans="1:14" x14ac:dyDescent="0.3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</row>
    <row r="95" spans="1:14" x14ac:dyDescent="0.3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</row>
    <row r="96" spans="1:14" x14ac:dyDescent="0.3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</row>
    <row r="97" spans="1:14" x14ac:dyDescent="0.3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</row>
    <row r="98" spans="1:14" x14ac:dyDescent="0.3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</row>
    <row r="99" spans="1:14" x14ac:dyDescent="0.3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</row>
    <row r="100" spans="1:14" x14ac:dyDescent="0.3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</row>
    <row r="101" spans="1:14" x14ac:dyDescent="0.3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</row>
    <row r="102" spans="1:14" x14ac:dyDescent="0.3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</row>
    <row r="103" spans="1:14" x14ac:dyDescent="0.3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</row>
    <row r="104" spans="1:14" x14ac:dyDescent="0.3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</row>
    <row r="105" spans="1:14" x14ac:dyDescent="0.3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</row>
    <row r="106" spans="1:14" x14ac:dyDescent="0.3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</row>
    <row r="107" spans="1:14" x14ac:dyDescent="0.3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</row>
    <row r="108" spans="1:14" x14ac:dyDescent="0.3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</row>
    <row r="109" spans="1:14" x14ac:dyDescent="0.3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</row>
    <row r="110" spans="1:14" x14ac:dyDescent="0.3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</row>
    <row r="111" spans="1:14" x14ac:dyDescent="0.3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</row>
    <row r="112" spans="1:14" x14ac:dyDescent="0.3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</row>
    <row r="113" spans="1:14" x14ac:dyDescent="0.3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</row>
    <row r="114" spans="1:14" x14ac:dyDescent="0.3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</row>
    <row r="115" spans="1:14" x14ac:dyDescent="0.3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</row>
    <row r="116" spans="1:14" x14ac:dyDescent="0.3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</row>
    <row r="117" spans="1:14" x14ac:dyDescent="0.3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</row>
    <row r="118" spans="1:14" x14ac:dyDescent="0.3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</row>
    <row r="119" spans="1:14" x14ac:dyDescent="0.3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</row>
    <row r="120" spans="1:14" x14ac:dyDescent="0.3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</row>
    <row r="121" spans="1:14" x14ac:dyDescent="0.3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</row>
    <row r="122" spans="1:14" x14ac:dyDescent="0.3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</row>
    <row r="123" spans="1:14" x14ac:dyDescent="0.3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</row>
    <row r="124" spans="1:14" x14ac:dyDescent="0.3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</row>
    <row r="125" spans="1:14" x14ac:dyDescent="0.3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</row>
    <row r="126" spans="1:14" x14ac:dyDescent="0.3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</row>
    <row r="127" spans="1:14" x14ac:dyDescent="0.3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</row>
    <row r="128" spans="1:14" x14ac:dyDescent="0.3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</row>
    <row r="129" spans="1:14" x14ac:dyDescent="0.3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</row>
    <row r="130" spans="1:14" x14ac:dyDescent="0.3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</row>
    <row r="131" spans="1:14" x14ac:dyDescent="0.3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</row>
    <row r="132" spans="1:14" x14ac:dyDescent="0.3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</row>
    <row r="133" spans="1:14" x14ac:dyDescent="0.3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</row>
    <row r="134" spans="1:14" x14ac:dyDescent="0.3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</row>
    <row r="135" spans="1:14" x14ac:dyDescent="0.3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</row>
    <row r="136" spans="1:14" x14ac:dyDescent="0.3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</row>
    <row r="137" spans="1:14" x14ac:dyDescent="0.3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</row>
    <row r="138" spans="1:14" x14ac:dyDescent="0.3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</row>
    <row r="139" spans="1:14" x14ac:dyDescent="0.3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</row>
    <row r="140" spans="1:14" x14ac:dyDescent="0.3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</row>
    <row r="141" spans="1:14" x14ac:dyDescent="0.3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 spans="1:14" x14ac:dyDescent="0.3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</row>
    <row r="143" spans="1:14" x14ac:dyDescent="0.3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</row>
    <row r="144" spans="1:14" x14ac:dyDescent="0.3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</row>
    <row r="145" spans="1:14" x14ac:dyDescent="0.3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</row>
    <row r="146" spans="1:14" x14ac:dyDescent="0.3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</row>
    <row r="147" spans="1:14" x14ac:dyDescent="0.3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 spans="1:14" x14ac:dyDescent="0.3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 spans="1:14" x14ac:dyDescent="0.3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</row>
    <row r="150" spans="1:14" x14ac:dyDescent="0.3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</row>
    <row r="151" spans="1:14" x14ac:dyDescent="0.3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</row>
    <row r="152" spans="1:14" x14ac:dyDescent="0.3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</row>
    <row r="153" spans="1:14" x14ac:dyDescent="0.3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</row>
    <row r="154" spans="1:14" x14ac:dyDescent="0.3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</row>
    <row r="155" spans="1:14" x14ac:dyDescent="0.3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</row>
    <row r="156" spans="1:14" x14ac:dyDescent="0.3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</row>
    <row r="157" spans="1:14" x14ac:dyDescent="0.3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</row>
    <row r="158" spans="1:14" x14ac:dyDescent="0.3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</row>
    <row r="159" spans="1:14" x14ac:dyDescent="0.3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</row>
    <row r="160" spans="1:14" x14ac:dyDescent="0.3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</row>
    <row r="161" spans="1:14" x14ac:dyDescent="0.3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</row>
    <row r="162" spans="1:14" x14ac:dyDescent="0.3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</row>
    <row r="163" spans="1:14" x14ac:dyDescent="0.3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</row>
    <row r="164" spans="1:14" x14ac:dyDescent="0.3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</row>
    <row r="165" spans="1:14" x14ac:dyDescent="0.3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</row>
    <row r="166" spans="1:14" x14ac:dyDescent="0.3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</row>
    <row r="167" spans="1:14" x14ac:dyDescent="0.3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</row>
    <row r="168" spans="1:14" x14ac:dyDescent="0.3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</row>
    <row r="169" spans="1:14" x14ac:dyDescent="0.3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</row>
    <row r="170" spans="1:14" x14ac:dyDescent="0.3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</row>
    <row r="171" spans="1:14" x14ac:dyDescent="0.3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</row>
    <row r="172" spans="1:14" x14ac:dyDescent="0.3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</row>
    <row r="173" spans="1:14" x14ac:dyDescent="0.3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</row>
    <row r="174" spans="1:14" x14ac:dyDescent="0.3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</row>
    <row r="175" spans="1:14" x14ac:dyDescent="0.3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</row>
    <row r="176" spans="1:14" x14ac:dyDescent="0.3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</row>
    <row r="177" spans="1:14" x14ac:dyDescent="0.3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</row>
    <row r="178" spans="1:14" x14ac:dyDescent="0.3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</row>
    <row r="179" spans="1:14" x14ac:dyDescent="0.3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</row>
    <row r="180" spans="1:14" x14ac:dyDescent="0.3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</row>
    <row r="181" spans="1:14" x14ac:dyDescent="0.3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</row>
    <row r="182" spans="1:14" x14ac:dyDescent="0.3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</row>
    <row r="183" spans="1:14" x14ac:dyDescent="0.3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</row>
    <row r="184" spans="1:14" x14ac:dyDescent="0.3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</row>
    <row r="185" spans="1:14" x14ac:dyDescent="0.3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</row>
    <row r="186" spans="1:14" x14ac:dyDescent="0.3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</row>
    <row r="187" spans="1:14" x14ac:dyDescent="0.3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</row>
    <row r="188" spans="1:14" x14ac:dyDescent="0.3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</row>
    <row r="189" spans="1:14" x14ac:dyDescent="0.3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</row>
    <row r="190" spans="1:14" x14ac:dyDescent="0.3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</row>
    <row r="191" spans="1:14" x14ac:dyDescent="0.3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</row>
    <row r="192" spans="1:14" x14ac:dyDescent="0.3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</row>
    <row r="193" spans="1:14" x14ac:dyDescent="0.3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</row>
    <row r="194" spans="1:14" x14ac:dyDescent="0.3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</row>
    <row r="195" spans="1:14" x14ac:dyDescent="0.3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</row>
    <row r="196" spans="1:14" x14ac:dyDescent="0.3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</row>
    <row r="197" spans="1:14" x14ac:dyDescent="0.3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</row>
    <row r="198" spans="1:14" x14ac:dyDescent="0.3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</row>
    <row r="199" spans="1:14" x14ac:dyDescent="0.3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</row>
    <row r="200" spans="1:14" x14ac:dyDescent="0.3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</row>
    <row r="201" spans="1:14" x14ac:dyDescent="0.3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</row>
    <row r="202" spans="1:14" x14ac:dyDescent="0.3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</row>
    <row r="203" spans="1:14" x14ac:dyDescent="0.3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</row>
    <row r="204" spans="1:14" x14ac:dyDescent="0.3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</row>
    <row r="205" spans="1:14" x14ac:dyDescent="0.3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</row>
    <row r="206" spans="1:14" x14ac:dyDescent="0.3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</row>
    <row r="207" spans="1:14" x14ac:dyDescent="0.3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</row>
    <row r="208" spans="1:14" x14ac:dyDescent="0.3">
      <c r="A208" s="130"/>
      <c r="B208" s="130"/>
      <c r="C208" s="130"/>
      <c r="D208" s="130"/>
      <c r="E208" s="130"/>
      <c r="F208" s="130"/>
      <c r="G208" s="130"/>
      <c r="H208" s="130"/>
      <c r="I208" s="130"/>
      <c r="J208" s="129"/>
      <c r="K208" s="129"/>
      <c r="L208" s="129"/>
      <c r="M208" s="129"/>
      <c r="N208" s="129"/>
    </row>
    <row r="209" spans="1:9" x14ac:dyDescent="0.3">
      <c r="A209" s="130"/>
      <c r="B209" s="130"/>
      <c r="C209" s="130"/>
      <c r="D209" s="130"/>
      <c r="E209" s="130"/>
      <c r="F209" s="130"/>
      <c r="G209" s="130"/>
      <c r="H209" s="130"/>
      <c r="I209" s="130"/>
    </row>
    <row r="210" spans="1:9" x14ac:dyDescent="0.3">
      <c r="A210" s="130"/>
      <c r="B210" s="130"/>
      <c r="C210" s="130"/>
      <c r="D210" s="130"/>
      <c r="E210" s="130"/>
      <c r="F210" s="130"/>
      <c r="G210" s="130"/>
      <c r="H210" s="130"/>
      <c r="I210" s="130"/>
    </row>
    <row r="211" spans="1:9" x14ac:dyDescent="0.3">
      <c r="A211" s="130"/>
      <c r="B211" s="130"/>
      <c r="C211" s="130"/>
      <c r="D211" s="130"/>
      <c r="E211" s="130"/>
      <c r="F211" s="130"/>
      <c r="G211" s="130"/>
      <c r="H211" s="130"/>
      <c r="I211" s="130"/>
    </row>
    <row r="212" spans="1:9" x14ac:dyDescent="0.3">
      <c r="A212" s="130"/>
      <c r="B212" s="130"/>
      <c r="C212" s="130"/>
      <c r="D212" s="130"/>
      <c r="E212" s="130"/>
      <c r="F212" s="130"/>
      <c r="G212" s="130"/>
      <c r="H212" s="130"/>
      <c r="I212" s="130"/>
    </row>
    <row r="213" spans="1:9" x14ac:dyDescent="0.3">
      <c r="A213" s="130"/>
      <c r="B213" s="130"/>
      <c r="C213" s="130"/>
      <c r="D213" s="130"/>
      <c r="E213" s="130"/>
      <c r="F213" s="130"/>
      <c r="G213" s="130"/>
      <c r="H213" s="130"/>
      <c r="I213" s="130"/>
    </row>
    <row r="214" spans="1:9" x14ac:dyDescent="0.3">
      <c r="A214" s="130"/>
      <c r="B214" s="130"/>
      <c r="C214" s="130"/>
      <c r="D214" s="130"/>
      <c r="E214" s="130"/>
      <c r="F214" s="130"/>
      <c r="G214" s="130"/>
      <c r="H214" s="130"/>
      <c r="I214" s="130"/>
    </row>
    <row r="215" spans="1:9" x14ac:dyDescent="0.3">
      <c r="A215" s="130"/>
      <c r="B215" s="130"/>
      <c r="C215" s="130"/>
      <c r="D215" s="130"/>
      <c r="E215" s="130"/>
      <c r="F215" s="130"/>
      <c r="G215" s="130"/>
      <c r="H215" s="130"/>
      <c r="I215" s="130"/>
    </row>
    <row r="216" spans="1:9" x14ac:dyDescent="0.3">
      <c r="A216" s="130"/>
      <c r="B216" s="130"/>
      <c r="C216" s="130"/>
      <c r="D216" s="130"/>
      <c r="E216" s="130"/>
      <c r="F216" s="130"/>
      <c r="G216" s="130"/>
      <c r="H216" s="130"/>
      <c r="I216" s="130"/>
    </row>
    <row r="217" spans="1:9" x14ac:dyDescent="0.3">
      <c r="A217" s="130"/>
      <c r="B217" s="130"/>
      <c r="C217" s="130"/>
      <c r="D217" s="130"/>
      <c r="E217" s="130"/>
      <c r="F217" s="130"/>
      <c r="G217" s="130"/>
      <c r="H217" s="130"/>
      <c r="I217" s="130"/>
    </row>
    <row r="218" spans="1:9" x14ac:dyDescent="0.3">
      <c r="A218" s="130"/>
      <c r="B218" s="130"/>
      <c r="C218" s="130"/>
      <c r="D218" s="130"/>
      <c r="E218" s="130"/>
      <c r="F218" s="130"/>
      <c r="G218" s="130"/>
      <c r="H218" s="130"/>
      <c r="I218" s="130"/>
    </row>
    <row r="219" spans="1:9" x14ac:dyDescent="0.3">
      <c r="A219" s="130"/>
      <c r="B219" s="130"/>
      <c r="C219" s="130"/>
      <c r="D219" s="130"/>
      <c r="E219" s="130"/>
      <c r="F219" s="130"/>
      <c r="G219" s="130"/>
      <c r="H219" s="130"/>
      <c r="I219" s="130"/>
    </row>
    <row r="220" spans="1:9" x14ac:dyDescent="0.3">
      <c r="A220" s="130"/>
      <c r="B220" s="130"/>
      <c r="C220" s="130"/>
      <c r="D220" s="130"/>
      <c r="E220" s="130"/>
      <c r="F220" s="130"/>
      <c r="G220" s="130"/>
      <c r="H220" s="130"/>
      <c r="I220" s="130"/>
    </row>
    <row r="221" spans="1:9" x14ac:dyDescent="0.3">
      <c r="A221" s="130"/>
      <c r="B221" s="130"/>
      <c r="C221" s="130"/>
      <c r="D221" s="130"/>
      <c r="E221" s="130"/>
      <c r="F221" s="130"/>
      <c r="G221" s="130"/>
      <c r="H221" s="130"/>
      <c r="I221" s="130"/>
    </row>
    <row r="222" spans="1:9" x14ac:dyDescent="0.3">
      <c r="A222" s="130"/>
      <c r="B222" s="130"/>
      <c r="C222" s="130"/>
      <c r="D222" s="130"/>
      <c r="E222" s="130"/>
      <c r="F222" s="130"/>
      <c r="G222" s="130"/>
      <c r="H222" s="130"/>
      <c r="I222" s="130"/>
    </row>
    <row r="223" spans="1:9" x14ac:dyDescent="0.3">
      <c r="A223" s="130"/>
      <c r="B223" s="130"/>
      <c r="C223" s="130"/>
      <c r="D223" s="130"/>
      <c r="E223" s="130"/>
      <c r="F223" s="130"/>
      <c r="G223" s="130"/>
      <c r="H223" s="130"/>
      <c r="I223" s="130"/>
    </row>
    <row r="224" spans="1:9" x14ac:dyDescent="0.3">
      <c r="A224" s="130"/>
      <c r="B224" s="130"/>
      <c r="C224" s="130"/>
      <c r="D224" s="130"/>
      <c r="E224" s="130"/>
      <c r="F224" s="130"/>
      <c r="G224" s="130"/>
      <c r="H224" s="130"/>
      <c r="I224" s="130"/>
    </row>
    <row r="225" spans="1:9" x14ac:dyDescent="0.3">
      <c r="A225" s="130"/>
      <c r="B225" s="130"/>
      <c r="C225" s="130"/>
      <c r="D225" s="130"/>
      <c r="E225" s="130"/>
      <c r="F225" s="130"/>
      <c r="G225" s="130"/>
      <c r="H225" s="130"/>
      <c r="I225" s="130"/>
    </row>
    <row r="226" spans="1:9" x14ac:dyDescent="0.3">
      <c r="A226" s="130"/>
      <c r="B226" s="130"/>
      <c r="C226" s="130"/>
      <c r="D226" s="130"/>
      <c r="E226" s="130"/>
      <c r="F226" s="130"/>
      <c r="G226" s="130"/>
      <c r="H226" s="130"/>
      <c r="I226" s="130"/>
    </row>
    <row r="227" spans="1:9" x14ac:dyDescent="0.3">
      <c r="A227" s="130"/>
      <c r="B227" s="130"/>
      <c r="C227" s="130"/>
      <c r="D227" s="130"/>
      <c r="E227" s="130"/>
      <c r="F227" s="130"/>
      <c r="G227" s="130"/>
      <c r="H227" s="130"/>
      <c r="I227" s="130"/>
    </row>
    <row r="228" spans="1:9" x14ac:dyDescent="0.3">
      <c r="A228" s="130"/>
      <c r="B228" s="130"/>
      <c r="C228" s="130"/>
      <c r="D228" s="130"/>
      <c r="E228" s="130"/>
      <c r="F228" s="130"/>
      <c r="G228" s="130"/>
      <c r="H228" s="130"/>
      <c r="I228" s="130"/>
    </row>
    <row r="229" spans="1:9" x14ac:dyDescent="0.3">
      <c r="A229" s="130"/>
      <c r="B229" s="130"/>
      <c r="C229" s="130"/>
      <c r="D229" s="130"/>
      <c r="E229" s="130"/>
      <c r="F229" s="130"/>
      <c r="G229" s="130"/>
      <c r="H229" s="130"/>
      <c r="I229" s="130"/>
    </row>
    <row r="230" spans="1:9" x14ac:dyDescent="0.3">
      <c r="A230" s="130"/>
      <c r="B230" s="130"/>
      <c r="C230" s="130"/>
      <c r="D230" s="130"/>
      <c r="E230" s="130"/>
      <c r="F230" s="130"/>
      <c r="G230" s="130"/>
      <c r="H230" s="130"/>
      <c r="I230" s="130"/>
    </row>
    <row r="231" spans="1:9" x14ac:dyDescent="0.3">
      <c r="A231" s="130"/>
      <c r="B231" s="130"/>
      <c r="C231" s="130"/>
      <c r="D231" s="130"/>
      <c r="E231" s="130"/>
      <c r="F231" s="130"/>
      <c r="G231" s="130"/>
      <c r="H231" s="130"/>
      <c r="I231" s="130"/>
    </row>
    <row r="232" spans="1:9" x14ac:dyDescent="0.3">
      <c r="A232" s="130"/>
      <c r="B232" s="130"/>
      <c r="C232" s="130"/>
      <c r="D232" s="130"/>
      <c r="E232" s="130"/>
      <c r="F232" s="130"/>
      <c r="G232" s="130"/>
      <c r="H232" s="130"/>
      <c r="I232" s="130"/>
    </row>
    <row r="233" spans="1:9" x14ac:dyDescent="0.3">
      <c r="A233" s="130"/>
      <c r="B233" s="130"/>
      <c r="C233" s="130"/>
      <c r="D233" s="130"/>
      <c r="E233" s="130"/>
      <c r="F233" s="130"/>
      <c r="G233" s="130"/>
      <c r="H233" s="130"/>
      <c r="I233" s="130"/>
    </row>
    <row r="234" spans="1:9" x14ac:dyDescent="0.3">
      <c r="A234" s="130"/>
      <c r="B234" s="130"/>
      <c r="C234" s="130"/>
      <c r="D234" s="130"/>
      <c r="E234" s="130"/>
      <c r="F234" s="130"/>
      <c r="G234" s="130"/>
      <c r="H234" s="130"/>
      <c r="I234" s="130"/>
    </row>
    <row r="235" spans="1:9" x14ac:dyDescent="0.3">
      <c r="A235" s="130"/>
      <c r="B235" s="130"/>
      <c r="C235" s="130"/>
      <c r="D235" s="130"/>
      <c r="E235" s="130"/>
      <c r="F235" s="130"/>
      <c r="G235" s="130"/>
      <c r="H235" s="130"/>
      <c r="I235" s="130"/>
    </row>
    <row r="236" spans="1:9" x14ac:dyDescent="0.3">
      <c r="A236" s="130"/>
      <c r="B236" s="130"/>
      <c r="C236" s="130"/>
      <c r="D236" s="130"/>
      <c r="E236" s="130"/>
      <c r="F236" s="130"/>
      <c r="G236" s="130"/>
      <c r="H236" s="130"/>
      <c r="I236" s="130"/>
    </row>
    <row r="237" spans="1:9" x14ac:dyDescent="0.3">
      <c r="A237" s="130"/>
      <c r="B237" s="130"/>
      <c r="C237" s="130"/>
      <c r="D237" s="130"/>
      <c r="E237" s="130"/>
      <c r="F237" s="130"/>
      <c r="G237" s="130"/>
      <c r="H237" s="130"/>
      <c r="I237" s="130"/>
    </row>
    <row r="238" spans="1:9" x14ac:dyDescent="0.3">
      <c r="A238" s="130"/>
      <c r="B238" s="130"/>
      <c r="C238" s="130"/>
      <c r="D238" s="130"/>
      <c r="E238" s="130"/>
      <c r="F238" s="130"/>
      <c r="G238" s="130"/>
      <c r="H238" s="130"/>
      <c r="I238" s="130"/>
    </row>
    <row r="239" spans="1:9" x14ac:dyDescent="0.3">
      <c r="A239" s="130"/>
      <c r="B239" s="130"/>
      <c r="C239" s="130"/>
      <c r="D239" s="130"/>
      <c r="E239" s="130"/>
      <c r="F239" s="130"/>
      <c r="G239" s="130"/>
      <c r="H239" s="130"/>
      <c r="I239" s="130"/>
    </row>
    <row r="240" spans="1:9" x14ac:dyDescent="0.3">
      <c r="A240" s="130"/>
      <c r="B240" s="130"/>
      <c r="C240" s="130"/>
      <c r="D240" s="130"/>
      <c r="E240" s="130"/>
      <c r="F240" s="130"/>
      <c r="G240" s="130"/>
      <c r="H240" s="130"/>
      <c r="I240" s="130"/>
    </row>
    <row r="241" spans="1:9" x14ac:dyDescent="0.3">
      <c r="A241" s="130"/>
      <c r="B241" s="130"/>
      <c r="C241" s="130"/>
      <c r="D241" s="130"/>
      <c r="E241" s="130"/>
      <c r="F241" s="130"/>
      <c r="G241" s="130"/>
      <c r="H241" s="130"/>
      <c r="I241" s="130"/>
    </row>
    <row r="242" spans="1:9" x14ac:dyDescent="0.3">
      <c r="A242" s="130"/>
      <c r="B242" s="130"/>
      <c r="C242" s="130"/>
      <c r="D242" s="130"/>
      <c r="E242" s="130"/>
      <c r="F242" s="130"/>
      <c r="G242" s="130"/>
      <c r="H242" s="130"/>
      <c r="I242" s="130"/>
    </row>
    <row r="243" spans="1:9" x14ac:dyDescent="0.3">
      <c r="A243" s="130"/>
      <c r="B243" s="130"/>
      <c r="C243" s="130"/>
      <c r="D243" s="130"/>
      <c r="E243" s="130"/>
      <c r="F243" s="130"/>
      <c r="G243" s="130"/>
      <c r="H243" s="130"/>
      <c r="I243" s="130"/>
    </row>
    <row r="244" spans="1:9" x14ac:dyDescent="0.3">
      <c r="A244" s="130"/>
      <c r="B244" s="130"/>
      <c r="C244" s="130"/>
      <c r="D244" s="130"/>
      <c r="E244" s="130"/>
      <c r="F244" s="130"/>
      <c r="G244" s="130"/>
      <c r="H244" s="130"/>
      <c r="I244" s="130"/>
    </row>
    <row r="245" spans="1:9" x14ac:dyDescent="0.3">
      <c r="A245" s="130"/>
      <c r="B245" s="130"/>
      <c r="C245" s="130"/>
      <c r="D245" s="130"/>
      <c r="E245" s="130"/>
      <c r="F245" s="130"/>
      <c r="G245" s="130"/>
      <c r="H245" s="130"/>
      <c r="I245" s="130"/>
    </row>
    <row r="246" spans="1:9" x14ac:dyDescent="0.3">
      <c r="A246" s="130"/>
      <c r="B246" s="130"/>
      <c r="C246" s="130"/>
      <c r="D246" s="130"/>
      <c r="E246" s="130"/>
      <c r="F246" s="130"/>
      <c r="G246" s="130"/>
      <c r="H246" s="130"/>
      <c r="I246" s="130"/>
    </row>
    <row r="247" spans="1:9" x14ac:dyDescent="0.3">
      <c r="A247" s="130"/>
      <c r="B247" s="130"/>
      <c r="C247" s="130"/>
      <c r="D247" s="130"/>
      <c r="E247" s="130"/>
      <c r="F247" s="130"/>
      <c r="G247" s="130"/>
      <c r="H247" s="130"/>
      <c r="I247" s="130"/>
    </row>
    <row r="248" spans="1:9" x14ac:dyDescent="0.3">
      <c r="A248" s="130"/>
      <c r="B248" s="130"/>
      <c r="C248" s="130"/>
      <c r="D248" s="130"/>
      <c r="E248" s="130"/>
      <c r="F248" s="130"/>
      <c r="G248" s="130"/>
      <c r="H248" s="130"/>
      <c r="I248" s="130"/>
    </row>
    <row r="249" spans="1:9" x14ac:dyDescent="0.3">
      <c r="A249" s="130"/>
      <c r="B249" s="130"/>
      <c r="C249" s="130"/>
      <c r="D249" s="130"/>
      <c r="E249" s="130"/>
      <c r="F249" s="130"/>
      <c r="G249" s="130"/>
      <c r="H249" s="130"/>
      <c r="I249" s="130"/>
    </row>
    <row r="250" spans="1:9" x14ac:dyDescent="0.3">
      <c r="A250" s="130"/>
      <c r="B250" s="130"/>
      <c r="C250" s="130"/>
      <c r="D250" s="130"/>
      <c r="E250" s="130"/>
      <c r="F250" s="130"/>
      <c r="G250" s="130"/>
      <c r="H250" s="130"/>
      <c r="I250" s="130"/>
    </row>
    <row r="251" spans="1:9" x14ac:dyDescent="0.3">
      <c r="A251" s="130"/>
      <c r="B251" s="130"/>
      <c r="C251" s="130"/>
      <c r="D251" s="130"/>
      <c r="E251" s="130"/>
      <c r="F251" s="130"/>
      <c r="G251" s="130"/>
      <c r="H251" s="130"/>
      <c r="I251" s="130"/>
    </row>
    <row r="252" spans="1:9" x14ac:dyDescent="0.3">
      <c r="A252" s="130"/>
      <c r="B252" s="130"/>
      <c r="C252" s="130"/>
      <c r="D252" s="130"/>
      <c r="E252" s="130"/>
      <c r="F252" s="130"/>
      <c r="G252" s="130"/>
      <c r="H252" s="130"/>
      <c r="I252" s="130"/>
    </row>
    <row r="253" spans="1:9" x14ac:dyDescent="0.3">
      <c r="A253" s="130"/>
      <c r="B253" s="130"/>
      <c r="C253" s="130"/>
      <c r="D253" s="130"/>
      <c r="E253" s="130"/>
      <c r="F253" s="130"/>
      <c r="G253" s="130"/>
      <c r="H253" s="130"/>
      <c r="I253" s="130"/>
    </row>
    <row r="254" spans="1:9" x14ac:dyDescent="0.3">
      <c r="A254" s="130"/>
      <c r="B254" s="130"/>
      <c r="C254" s="130"/>
      <c r="D254" s="130"/>
      <c r="E254" s="130"/>
      <c r="F254" s="130"/>
      <c r="G254" s="130"/>
      <c r="H254" s="130"/>
      <c r="I254" s="130"/>
    </row>
    <row r="255" spans="1:9" x14ac:dyDescent="0.3">
      <c r="A255" s="130"/>
      <c r="B255" s="130"/>
      <c r="C255" s="130"/>
      <c r="D255" s="130"/>
      <c r="E255" s="130"/>
      <c r="F255" s="130"/>
      <c r="G255" s="130"/>
      <c r="H255" s="130"/>
      <c r="I255" s="130"/>
    </row>
    <row r="256" spans="1:9" x14ac:dyDescent="0.3">
      <c r="A256" s="130"/>
      <c r="B256" s="130"/>
      <c r="C256" s="130"/>
      <c r="D256" s="130"/>
      <c r="E256" s="130"/>
      <c r="F256" s="130"/>
      <c r="G256" s="130"/>
      <c r="H256" s="130"/>
      <c r="I256" s="130"/>
    </row>
    <row r="257" spans="1:9" x14ac:dyDescent="0.3">
      <c r="A257" s="130"/>
      <c r="B257" s="130"/>
      <c r="C257" s="130"/>
      <c r="D257" s="130"/>
      <c r="E257" s="130"/>
      <c r="F257" s="130"/>
      <c r="G257" s="130"/>
      <c r="H257" s="130"/>
      <c r="I257" s="130"/>
    </row>
    <row r="258" spans="1:9" x14ac:dyDescent="0.3">
      <c r="A258" s="130"/>
      <c r="B258" s="130"/>
      <c r="C258" s="130"/>
      <c r="D258" s="130"/>
      <c r="E258" s="130"/>
      <c r="F258" s="130"/>
      <c r="G258" s="130"/>
      <c r="H258" s="130"/>
      <c r="I258" s="130"/>
    </row>
    <row r="259" spans="1:9" x14ac:dyDescent="0.3">
      <c r="A259" s="130"/>
      <c r="B259" s="130"/>
      <c r="C259" s="130"/>
      <c r="D259" s="130"/>
      <c r="E259" s="130"/>
      <c r="F259" s="130"/>
      <c r="G259" s="130"/>
      <c r="H259" s="130"/>
      <c r="I259" s="130"/>
    </row>
    <row r="260" spans="1:9" x14ac:dyDescent="0.3">
      <c r="A260" s="130"/>
      <c r="B260" s="130"/>
      <c r="C260" s="130"/>
      <c r="D260" s="130"/>
      <c r="E260" s="130"/>
      <c r="F260" s="130"/>
      <c r="G260" s="130"/>
      <c r="H260" s="130"/>
      <c r="I260" s="130"/>
    </row>
    <row r="261" spans="1:9" x14ac:dyDescent="0.3">
      <c r="A261" s="130"/>
      <c r="B261" s="130"/>
      <c r="C261" s="130"/>
      <c r="D261" s="130"/>
      <c r="E261" s="130"/>
      <c r="F261" s="130"/>
      <c r="G261" s="130"/>
      <c r="H261" s="130"/>
      <c r="I261" s="130"/>
    </row>
    <row r="262" spans="1:9" x14ac:dyDescent="0.3">
      <c r="A262" s="130"/>
      <c r="B262" s="130"/>
      <c r="C262" s="130"/>
      <c r="D262" s="130"/>
      <c r="E262" s="130"/>
      <c r="F262" s="130"/>
      <c r="G262" s="130"/>
      <c r="H262" s="130"/>
      <c r="I262" s="130"/>
    </row>
    <row r="263" spans="1:9" x14ac:dyDescent="0.3">
      <c r="A263" s="130"/>
      <c r="B263" s="130"/>
      <c r="C263" s="130"/>
      <c r="D263" s="130"/>
      <c r="E263" s="130"/>
      <c r="F263" s="130"/>
      <c r="G263" s="130"/>
      <c r="H263" s="130"/>
      <c r="I263" s="130"/>
    </row>
    <row r="264" spans="1:9" x14ac:dyDescent="0.3">
      <c r="A264" s="130"/>
      <c r="B264" s="130"/>
      <c r="C264" s="130"/>
      <c r="D264" s="130"/>
      <c r="E264" s="130"/>
      <c r="F264" s="130"/>
      <c r="G264" s="130"/>
      <c r="H264" s="130"/>
      <c r="I264" s="130"/>
    </row>
    <row r="265" spans="1:9" x14ac:dyDescent="0.3">
      <c r="A265" s="130"/>
      <c r="B265" s="130"/>
      <c r="C265" s="130"/>
      <c r="D265" s="130"/>
      <c r="E265" s="130"/>
      <c r="F265" s="130"/>
      <c r="G265" s="130"/>
      <c r="H265" s="130"/>
      <c r="I265" s="130"/>
    </row>
    <row r="266" spans="1:9" x14ac:dyDescent="0.3">
      <c r="A266" s="130"/>
      <c r="B266" s="130"/>
      <c r="C266" s="130"/>
      <c r="D266" s="130"/>
      <c r="E266" s="130"/>
      <c r="F266" s="130"/>
      <c r="G266" s="130"/>
      <c r="H266" s="130"/>
      <c r="I266" s="130"/>
    </row>
    <row r="267" spans="1:9" x14ac:dyDescent="0.3">
      <c r="A267" s="130"/>
      <c r="B267" s="130"/>
      <c r="C267" s="130"/>
      <c r="D267" s="130"/>
      <c r="E267" s="130"/>
      <c r="F267" s="130"/>
      <c r="G267" s="130"/>
      <c r="H267" s="130"/>
      <c r="I267" s="130"/>
    </row>
    <row r="268" spans="1:9" x14ac:dyDescent="0.3">
      <c r="A268" s="130"/>
      <c r="B268" s="130"/>
      <c r="C268" s="130"/>
      <c r="D268" s="130"/>
      <c r="E268" s="130"/>
      <c r="F268" s="130"/>
      <c r="G268" s="130"/>
      <c r="H268" s="130"/>
      <c r="I268" s="130"/>
    </row>
    <row r="269" spans="1:9" x14ac:dyDescent="0.3">
      <c r="A269" s="130"/>
      <c r="B269" s="130"/>
      <c r="C269" s="130"/>
      <c r="D269" s="130"/>
      <c r="E269" s="130"/>
      <c r="F269" s="130"/>
      <c r="G269" s="130"/>
      <c r="H269" s="130"/>
      <c r="I269" s="130"/>
    </row>
    <row r="270" spans="1:9" x14ac:dyDescent="0.3">
      <c r="A270" s="130"/>
      <c r="B270" s="130"/>
      <c r="C270" s="130"/>
      <c r="D270" s="130"/>
      <c r="E270" s="130"/>
      <c r="F270" s="130"/>
      <c r="G270" s="130"/>
      <c r="H270" s="130"/>
      <c r="I270" s="130"/>
    </row>
    <row r="271" spans="1:9" x14ac:dyDescent="0.3">
      <c r="A271" s="130"/>
      <c r="B271" s="130"/>
      <c r="C271" s="130"/>
      <c r="D271" s="130"/>
      <c r="E271" s="130"/>
      <c r="F271" s="130"/>
      <c r="G271" s="130"/>
      <c r="H271" s="130"/>
      <c r="I271" s="130"/>
    </row>
    <row r="272" spans="1:9" x14ac:dyDescent="0.3">
      <c r="A272" s="130"/>
      <c r="B272" s="130"/>
      <c r="C272" s="130"/>
      <c r="D272" s="130"/>
      <c r="E272" s="130"/>
      <c r="F272" s="130"/>
      <c r="G272" s="130"/>
      <c r="H272" s="130"/>
      <c r="I272" s="130"/>
    </row>
    <row r="273" spans="1:9" x14ac:dyDescent="0.3">
      <c r="A273" s="130"/>
      <c r="B273" s="130"/>
      <c r="C273" s="130"/>
      <c r="D273" s="130"/>
      <c r="E273" s="130"/>
      <c r="F273" s="130"/>
      <c r="G273" s="130"/>
      <c r="H273" s="130"/>
      <c r="I273" s="130"/>
    </row>
    <row r="274" spans="1:9" x14ac:dyDescent="0.3">
      <c r="A274" s="130"/>
      <c r="B274" s="130"/>
      <c r="C274" s="130"/>
      <c r="D274" s="130"/>
      <c r="E274" s="130"/>
      <c r="F274" s="130"/>
      <c r="G274" s="130"/>
      <c r="H274" s="130"/>
      <c r="I274" s="130"/>
    </row>
    <row r="275" spans="1:9" x14ac:dyDescent="0.3">
      <c r="A275" s="130"/>
      <c r="B275" s="130"/>
      <c r="C275" s="130"/>
      <c r="D275" s="130"/>
      <c r="E275" s="130"/>
      <c r="F275" s="130"/>
      <c r="G275" s="130"/>
      <c r="H275" s="130"/>
      <c r="I275" s="130"/>
    </row>
    <row r="276" spans="1:9" x14ac:dyDescent="0.3">
      <c r="A276" s="130"/>
      <c r="B276" s="130"/>
      <c r="C276" s="130"/>
      <c r="D276" s="130"/>
      <c r="E276" s="130"/>
      <c r="F276" s="130"/>
      <c r="G276" s="130"/>
      <c r="H276" s="130"/>
      <c r="I276" s="130"/>
    </row>
    <row r="277" spans="1:9" x14ac:dyDescent="0.3">
      <c r="A277" s="130"/>
      <c r="B277" s="130"/>
      <c r="C277" s="130"/>
      <c r="D277" s="130"/>
      <c r="E277" s="130"/>
      <c r="F277" s="130"/>
      <c r="G277" s="130"/>
      <c r="H277" s="130"/>
      <c r="I277" s="130"/>
    </row>
    <row r="278" spans="1:9" x14ac:dyDescent="0.3">
      <c r="A278" s="130"/>
      <c r="B278" s="130"/>
      <c r="C278" s="130"/>
      <c r="D278" s="130"/>
      <c r="E278" s="130"/>
      <c r="F278" s="130"/>
      <c r="G278" s="130"/>
      <c r="H278" s="130"/>
      <c r="I278" s="130"/>
    </row>
    <row r="279" spans="1:9" x14ac:dyDescent="0.3">
      <c r="A279" s="130"/>
      <c r="B279" s="130"/>
      <c r="C279" s="130"/>
      <c r="D279" s="130"/>
      <c r="E279" s="130"/>
      <c r="F279" s="130"/>
      <c r="G279" s="130"/>
      <c r="H279" s="130"/>
      <c r="I279" s="130"/>
    </row>
  </sheetData>
  <hyperlinks>
    <hyperlink ref="F2" location="BOM!A1" display="Back to BOM"/>
    <hyperlink ref="B4" location="SU_A1200" display="SU_A1200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1"/>
  <sheetViews>
    <sheetView tabSelected="1" zoomScale="70" zoomScaleNormal="70" workbookViewId="0">
      <selection activeCell="B11" sqref="B11"/>
    </sheetView>
  </sheetViews>
  <sheetFormatPr baseColWidth="10" defaultRowHeight="14.4" x14ac:dyDescent="0.3"/>
  <cols>
    <col min="2" max="2" width="38.44140625" customWidth="1"/>
    <col min="3" max="3" width="30.6640625" customWidth="1"/>
    <col min="7" max="7" width="35" customWidth="1"/>
    <col min="9" max="9" width="24.44140625" customWidth="1"/>
    <col min="10" max="10" width="13.44140625" customWidth="1"/>
  </cols>
  <sheetData>
    <row r="1" spans="1:15" x14ac:dyDescent="0.3">
      <c r="A1" s="258"/>
      <c r="B1" s="257"/>
      <c r="C1" s="257"/>
      <c r="D1" s="257"/>
      <c r="E1" s="257"/>
      <c r="F1" s="257"/>
      <c r="G1" s="257"/>
      <c r="H1" s="257"/>
      <c r="I1" s="257"/>
      <c r="J1" s="213"/>
      <c r="K1" s="257"/>
      <c r="L1" s="257"/>
      <c r="M1" s="257"/>
      <c r="N1" s="257"/>
      <c r="O1" s="256"/>
    </row>
    <row r="2" spans="1:15" x14ac:dyDescent="0.3">
      <c r="A2" s="212" t="s">
        <v>0</v>
      </c>
      <c r="B2" s="16" t="s">
        <v>40</v>
      </c>
      <c r="C2" s="211"/>
      <c r="D2" s="211"/>
      <c r="E2" s="211"/>
      <c r="F2" s="203" t="s">
        <v>62</v>
      </c>
      <c r="G2" s="211"/>
      <c r="H2" s="211"/>
      <c r="I2" s="211"/>
      <c r="J2" s="142" t="s">
        <v>1</v>
      </c>
      <c r="K2" s="205">
        <v>81</v>
      </c>
      <c r="L2" s="211"/>
      <c r="M2" s="141" t="s">
        <v>16</v>
      </c>
      <c r="N2" s="194">
        <f>SU_12002_m+SU_12002_p</f>
        <v>1.6908095579918243</v>
      </c>
      <c r="O2" s="210"/>
    </row>
    <row r="3" spans="1:15" x14ac:dyDescent="0.3">
      <c r="A3" s="209" t="s">
        <v>3</v>
      </c>
      <c r="B3" s="16" t="s">
        <v>63</v>
      </c>
      <c r="C3" s="211"/>
      <c r="D3" s="141" t="s">
        <v>6</v>
      </c>
      <c r="E3" s="251"/>
      <c r="F3" s="211"/>
      <c r="G3" s="211"/>
      <c r="H3" s="211"/>
      <c r="I3" s="211"/>
      <c r="J3" s="211"/>
      <c r="K3" s="211"/>
      <c r="L3" s="211"/>
      <c r="M3" s="140" t="s">
        <v>4</v>
      </c>
      <c r="N3" s="245">
        <v>2</v>
      </c>
      <c r="O3" s="210"/>
    </row>
    <row r="4" spans="1:15" x14ac:dyDescent="0.3">
      <c r="A4" s="209" t="s">
        <v>5</v>
      </c>
      <c r="B4" s="251" t="str">
        <f>'SU A1200'!B4</f>
        <v>Front Pullrod</v>
      </c>
      <c r="C4" s="211"/>
      <c r="D4" s="140" t="s">
        <v>8</v>
      </c>
      <c r="E4" s="211"/>
      <c r="F4" s="211"/>
      <c r="G4" s="211"/>
      <c r="H4" s="211"/>
      <c r="I4" s="211"/>
      <c r="J4" s="141" t="s">
        <v>6</v>
      </c>
      <c r="K4" s="211"/>
      <c r="L4" s="211"/>
      <c r="M4" s="211"/>
      <c r="N4" s="211"/>
      <c r="O4" s="210"/>
    </row>
    <row r="5" spans="1:15" x14ac:dyDescent="0.3">
      <c r="A5" s="209" t="s">
        <v>15</v>
      </c>
      <c r="B5" s="122" t="s">
        <v>94</v>
      </c>
      <c r="C5" s="211"/>
      <c r="D5" s="140" t="s">
        <v>12</v>
      </c>
      <c r="E5" s="211"/>
      <c r="F5" s="211"/>
      <c r="G5" s="211"/>
      <c r="H5" s="211"/>
      <c r="I5" s="211"/>
      <c r="J5" s="140" t="s">
        <v>8</v>
      </c>
      <c r="K5" s="211"/>
      <c r="L5" s="211"/>
      <c r="M5" s="141" t="s">
        <v>9</v>
      </c>
      <c r="N5" s="194">
        <f>N2*SU_12002_q</f>
        <v>3.3816191159836486</v>
      </c>
      <c r="O5" s="210"/>
    </row>
    <row r="6" spans="1:15" x14ac:dyDescent="0.3">
      <c r="A6" s="209" t="s">
        <v>7</v>
      </c>
      <c r="B6" t="s">
        <v>130</v>
      </c>
      <c r="C6" s="211"/>
      <c r="D6" s="211"/>
      <c r="E6" s="211"/>
      <c r="F6" s="211"/>
      <c r="G6" s="211"/>
      <c r="H6" s="211"/>
      <c r="I6" s="211"/>
      <c r="J6" s="140" t="s">
        <v>12</v>
      </c>
      <c r="K6" s="211"/>
      <c r="L6" s="211"/>
      <c r="M6" s="211"/>
      <c r="N6" s="211"/>
      <c r="O6" s="210"/>
    </row>
    <row r="7" spans="1:15" x14ac:dyDescent="0.3">
      <c r="A7" s="209" t="s">
        <v>10</v>
      </c>
      <c r="B7" s="16" t="s">
        <v>11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0"/>
    </row>
    <row r="8" spans="1:15" x14ac:dyDescent="0.3">
      <c r="A8" s="209" t="s">
        <v>13</v>
      </c>
      <c r="B8" s="16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0"/>
    </row>
    <row r="9" spans="1:15" x14ac:dyDescent="0.3">
      <c r="A9" s="204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0"/>
    </row>
    <row r="10" spans="1:15" x14ac:dyDescent="0.3">
      <c r="A10" s="202" t="s">
        <v>14</v>
      </c>
      <c r="B10" s="135" t="s">
        <v>19</v>
      </c>
      <c r="C10" s="135" t="s">
        <v>20</v>
      </c>
      <c r="D10" s="135" t="s">
        <v>21</v>
      </c>
      <c r="E10" s="135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210"/>
    </row>
    <row r="11" spans="1:15" ht="16.2" customHeight="1" x14ac:dyDescent="0.3">
      <c r="A11" s="235">
        <v>10</v>
      </c>
      <c r="B11" s="234" t="s">
        <v>112</v>
      </c>
      <c r="C11" s="241" t="s">
        <v>113</v>
      </c>
      <c r="D11" s="233">
        <v>2.25</v>
      </c>
      <c r="E11" s="208">
        <f>J11*K11*L11</f>
        <v>6.9915359107477454E-2</v>
      </c>
      <c r="F11" s="208" t="s">
        <v>70</v>
      </c>
      <c r="G11" s="229"/>
      <c r="H11" s="231"/>
      <c r="I11" s="215" t="s">
        <v>121</v>
      </c>
      <c r="J11" s="273">
        <f>PI()*9*9/1000000</f>
        <v>2.5446900494077322E-4</v>
      </c>
      <c r="K11" s="274">
        <v>3.5000000000000003E-2</v>
      </c>
      <c r="L11" s="231">
        <v>7850</v>
      </c>
      <c r="M11" s="232">
        <v>1</v>
      </c>
      <c r="N11" s="238">
        <f>D11*E11*M11</f>
        <v>0.15730955799182428</v>
      </c>
      <c r="O11" s="254"/>
    </row>
    <row r="12" spans="1:15" x14ac:dyDescent="0.3">
      <c r="A12" s="217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132" t="s">
        <v>18</v>
      </c>
      <c r="N12" s="136">
        <f>N11</f>
        <v>0.15730955799182428</v>
      </c>
      <c r="O12" s="210"/>
    </row>
    <row r="13" spans="1:15" x14ac:dyDescent="0.3">
      <c r="A13" s="202" t="s">
        <v>14</v>
      </c>
      <c r="B13" s="135" t="s">
        <v>31</v>
      </c>
      <c r="C13" s="135" t="s">
        <v>20</v>
      </c>
      <c r="D13" s="135" t="s">
        <v>21</v>
      </c>
      <c r="E13" s="135" t="s">
        <v>32</v>
      </c>
      <c r="F13" s="135" t="s">
        <v>17</v>
      </c>
      <c r="G13" s="135" t="s">
        <v>33</v>
      </c>
      <c r="H13" s="135" t="s">
        <v>34</v>
      </c>
      <c r="I13" s="135" t="s">
        <v>18</v>
      </c>
      <c r="J13" s="200"/>
      <c r="K13" s="200"/>
      <c r="L13" s="200"/>
      <c r="M13" s="200"/>
      <c r="N13" s="200"/>
      <c r="O13" s="210"/>
    </row>
    <row r="14" spans="1:15" ht="15" customHeight="1" x14ac:dyDescent="0.3">
      <c r="A14" s="193">
        <v>10</v>
      </c>
      <c r="B14" s="228" t="s">
        <v>41</v>
      </c>
      <c r="C14" s="227" t="s">
        <v>114</v>
      </c>
      <c r="D14" s="233">
        <v>1.3</v>
      </c>
      <c r="E14" s="228" t="s">
        <v>32</v>
      </c>
      <c r="F14" s="243">
        <v>1</v>
      </c>
      <c r="G14" s="214" t="s">
        <v>122</v>
      </c>
      <c r="H14" s="243">
        <v>0.25</v>
      </c>
      <c r="I14" s="242">
        <f>D14*F14*H14</f>
        <v>0.32500000000000001</v>
      </c>
      <c r="J14" s="248"/>
      <c r="K14" s="248"/>
      <c r="L14" s="248"/>
      <c r="M14" s="248"/>
      <c r="N14" s="248"/>
      <c r="O14" s="255"/>
    </row>
    <row r="15" spans="1:15" ht="13.2" customHeight="1" x14ac:dyDescent="0.3">
      <c r="A15" s="193">
        <v>20</v>
      </c>
      <c r="B15" s="228" t="s">
        <v>75</v>
      </c>
      <c r="C15" s="227" t="s">
        <v>115</v>
      </c>
      <c r="D15" s="233">
        <v>0.04</v>
      </c>
      <c r="E15" s="228" t="s">
        <v>73</v>
      </c>
      <c r="F15" s="243">
        <v>5.5</v>
      </c>
      <c r="G15" s="243" t="s">
        <v>72</v>
      </c>
      <c r="H15" s="243">
        <v>3</v>
      </c>
      <c r="I15" s="242">
        <f t="shared" ref="I15:I18" si="0">D15*F15*H15</f>
        <v>0.66</v>
      </c>
      <c r="J15" s="248"/>
      <c r="K15" s="248"/>
      <c r="L15" s="248"/>
      <c r="M15" s="248"/>
      <c r="N15" s="248"/>
      <c r="O15" s="255"/>
    </row>
    <row r="16" spans="1:15" ht="14.4" customHeight="1" x14ac:dyDescent="0.3">
      <c r="A16" s="235">
        <v>30</v>
      </c>
      <c r="B16" s="229" t="s">
        <v>116</v>
      </c>
      <c r="C16" s="236" t="s">
        <v>117</v>
      </c>
      <c r="D16" s="233">
        <v>0.65</v>
      </c>
      <c r="E16" s="229" t="s">
        <v>32</v>
      </c>
      <c r="F16" s="239">
        <v>1</v>
      </c>
      <c r="G16" s="228" t="s">
        <v>122</v>
      </c>
      <c r="H16" s="243">
        <v>0.25</v>
      </c>
      <c r="I16" s="242">
        <f t="shared" si="0"/>
        <v>0.16250000000000001</v>
      </c>
      <c r="J16" s="250"/>
      <c r="K16" s="250"/>
      <c r="L16" s="250"/>
      <c r="M16" s="250"/>
      <c r="N16" s="250"/>
      <c r="O16" s="259"/>
    </row>
    <row r="17" spans="1:15" ht="16.8" customHeight="1" x14ac:dyDescent="0.3">
      <c r="A17" s="193">
        <v>40</v>
      </c>
      <c r="B17" s="228" t="s">
        <v>75</v>
      </c>
      <c r="C17" s="227" t="s">
        <v>118</v>
      </c>
      <c r="D17" s="233">
        <v>0.04</v>
      </c>
      <c r="E17" s="228" t="s">
        <v>73</v>
      </c>
      <c r="F17" s="243">
        <v>0.3</v>
      </c>
      <c r="G17" s="243" t="s">
        <v>72</v>
      </c>
      <c r="H17" s="243">
        <v>3</v>
      </c>
      <c r="I17" s="242">
        <f t="shared" si="0"/>
        <v>3.6000000000000004E-2</v>
      </c>
      <c r="J17" s="247"/>
      <c r="K17" s="247"/>
      <c r="L17" s="247"/>
      <c r="M17" s="247"/>
      <c r="N17" s="247"/>
      <c r="O17" s="255"/>
    </row>
    <row r="18" spans="1:15" ht="15" customHeight="1" x14ac:dyDescent="0.3">
      <c r="A18" s="193">
        <v>50</v>
      </c>
      <c r="B18" s="236" t="s">
        <v>119</v>
      </c>
      <c r="C18" s="236" t="s">
        <v>120</v>
      </c>
      <c r="D18" s="233">
        <v>0.35</v>
      </c>
      <c r="E18" s="229" t="s">
        <v>123</v>
      </c>
      <c r="F18" s="239">
        <v>1</v>
      </c>
      <c r="G18" s="244"/>
      <c r="H18" s="243">
        <v>1</v>
      </c>
      <c r="I18" s="242">
        <f t="shared" si="0"/>
        <v>0.35</v>
      </c>
      <c r="J18" s="249"/>
      <c r="K18" s="249"/>
      <c r="L18" s="249"/>
      <c r="M18" s="249"/>
      <c r="N18" s="249"/>
      <c r="O18" s="262"/>
    </row>
    <row r="19" spans="1:15" x14ac:dyDescent="0.3">
      <c r="A19" s="217"/>
      <c r="B19" s="200"/>
      <c r="C19" s="200"/>
      <c r="D19" s="200"/>
      <c r="E19" s="200"/>
      <c r="F19" s="200"/>
      <c r="G19" s="200"/>
      <c r="H19" s="132" t="s">
        <v>18</v>
      </c>
      <c r="I19" s="131">
        <f>SUM(I14:I18)</f>
        <v>1.5335000000000001</v>
      </c>
      <c r="J19" s="200"/>
      <c r="K19" s="200"/>
      <c r="L19" s="200"/>
      <c r="M19" s="200"/>
      <c r="N19" s="200"/>
      <c r="O19" s="210"/>
    </row>
    <row r="20" spans="1:15" x14ac:dyDescent="0.3">
      <c r="A20" s="261"/>
      <c r="B20" s="247"/>
      <c r="C20" s="247"/>
      <c r="D20" s="247"/>
      <c r="E20" s="247"/>
      <c r="F20" s="247"/>
      <c r="G20" s="247"/>
      <c r="H20" s="247"/>
      <c r="I20" s="249"/>
      <c r="J20" s="247"/>
      <c r="K20" s="247"/>
      <c r="L20" s="247"/>
      <c r="M20" s="247"/>
      <c r="N20" s="247"/>
      <c r="O20" s="255"/>
    </row>
    <row r="21" spans="1:15" ht="15" thickBot="1" x14ac:dyDescent="0.35">
      <c r="A21" s="260"/>
      <c r="B21" s="252"/>
      <c r="C21" s="252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3"/>
    </row>
  </sheetData>
  <hyperlinks>
    <hyperlink ref="F2" location="BOM!A1" display="Back to BOM"/>
    <hyperlink ref="B4" location="SU_A1200" display="SU_A1200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tabSelected="1" workbookViewId="0">
      <selection activeCell="B11" sqref="B11"/>
    </sheetView>
  </sheetViews>
  <sheetFormatPr baseColWidth="10" defaultRowHeight="14.4" x14ac:dyDescent="0.3"/>
  <sheetData>
    <row r="1" spans="1:2" x14ac:dyDescent="0.3">
      <c r="A1" t="s">
        <v>126</v>
      </c>
      <c r="B1" s="81" t="s">
        <v>133</v>
      </c>
    </row>
  </sheetData>
  <hyperlinks>
    <hyperlink ref="B1" location="SU_12002" display="SU_12002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tabSelected="1" zoomScale="70" zoomScaleNormal="70" workbookViewId="0">
      <selection activeCell="B11" sqref="B11"/>
    </sheetView>
  </sheetViews>
  <sheetFormatPr baseColWidth="10" defaultRowHeight="14.4" x14ac:dyDescent="0.3"/>
  <cols>
    <col min="1" max="1" width="11.5546875" customWidth="1"/>
    <col min="2" max="2" width="34.88671875" customWidth="1"/>
    <col min="3" max="3" width="18" customWidth="1"/>
    <col min="5" max="5" width="15.33203125" customWidth="1"/>
    <col min="6" max="6" width="7.88671875" customWidth="1"/>
    <col min="7" max="7" width="38.21875" customWidth="1"/>
    <col min="9" max="9" width="27.44140625" customWidth="1"/>
  </cols>
  <sheetData>
    <row r="1" spans="1:16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6" x14ac:dyDescent="0.3">
      <c r="A2" s="93" t="s">
        <v>0</v>
      </c>
      <c r="B2" s="16" t="s">
        <v>40</v>
      </c>
      <c r="C2" s="54"/>
      <c r="D2" s="54"/>
      <c r="E2" s="54"/>
      <c r="F2" s="54"/>
      <c r="G2" s="54" t="s">
        <v>62</v>
      </c>
      <c r="H2" s="54"/>
      <c r="I2" s="54"/>
      <c r="J2" s="94" t="s">
        <v>1</v>
      </c>
      <c r="K2" s="77">
        <v>81</v>
      </c>
      <c r="L2" s="54"/>
      <c r="M2" s="93" t="s">
        <v>16</v>
      </c>
      <c r="N2" s="71">
        <f>SU_12003_m+SU_12003_p</f>
        <v>0.25585628167808949</v>
      </c>
      <c r="O2" s="60"/>
    </row>
    <row r="3" spans="1:16" x14ac:dyDescent="0.3">
      <c r="A3" s="93" t="s">
        <v>3</v>
      </c>
      <c r="B3" s="16" t="str">
        <f>'SU A1200'!B3</f>
        <v>Suspension &amp; Shocks</v>
      </c>
      <c r="C3" s="54"/>
      <c r="D3" s="93" t="s">
        <v>6</v>
      </c>
      <c r="E3" s="81"/>
      <c r="F3" s="54"/>
      <c r="G3" s="54"/>
      <c r="H3" s="54"/>
      <c r="I3" s="54"/>
      <c r="J3" s="54"/>
      <c r="K3" s="54"/>
      <c r="L3" s="54"/>
      <c r="M3" s="93" t="s">
        <v>4</v>
      </c>
      <c r="N3" s="75">
        <v>2</v>
      </c>
      <c r="O3" s="60"/>
    </row>
    <row r="4" spans="1:16" x14ac:dyDescent="0.3">
      <c r="A4" s="93" t="s">
        <v>5</v>
      </c>
      <c r="B4" s="251" t="str">
        <f>'SU A1200'!B4</f>
        <v>Front Pullrod</v>
      </c>
      <c r="C4" s="54"/>
      <c r="D4" s="93" t="s">
        <v>8</v>
      </c>
      <c r="E4" s="54"/>
      <c r="F4" s="54"/>
      <c r="G4" s="54"/>
      <c r="H4" s="54"/>
      <c r="I4" s="54"/>
      <c r="J4" s="95" t="s">
        <v>6</v>
      </c>
      <c r="K4" s="54"/>
      <c r="L4" s="54"/>
      <c r="M4" s="54"/>
      <c r="N4" s="54"/>
      <c r="O4" s="60"/>
    </row>
    <row r="5" spans="1:16" x14ac:dyDescent="0.3">
      <c r="A5" s="93" t="s">
        <v>15</v>
      </c>
      <c r="B5" s="26" t="s">
        <v>125</v>
      </c>
      <c r="C5" s="54"/>
      <c r="D5" s="93" t="s">
        <v>12</v>
      </c>
      <c r="E5" s="54"/>
      <c r="F5" s="54"/>
      <c r="G5" s="54"/>
      <c r="H5" s="54"/>
      <c r="I5" s="54"/>
      <c r="J5" s="95" t="s">
        <v>8</v>
      </c>
      <c r="K5" s="54"/>
      <c r="L5" s="54"/>
      <c r="M5" s="93" t="s">
        <v>9</v>
      </c>
      <c r="N5" s="71">
        <f>N3*N2</f>
        <v>0.51171256335617898</v>
      </c>
      <c r="O5" s="60"/>
    </row>
    <row r="6" spans="1:16" x14ac:dyDescent="0.3">
      <c r="A6" s="93" t="s">
        <v>7</v>
      </c>
      <c r="B6" t="s">
        <v>131</v>
      </c>
      <c r="C6" s="54"/>
      <c r="D6" s="54"/>
      <c r="E6" s="54"/>
      <c r="F6" s="54"/>
      <c r="G6" s="54"/>
      <c r="H6" s="54"/>
      <c r="I6" s="54"/>
      <c r="J6" s="95" t="s">
        <v>12</v>
      </c>
      <c r="K6" s="54"/>
      <c r="L6" s="54"/>
      <c r="M6" s="54"/>
      <c r="N6" s="54"/>
      <c r="O6" s="60"/>
    </row>
    <row r="7" spans="1:16" x14ac:dyDescent="0.3">
      <c r="A7" s="93" t="s">
        <v>10</v>
      </c>
      <c r="B7" s="16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6" x14ac:dyDescent="0.3">
      <c r="A8" s="93" t="s">
        <v>13</v>
      </c>
      <c r="B8" s="1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6" x14ac:dyDescent="0.3">
      <c r="A9" s="78"/>
      <c r="B9" s="27"/>
      <c r="C9" s="27"/>
      <c r="D9" s="27"/>
      <c r="E9" s="27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6" x14ac:dyDescent="0.3">
      <c r="A10" s="96" t="s">
        <v>14</v>
      </c>
      <c r="B10" s="97" t="s">
        <v>19</v>
      </c>
      <c r="C10" s="97" t="s">
        <v>20</v>
      </c>
      <c r="D10" s="97" t="s">
        <v>21</v>
      </c>
      <c r="E10" s="97" t="s">
        <v>22</v>
      </c>
      <c r="F10" s="98" t="s">
        <v>23</v>
      </c>
      <c r="G10" s="98" t="s">
        <v>24</v>
      </c>
      <c r="H10" s="98" t="s">
        <v>25</v>
      </c>
      <c r="I10" s="98" t="s">
        <v>26</v>
      </c>
      <c r="J10" s="98" t="s">
        <v>27</v>
      </c>
      <c r="K10" s="98" t="s">
        <v>28</v>
      </c>
      <c r="L10" s="98" t="s">
        <v>29</v>
      </c>
      <c r="M10" s="98" t="s">
        <v>17</v>
      </c>
      <c r="N10" s="98" t="s">
        <v>18</v>
      </c>
      <c r="O10" s="60"/>
    </row>
    <row r="11" spans="1:16" x14ac:dyDescent="0.3">
      <c r="A11" s="79">
        <v>10</v>
      </c>
      <c r="B11" s="28" t="s">
        <v>69</v>
      </c>
      <c r="C11" s="21" t="s">
        <v>74</v>
      </c>
      <c r="D11" s="30">
        <v>2.25</v>
      </c>
      <c r="E11" s="147">
        <f>L11*J11*K11</f>
        <v>7.8916807458175604E-3</v>
      </c>
      <c r="F11" s="21" t="s">
        <v>70</v>
      </c>
      <c r="G11" s="21"/>
      <c r="H11" s="20"/>
      <c r="I11" s="155" t="s">
        <v>76</v>
      </c>
      <c r="J11" s="273">
        <f>PI()*8*8/1000000</f>
        <v>2.0106192982974677E-4</v>
      </c>
      <c r="K11" s="275">
        <v>5.0000000000000001E-3</v>
      </c>
      <c r="L11" s="29">
        <v>7850</v>
      </c>
      <c r="M11" s="23">
        <v>1</v>
      </c>
      <c r="N11" s="30">
        <f>IF(J11="",D11*M11,D11*J11*K11*L11*M11)</f>
        <v>1.7756281678089514E-2</v>
      </c>
      <c r="O11" s="64"/>
      <c r="P11" s="22"/>
    </row>
    <row r="12" spans="1:16" x14ac:dyDescent="0.3">
      <c r="A12" s="65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99" t="s">
        <v>18</v>
      </c>
      <c r="N12" s="100">
        <f>SUM(N11:N11)</f>
        <v>1.7756281678089514E-2</v>
      </c>
      <c r="O12" s="60"/>
    </row>
    <row r="13" spans="1:16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6" x14ac:dyDescent="0.3">
      <c r="A14" s="101" t="s">
        <v>14</v>
      </c>
      <c r="B14" s="98" t="s">
        <v>31</v>
      </c>
      <c r="C14" s="98" t="s">
        <v>20</v>
      </c>
      <c r="D14" s="98" t="s">
        <v>21</v>
      </c>
      <c r="E14" s="98" t="s">
        <v>32</v>
      </c>
      <c r="F14" s="98" t="s">
        <v>17</v>
      </c>
      <c r="G14" s="98" t="s">
        <v>33</v>
      </c>
      <c r="H14" s="98" t="s">
        <v>34</v>
      </c>
      <c r="I14" s="98" t="s">
        <v>18</v>
      </c>
      <c r="J14" s="24"/>
      <c r="K14" s="24"/>
      <c r="L14" s="24"/>
      <c r="M14" s="24"/>
      <c r="N14" s="24"/>
      <c r="O14" s="60"/>
    </row>
    <row r="15" spans="1:16" x14ac:dyDescent="0.3">
      <c r="A15" s="128">
        <v>10</v>
      </c>
      <c r="B15" s="127" t="s">
        <v>71</v>
      </c>
      <c r="C15" s="127"/>
      <c r="D15" s="126">
        <v>1.3</v>
      </c>
      <c r="E15" s="127" t="s">
        <v>35</v>
      </c>
      <c r="F15" s="127">
        <v>1</v>
      </c>
      <c r="G15" s="127" t="s">
        <v>77</v>
      </c>
      <c r="H15" s="127">
        <f>1/8</f>
        <v>0.125</v>
      </c>
      <c r="I15" s="126">
        <f>D15*F15*H15</f>
        <v>0.16250000000000001</v>
      </c>
      <c r="J15" s="56"/>
      <c r="K15" s="56"/>
      <c r="L15" s="56"/>
      <c r="M15" s="56"/>
      <c r="N15" s="56"/>
      <c r="O15" s="66"/>
      <c r="P15" s="25"/>
    </row>
    <row r="16" spans="1:16" x14ac:dyDescent="0.3">
      <c r="A16" s="128">
        <v>20</v>
      </c>
      <c r="B16" s="127" t="s">
        <v>75</v>
      </c>
      <c r="C16" s="127"/>
      <c r="D16" s="126">
        <v>0.04</v>
      </c>
      <c r="E16" s="127" t="s">
        <v>73</v>
      </c>
      <c r="F16" s="127">
        <v>0.63</v>
      </c>
      <c r="G16" s="127" t="s">
        <v>72</v>
      </c>
      <c r="H16" s="127">
        <v>3</v>
      </c>
      <c r="I16" s="126">
        <f>D16*F16*H16</f>
        <v>7.5600000000000001E-2</v>
      </c>
      <c r="J16" s="54"/>
      <c r="K16" s="54"/>
      <c r="L16" s="54"/>
      <c r="M16" s="54"/>
      <c r="N16" s="54"/>
      <c r="O16" s="60"/>
    </row>
    <row r="17" spans="1:16" x14ac:dyDescent="0.3">
      <c r="A17" s="65"/>
      <c r="B17" s="24"/>
      <c r="C17" s="24"/>
      <c r="D17" s="24"/>
      <c r="E17" s="24"/>
      <c r="F17" s="24"/>
      <c r="G17" s="24"/>
      <c r="H17" s="102" t="s">
        <v>18</v>
      </c>
      <c r="I17" s="100">
        <f>SUM(I15:I16)</f>
        <v>0.23810000000000001</v>
      </c>
      <c r="J17" s="24"/>
      <c r="K17" s="24"/>
      <c r="L17" s="24"/>
      <c r="M17" s="24"/>
      <c r="N17" s="24"/>
      <c r="O17" s="60"/>
    </row>
    <row r="18" spans="1:16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  <row r="22" spans="1:16" x14ac:dyDescent="0.3">
      <c r="A22" s="165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</row>
    <row r="23" spans="1:16" x14ac:dyDescent="0.3">
      <c r="A23" s="165"/>
      <c r="B23" s="156"/>
      <c r="C23" s="150"/>
      <c r="D23" s="150"/>
      <c r="E23" s="150"/>
      <c r="F23" s="150"/>
      <c r="G23" s="149"/>
      <c r="H23" s="150"/>
      <c r="I23" s="150"/>
      <c r="J23" s="150"/>
      <c r="K23" s="166"/>
      <c r="L23" s="151"/>
      <c r="M23" s="150"/>
      <c r="N23" s="156"/>
      <c r="O23" s="152"/>
      <c r="P23" s="165"/>
    </row>
    <row r="24" spans="1:16" x14ac:dyDescent="0.3">
      <c r="A24" s="165"/>
      <c r="B24" s="156"/>
      <c r="C24" s="150"/>
      <c r="D24" s="167"/>
      <c r="E24" s="149"/>
      <c r="F24" s="150"/>
      <c r="G24" s="150"/>
      <c r="H24" s="150"/>
      <c r="I24" s="150"/>
      <c r="J24" s="150"/>
      <c r="K24" s="150"/>
      <c r="L24" s="150"/>
      <c r="M24" s="150"/>
      <c r="N24" s="156"/>
      <c r="O24" s="153"/>
      <c r="P24" s="165"/>
    </row>
    <row r="25" spans="1:16" x14ac:dyDescent="0.3">
      <c r="A25" s="165"/>
      <c r="B25" s="156"/>
      <c r="C25" s="149"/>
      <c r="D25" s="150"/>
      <c r="E25" s="156"/>
      <c r="F25" s="150"/>
      <c r="G25" s="150"/>
      <c r="H25" s="150"/>
      <c r="I25" s="150"/>
      <c r="J25" s="150"/>
      <c r="K25" s="156"/>
      <c r="L25" s="150"/>
      <c r="M25" s="150"/>
      <c r="N25" s="150"/>
      <c r="O25" s="148"/>
      <c r="P25" s="165"/>
    </row>
    <row r="26" spans="1:16" x14ac:dyDescent="0.3">
      <c r="A26" s="165"/>
      <c r="B26" s="156"/>
      <c r="C26" s="158"/>
      <c r="D26" s="150"/>
      <c r="E26" s="156"/>
      <c r="F26" s="150"/>
      <c r="G26" s="150"/>
      <c r="H26" s="150"/>
      <c r="I26" s="150"/>
      <c r="J26" s="150"/>
      <c r="K26" s="156"/>
      <c r="L26" s="150"/>
      <c r="M26" s="150"/>
      <c r="N26" s="156"/>
      <c r="O26" s="152"/>
      <c r="P26" s="165"/>
    </row>
    <row r="27" spans="1:16" x14ac:dyDescent="0.3">
      <c r="A27" s="165"/>
      <c r="B27" s="156"/>
      <c r="C27" s="154"/>
      <c r="D27" s="150"/>
      <c r="E27" s="150"/>
      <c r="F27" s="150"/>
      <c r="G27" s="150"/>
      <c r="H27" s="150"/>
      <c r="I27" s="150"/>
      <c r="J27" s="150"/>
      <c r="K27" s="156"/>
      <c r="L27" s="150"/>
      <c r="M27" s="150"/>
      <c r="N27" s="150"/>
      <c r="O27" s="150"/>
      <c r="P27" s="165"/>
    </row>
    <row r="28" spans="1:16" x14ac:dyDescent="0.3">
      <c r="A28" s="165"/>
      <c r="B28" s="156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65"/>
    </row>
    <row r="29" spans="1:16" x14ac:dyDescent="0.3">
      <c r="A29" s="165"/>
      <c r="B29" s="156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65"/>
    </row>
    <row r="30" spans="1:16" x14ac:dyDescent="0.3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</row>
    <row r="31" spans="1:16" x14ac:dyDescent="0.3">
      <c r="A31" s="165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65"/>
    </row>
    <row r="32" spans="1:16" x14ac:dyDescent="0.3">
      <c r="A32" s="165"/>
      <c r="B32" s="150"/>
      <c r="C32" s="150"/>
      <c r="D32" s="150"/>
      <c r="E32" s="161"/>
      <c r="F32" s="168"/>
      <c r="G32" s="150"/>
      <c r="H32" s="150"/>
      <c r="I32" s="162"/>
      <c r="J32" s="169"/>
      <c r="K32" s="163"/>
      <c r="L32" s="170"/>
      <c r="M32" s="171"/>
      <c r="N32" s="171"/>
      <c r="O32" s="152"/>
      <c r="P32" s="165"/>
    </row>
    <row r="33" spans="1:16" x14ac:dyDescent="0.3">
      <c r="A33" s="165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72"/>
      <c r="O33" s="173"/>
      <c r="P33" s="165"/>
    </row>
    <row r="34" spans="1:16" x14ac:dyDescent="0.3">
      <c r="A34" s="165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</row>
    <row r="35" spans="1:16" x14ac:dyDescent="0.3">
      <c r="A35" s="165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65"/>
    </row>
    <row r="36" spans="1:16" x14ac:dyDescent="0.3">
      <c r="A36" s="165"/>
      <c r="B36" s="150"/>
      <c r="C36" s="164"/>
      <c r="D36" s="174"/>
      <c r="E36" s="161"/>
      <c r="F36" s="150"/>
      <c r="G36" s="150"/>
      <c r="H36" s="160"/>
      <c r="I36" s="175"/>
      <c r="J36" s="161"/>
      <c r="K36" s="148"/>
      <c r="L36" s="148"/>
      <c r="M36" s="148"/>
      <c r="N36" s="148"/>
      <c r="O36" s="148"/>
      <c r="P36" s="165"/>
    </row>
    <row r="37" spans="1:16" x14ac:dyDescent="0.3">
      <c r="A37" s="165"/>
      <c r="B37" s="150"/>
      <c r="C37" s="164"/>
      <c r="D37" s="174"/>
      <c r="E37" s="161"/>
      <c r="F37" s="150"/>
      <c r="G37" s="175"/>
      <c r="H37" s="160"/>
      <c r="I37" s="150"/>
      <c r="J37" s="161"/>
      <c r="K37" s="148"/>
      <c r="L37" s="148"/>
      <c r="M37" s="148"/>
      <c r="N37" s="148"/>
      <c r="O37" s="148"/>
      <c r="P37" s="165"/>
    </row>
    <row r="38" spans="1:16" x14ac:dyDescent="0.3">
      <c r="A38" s="165"/>
      <c r="B38" s="156"/>
      <c r="C38" s="156"/>
      <c r="D38" s="156"/>
      <c r="E38" s="156"/>
      <c r="F38" s="156"/>
      <c r="G38" s="156"/>
      <c r="H38" s="156"/>
      <c r="I38" s="172"/>
      <c r="J38" s="173"/>
      <c r="K38" s="156"/>
      <c r="L38" s="156"/>
      <c r="M38" s="156"/>
      <c r="N38" s="156"/>
      <c r="O38" s="156"/>
      <c r="P38" s="165"/>
    </row>
    <row r="39" spans="1:16" x14ac:dyDescent="0.3">
      <c r="A39" s="165"/>
      <c r="B39" s="148"/>
      <c r="C39" s="148"/>
      <c r="D39" s="148"/>
      <c r="E39" s="148"/>
      <c r="F39" s="148"/>
      <c r="G39" s="148"/>
      <c r="H39" s="148"/>
      <c r="I39" s="151"/>
      <c r="J39" s="157"/>
      <c r="K39" s="148"/>
      <c r="L39" s="150"/>
      <c r="M39" s="150"/>
      <c r="N39" s="150"/>
      <c r="O39" s="150"/>
      <c r="P39" s="165"/>
    </row>
    <row r="40" spans="1:16" x14ac:dyDescent="0.3"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</row>
  </sheetData>
  <hyperlinks>
    <hyperlink ref="B4" location="SU_A1200" display="SU_A1200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tabSelected="1" workbookViewId="0">
      <selection activeCell="B11" sqref="B11"/>
    </sheetView>
  </sheetViews>
  <sheetFormatPr baseColWidth="10" defaultRowHeight="14.4" x14ac:dyDescent="0.3"/>
  <sheetData>
    <row r="1" spans="1:2" x14ac:dyDescent="0.3">
      <c r="A1" t="s">
        <v>126</v>
      </c>
      <c r="B1" s="81" t="s">
        <v>134</v>
      </c>
    </row>
  </sheetData>
  <hyperlinks>
    <hyperlink ref="B1" location="SU_12003" display="SU_12003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P18"/>
  <sheetViews>
    <sheetView tabSelected="1" workbookViewId="0">
      <selection activeCell="B11" sqref="B11"/>
    </sheetView>
  </sheetViews>
  <sheetFormatPr baseColWidth="10" defaultRowHeight="14.4" x14ac:dyDescent="0.3"/>
  <cols>
    <col min="2" max="2" width="18.44140625" customWidth="1"/>
    <col min="3" max="3" width="15" customWidth="1"/>
    <col min="7" max="7" width="18.5546875" customWidth="1"/>
    <col min="9" max="9" width="14.77734375" customWidth="1"/>
  </cols>
  <sheetData>
    <row r="1" spans="1:16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6" x14ac:dyDescent="0.3">
      <c r="A2" s="93" t="s">
        <v>0</v>
      </c>
      <c r="B2" s="16" t="s">
        <v>40</v>
      </c>
      <c r="C2" s="54"/>
      <c r="D2" s="54"/>
      <c r="E2" s="54"/>
      <c r="F2" s="54"/>
      <c r="G2" s="54" t="s">
        <v>62</v>
      </c>
      <c r="H2" s="54"/>
      <c r="I2" s="54"/>
      <c r="J2" s="94" t="s">
        <v>1</v>
      </c>
      <c r="K2" s="77">
        <v>81</v>
      </c>
      <c r="L2" s="54"/>
      <c r="M2" s="93" t="s">
        <v>16</v>
      </c>
      <c r="N2" s="218">
        <f>SU_12003_m+SU_12003_p</f>
        <v>0.25585628167808949</v>
      </c>
      <c r="O2" s="60"/>
    </row>
    <row r="3" spans="1:16" x14ac:dyDescent="0.3">
      <c r="A3" s="93" t="s">
        <v>3</v>
      </c>
      <c r="B3" s="16" t="str">
        <f>'SU A1200'!B3</f>
        <v>Suspension &amp; Shocks</v>
      </c>
      <c r="C3" s="54"/>
      <c r="D3" s="93" t="s">
        <v>6</v>
      </c>
      <c r="E3" s="81"/>
      <c r="F3" s="54"/>
      <c r="G3" s="54"/>
      <c r="H3" s="54"/>
      <c r="I3" s="54"/>
      <c r="J3" s="54"/>
      <c r="K3" s="54"/>
      <c r="L3" s="54"/>
      <c r="M3" s="93" t="s">
        <v>4</v>
      </c>
      <c r="N3" s="75">
        <v>2</v>
      </c>
      <c r="O3" s="60"/>
    </row>
    <row r="4" spans="1:16" x14ac:dyDescent="0.3">
      <c r="A4" s="93" t="s">
        <v>5</v>
      </c>
      <c r="B4" s="251" t="str">
        <f>'SU A1200'!B4</f>
        <v>Front Pullrod</v>
      </c>
      <c r="C4" s="54"/>
      <c r="D4" s="93" t="s">
        <v>8</v>
      </c>
      <c r="E4" s="54"/>
      <c r="F4" s="54"/>
      <c r="G4" s="54"/>
      <c r="H4" s="54"/>
      <c r="I4" s="54"/>
      <c r="J4" s="95" t="s">
        <v>6</v>
      </c>
      <c r="K4" s="54"/>
      <c r="L4" s="54"/>
      <c r="M4" s="54"/>
      <c r="N4" s="54"/>
      <c r="O4" s="60"/>
    </row>
    <row r="5" spans="1:16" x14ac:dyDescent="0.3">
      <c r="A5" s="93" t="s">
        <v>15</v>
      </c>
      <c r="B5" s="26" t="s">
        <v>127</v>
      </c>
      <c r="C5" s="54"/>
      <c r="D5" s="93" t="s">
        <v>12</v>
      </c>
      <c r="E5" s="54"/>
      <c r="F5" s="54"/>
      <c r="G5" s="54"/>
      <c r="H5" s="54"/>
      <c r="I5" s="54"/>
      <c r="J5" s="95" t="s">
        <v>8</v>
      </c>
      <c r="K5" s="54"/>
      <c r="L5" s="54"/>
      <c r="M5" s="93" t="s">
        <v>9</v>
      </c>
      <c r="N5" s="218">
        <f>N3*N2</f>
        <v>0.51171256335617898</v>
      </c>
      <c r="O5" s="60"/>
    </row>
    <row r="6" spans="1:16" x14ac:dyDescent="0.3">
      <c r="A6" s="93" t="s">
        <v>7</v>
      </c>
      <c r="B6" t="s">
        <v>132</v>
      </c>
      <c r="C6" s="54"/>
      <c r="D6" s="54"/>
      <c r="E6" s="54"/>
      <c r="F6" s="54"/>
      <c r="G6" s="54"/>
      <c r="H6" s="54"/>
      <c r="I6" s="54"/>
      <c r="J6" s="95" t="s">
        <v>12</v>
      </c>
      <c r="K6" s="54"/>
      <c r="L6" s="54"/>
      <c r="M6" s="54"/>
      <c r="N6" s="54"/>
      <c r="O6" s="60"/>
    </row>
    <row r="7" spans="1:16" x14ac:dyDescent="0.3">
      <c r="A7" s="93" t="s">
        <v>10</v>
      </c>
      <c r="B7" s="16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6" x14ac:dyDescent="0.3">
      <c r="A8" s="93" t="s">
        <v>13</v>
      </c>
      <c r="B8" s="1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6" x14ac:dyDescent="0.3">
      <c r="A9" s="78"/>
      <c r="B9" s="27"/>
      <c r="C9" s="27"/>
      <c r="D9" s="27"/>
      <c r="E9" s="27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6" x14ac:dyDescent="0.3">
      <c r="A10" s="96" t="s">
        <v>14</v>
      </c>
      <c r="B10" s="97" t="s">
        <v>19</v>
      </c>
      <c r="C10" s="97" t="s">
        <v>20</v>
      </c>
      <c r="D10" s="97" t="s">
        <v>21</v>
      </c>
      <c r="E10" s="97" t="s">
        <v>22</v>
      </c>
      <c r="F10" s="98" t="s">
        <v>23</v>
      </c>
      <c r="G10" s="98" t="s">
        <v>24</v>
      </c>
      <c r="H10" s="98" t="s">
        <v>25</v>
      </c>
      <c r="I10" s="98" t="s">
        <v>26</v>
      </c>
      <c r="J10" s="98" t="s">
        <v>27</v>
      </c>
      <c r="K10" s="98" t="s">
        <v>28</v>
      </c>
      <c r="L10" s="98" t="s">
        <v>29</v>
      </c>
      <c r="M10" s="98" t="s">
        <v>17</v>
      </c>
      <c r="N10" s="98" t="s">
        <v>18</v>
      </c>
      <c r="O10" s="60"/>
    </row>
    <row r="11" spans="1:16" ht="28.8" x14ac:dyDescent="0.3">
      <c r="A11" s="277">
        <v>10</v>
      </c>
      <c r="B11" s="278" t="s">
        <v>69</v>
      </c>
      <c r="C11" s="279" t="s">
        <v>74</v>
      </c>
      <c r="D11" s="280">
        <v>2.25</v>
      </c>
      <c r="E11" s="281">
        <f>L11*J11*K11</f>
        <v>9.4700168949810731E-3</v>
      </c>
      <c r="F11" s="279" t="s">
        <v>70</v>
      </c>
      <c r="G11" s="279"/>
      <c r="H11" s="282"/>
      <c r="I11" s="283" t="s">
        <v>76</v>
      </c>
      <c r="J11" s="284">
        <f>PI()*8*8/1000000</f>
        <v>2.0106192982974677E-4</v>
      </c>
      <c r="K11" s="285">
        <v>6.0000000000000001E-3</v>
      </c>
      <c r="L11" s="286">
        <v>7850</v>
      </c>
      <c r="M11" s="287">
        <v>1</v>
      </c>
      <c r="N11" s="280">
        <f>IF(J11="",D11*M11,D11*J11*K11*L11*M11)</f>
        <v>2.1307538013707415E-2</v>
      </c>
      <c r="O11" s="64"/>
      <c r="P11" s="22"/>
    </row>
    <row r="12" spans="1:16" x14ac:dyDescent="0.3">
      <c r="A12" s="65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99" t="s">
        <v>18</v>
      </c>
      <c r="N12" s="100">
        <f>SUM(N11:N11)</f>
        <v>2.1307538013707415E-2</v>
      </c>
      <c r="O12" s="60"/>
    </row>
    <row r="13" spans="1:16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6" x14ac:dyDescent="0.3">
      <c r="A14" s="101" t="s">
        <v>14</v>
      </c>
      <c r="B14" s="98" t="s">
        <v>31</v>
      </c>
      <c r="C14" s="98" t="s">
        <v>20</v>
      </c>
      <c r="D14" s="98" t="s">
        <v>21</v>
      </c>
      <c r="E14" s="98" t="s">
        <v>32</v>
      </c>
      <c r="F14" s="98" t="s">
        <v>17</v>
      </c>
      <c r="G14" s="98" t="s">
        <v>33</v>
      </c>
      <c r="H14" s="98" t="s">
        <v>34</v>
      </c>
      <c r="I14" s="98" t="s">
        <v>18</v>
      </c>
      <c r="J14" s="24"/>
      <c r="K14" s="24"/>
      <c r="L14" s="24"/>
      <c r="M14" s="24"/>
      <c r="N14" s="24"/>
      <c r="O14" s="60"/>
    </row>
    <row r="15" spans="1:16" ht="28.8" x14ac:dyDescent="0.3">
      <c r="A15" s="288">
        <v>10</v>
      </c>
      <c r="B15" s="289" t="s">
        <v>71</v>
      </c>
      <c r="C15" s="289"/>
      <c r="D15" s="290">
        <v>1.3</v>
      </c>
      <c r="E15" s="289" t="s">
        <v>35</v>
      </c>
      <c r="F15" s="289">
        <v>1</v>
      </c>
      <c r="G15" s="289" t="s">
        <v>77</v>
      </c>
      <c r="H15" s="289">
        <f>1/8</f>
        <v>0.125</v>
      </c>
      <c r="I15" s="290">
        <f>D15*F15*H15</f>
        <v>0.16250000000000001</v>
      </c>
      <c r="J15" s="56"/>
      <c r="K15" s="56"/>
      <c r="L15" s="56"/>
      <c r="M15" s="56"/>
      <c r="N15" s="56"/>
      <c r="O15" s="66"/>
      <c r="P15" s="25"/>
    </row>
    <row r="16" spans="1:16" x14ac:dyDescent="0.3">
      <c r="A16" s="288">
        <v>20</v>
      </c>
      <c r="B16" s="289" t="s">
        <v>75</v>
      </c>
      <c r="C16" s="289"/>
      <c r="D16" s="290">
        <v>0.04</v>
      </c>
      <c r="E16" s="289" t="s">
        <v>73</v>
      </c>
      <c r="F16" s="289">
        <v>0.68</v>
      </c>
      <c r="G16" s="289" t="s">
        <v>72</v>
      </c>
      <c r="H16" s="289">
        <v>3</v>
      </c>
      <c r="I16" s="290">
        <f>D16*F16*H16</f>
        <v>8.1600000000000006E-2</v>
      </c>
      <c r="J16" s="54"/>
      <c r="K16" s="54"/>
      <c r="L16" s="54"/>
      <c r="M16" s="54"/>
      <c r="N16" s="54"/>
      <c r="O16" s="60"/>
    </row>
    <row r="17" spans="1:15" x14ac:dyDescent="0.3">
      <c r="A17" s="65"/>
      <c r="B17" s="24"/>
      <c r="C17" s="24"/>
      <c r="D17" s="24"/>
      <c r="E17" s="24"/>
      <c r="F17" s="24"/>
      <c r="G17" s="24"/>
      <c r="H17" s="102" t="s">
        <v>18</v>
      </c>
      <c r="I17" s="100">
        <f>SUM(I15:I16)</f>
        <v>0.24410000000000001</v>
      </c>
      <c r="J17" s="24"/>
      <c r="K17" s="24"/>
      <c r="L17" s="24"/>
      <c r="M17" s="24"/>
      <c r="N17" s="24"/>
      <c r="O17" s="60"/>
    </row>
    <row r="18" spans="1:15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B4" location="SU_A1200" display="SU_A1200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tabSelected="1" workbookViewId="0">
      <selection activeCell="B11" sqref="B11"/>
    </sheetView>
  </sheetViews>
  <sheetFormatPr baseColWidth="10" defaultRowHeight="14.4" x14ac:dyDescent="0.3"/>
  <sheetData>
    <row r="1" spans="1:2" x14ac:dyDescent="0.3">
      <c r="A1" t="s">
        <v>126</v>
      </c>
      <c r="B1" s="81" t="s">
        <v>135</v>
      </c>
    </row>
  </sheetData>
  <hyperlinks>
    <hyperlink ref="B1" location="SU_12004" display="SU_12004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26</vt:i4>
      </vt:variant>
    </vt:vector>
  </HeadingPairs>
  <TitlesOfParts>
    <vt:vector size="35" baseType="lpstr">
      <vt:lpstr>BOM</vt:lpstr>
      <vt:lpstr>SU A1200</vt:lpstr>
      <vt:lpstr>SU 12001</vt:lpstr>
      <vt:lpstr>SU 12002</vt:lpstr>
      <vt:lpstr>dSU 12002</vt:lpstr>
      <vt:lpstr>SU 12003</vt:lpstr>
      <vt:lpstr>dSU 12003</vt:lpstr>
      <vt:lpstr>SU 12004</vt:lpstr>
      <vt:lpstr>dSU 12004</vt:lpstr>
      <vt:lpstr>dSU_12002</vt:lpstr>
      <vt:lpstr>dSU_12003</vt:lpstr>
      <vt:lpstr>dSU_12004</vt:lpstr>
      <vt:lpstr>SU_12001</vt:lpstr>
      <vt:lpstr>SU_12001_m</vt:lpstr>
      <vt:lpstr>SU_12001_p</vt:lpstr>
      <vt:lpstr>SU_12001_q</vt:lpstr>
      <vt:lpstr>SU_12002</vt:lpstr>
      <vt:lpstr>SU_12002_m</vt:lpstr>
      <vt:lpstr>SU_12002_p</vt:lpstr>
      <vt:lpstr>SU_12002_q</vt:lpstr>
      <vt:lpstr>SU_12003</vt:lpstr>
      <vt:lpstr>SU_12003_m</vt:lpstr>
      <vt:lpstr>SU_12003_p</vt:lpstr>
      <vt:lpstr>SU_12003_q</vt:lpstr>
      <vt:lpstr>SU_12004</vt:lpstr>
      <vt:lpstr>SU_12004_M</vt:lpstr>
      <vt:lpstr>SU_12004_P</vt:lpstr>
      <vt:lpstr>SU_12004_q</vt:lpstr>
      <vt:lpstr>SU_A1200</vt:lpstr>
      <vt:lpstr>SU_A1200_f</vt:lpstr>
      <vt:lpstr>SU_A1200_m</vt:lpstr>
      <vt:lpstr>SU_A1200_p</vt:lpstr>
      <vt:lpstr>SU_A1200_pa</vt:lpstr>
      <vt:lpstr>SU_A1200_q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2018-05-04T13:06:01Z</dcterms:modified>
  <dc:language>fr-FR</dc:language>
</cp:coreProperties>
</file>